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85" windowWidth="18780" windowHeight="7050"/>
  </bookViews>
  <sheets>
    <sheet name="Lot N°330 COUVERTURE - ETANCHE" sheetId="1" r:id="rId1"/>
    <sheet name="Lot N°331 BARDAGES" sheetId="2" r:id="rId2"/>
    <sheet name="RECAP" sheetId="3" r:id="rId3"/>
  </sheets>
  <definedNames>
    <definedName name="Print_Area" localSheetId="0">'Lot N°330 COUVERTURE - ETANCHE'!$A$1:$H$305</definedName>
    <definedName name="Print_Area" localSheetId="1">'Lot N°331 BARDAGES'!$A$1:$H$181</definedName>
    <definedName name="Print_Titles" localSheetId="0">'Lot N°330 COUVERTURE - ETANCHE'!$1:$6</definedName>
    <definedName name="Print_Titles" localSheetId="1">'Lot N°331 BARDAGES'!$1:$6</definedName>
  </definedNames>
  <calcPr calcId="145621"/>
</workbook>
</file>

<file path=xl/calcChain.xml><?xml version="1.0" encoding="utf-8"?>
<calcChain xmlns="http://schemas.openxmlformats.org/spreadsheetml/2006/main">
  <c r="D34" i="2" l="1"/>
  <c r="F172" i="2" l="1"/>
  <c r="H172" i="2" s="1"/>
  <c r="H174" i="2" s="1"/>
  <c r="F35" i="2"/>
  <c r="H35" i="2" s="1"/>
  <c r="F89" i="2"/>
  <c r="H89" i="2" s="1"/>
  <c r="F59" i="2"/>
  <c r="H59" i="2" s="1"/>
  <c r="D40" i="1"/>
  <c r="F296" i="1"/>
  <c r="H296" i="1" s="1"/>
  <c r="H298" i="1" s="1"/>
  <c r="F251" i="1"/>
  <c r="H251" i="1" s="1"/>
  <c r="D91" i="1"/>
  <c r="D169" i="1"/>
  <c r="F288" i="1" l="1"/>
  <c r="H288" i="1" s="1"/>
  <c r="F276" i="1"/>
  <c r="H276" i="1" s="1"/>
  <c r="F284" i="1"/>
  <c r="H284" i="1" s="1"/>
  <c r="F280" i="1"/>
  <c r="H280" i="1" s="1"/>
  <c r="F271" i="1"/>
  <c r="H271" i="1" s="1"/>
  <c r="F170" i="1"/>
  <c r="H170" i="1" s="1"/>
  <c r="D177" i="1"/>
  <c r="D176" i="1"/>
  <c r="D175" i="1"/>
  <c r="D174" i="1"/>
  <c r="F185" i="1"/>
  <c r="H185" i="1" s="1"/>
  <c r="F105" i="1"/>
  <c r="H105" i="1" s="1"/>
  <c r="H290" i="1" l="1"/>
  <c r="F178" i="1"/>
  <c r="D13" i="1" l="1"/>
  <c r="H164" i="2" l="1"/>
  <c r="H166" i="2" s="1"/>
  <c r="D147" i="2"/>
  <c r="F156" i="2" s="1"/>
  <c r="H156" i="2" s="1"/>
  <c r="D143" i="2"/>
  <c r="D141" i="2"/>
  <c r="D140" i="2"/>
  <c r="D139" i="2"/>
  <c r="F132" i="2"/>
  <c r="H132" i="2" s="1"/>
  <c r="H115" i="2"/>
  <c r="F85" i="2"/>
  <c r="H85" i="2" s="1"/>
  <c r="F78" i="2"/>
  <c r="H78" i="2" s="1"/>
  <c r="F55" i="2"/>
  <c r="H55" i="2" s="1"/>
  <c r="H61" i="2" s="1"/>
  <c r="F31" i="2"/>
  <c r="H31" i="2" s="1"/>
  <c r="F27" i="2"/>
  <c r="H27" i="2" s="1"/>
  <c r="F22" i="2"/>
  <c r="H22" i="2" s="1"/>
  <c r="H37" i="2" l="1"/>
  <c r="F144" i="2"/>
  <c r="H144" i="2" s="1"/>
  <c r="H158" i="2" s="1"/>
  <c r="H178" i="2" l="1"/>
  <c r="B4" i="3" s="1"/>
  <c r="H179" i="2" l="1"/>
  <c r="H180" i="2" s="1"/>
  <c r="D258" i="1" l="1"/>
  <c r="D262" i="1"/>
  <c r="F263" i="1" s="1"/>
  <c r="H263" i="1" s="1"/>
  <c r="F18" i="1" l="1"/>
  <c r="H18" i="1" s="1"/>
  <c r="F86" i="1" l="1"/>
  <c r="H86" i="1" s="1"/>
  <c r="F82" i="1"/>
  <c r="H82" i="1" s="1"/>
  <c r="F259" i="1"/>
  <c r="D233" i="1"/>
  <c r="D232" i="1"/>
  <c r="D231" i="1"/>
  <c r="D230" i="1"/>
  <c r="D228" i="1"/>
  <c r="F247" i="1"/>
  <c r="F243" i="1"/>
  <c r="F220" i="1"/>
  <c r="F211" i="1"/>
  <c r="F205" i="1"/>
  <c r="D198" i="1"/>
  <c r="D197" i="1"/>
  <c r="D196" i="1"/>
  <c r="D165" i="1"/>
  <c r="F166" i="1" s="1"/>
  <c r="F112" i="1"/>
  <c r="D153" i="1"/>
  <c r="D152" i="1"/>
  <c r="D151" i="1"/>
  <c r="D150" i="1"/>
  <c r="D146" i="1"/>
  <c r="D145" i="1"/>
  <c r="D144" i="1"/>
  <c r="D143" i="1"/>
  <c r="F138" i="1"/>
  <c r="D131" i="1"/>
  <c r="D130" i="1"/>
  <c r="D129" i="1"/>
  <c r="D128" i="1"/>
  <c r="F125" i="1"/>
  <c r="F234" i="1" l="1"/>
  <c r="F200" i="1"/>
  <c r="F147" i="1"/>
  <c r="F154" i="1"/>
  <c r="F132" i="1"/>
  <c r="H112" i="1" l="1"/>
  <c r="F101" i="1"/>
  <c r="H101" i="1" s="1"/>
  <c r="F96" i="1"/>
  <c r="F92" i="1"/>
  <c r="D68" i="1" l="1"/>
  <c r="D67" i="1"/>
  <c r="D70" i="1"/>
  <c r="D69" i="1"/>
  <c r="D66" i="1"/>
  <c r="D65" i="1"/>
  <c r="D75" i="1"/>
  <c r="D71" i="1"/>
  <c r="D76" i="1"/>
  <c r="D74" i="1"/>
  <c r="D73" i="1"/>
  <c r="D72" i="1"/>
  <c r="D60" i="1"/>
  <c r="D59" i="1"/>
  <c r="D58" i="1"/>
  <c r="D57" i="1"/>
  <c r="D56" i="1"/>
  <c r="D55" i="1"/>
  <c r="D54" i="1"/>
  <c r="D45" i="1"/>
  <c r="D44" i="1"/>
  <c r="D43" i="1"/>
  <c r="D42" i="1"/>
  <c r="D41" i="1"/>
  <c r="D35" i="1"/>
  <c r="D34" i="1"/>
  <c r="D33" i="1"/>
  <c r="D32" i="1"/>
  <c r="D28" i="1"/>
  <c r="D27" i="1"/>
  <c r="D26" i="1"/>
  <c r="D25" i="1"/>
  <c r="D24" i="1"/>
  <c r="D23" i="1"/>
  <c r="D22" i="1"/>
  <c r="F14" i="1"/>
  <c r="F77" i="1" l="1"/>
  <c r="F61" i="1"/>
  <c r="F46" i="1"/>
  <c r="H46" i="1" s="1"/>
  <c r="F36" i="1"/>
  <c r="F29" i="1"/>
  <c r="H14" i="1"/>
  <c r="H166" i="1"/>
  <c r="H178" i="1"/>
  <c r="H259" i="1"/>
  <c r="H265" i="1" s="1"/>
  <c r="H247" i="1"/>
  <c r="H220" i="1"/>
  <c r="H222" i="1" s="1"/>
  <c r="H211" i="1"/>
  <c r="H205" i="1"/>
  <c r="H200" i="1"/>
  <c r="H154" i="1"/>
  <c r="H147" i="1"/>
  <c r="H138" i="1"/>
  <c r="H132" i="1"/>
  <c r="H125" i="1"/>
  <c r="H96" i="1"/>
  <c r="H92" i="1"/>
  <c r="H253" i="1" l="1"/>
  <c r="H213" i="1"/>
  <c r="H187" i="1"/>
  <c r="H156" i="1"/>
  <c r="H29" i="1"/>
  <c r="H77" i="1"/>
  <c r="H114" i="1" l="1"/>
  <c r="H302" i="1" s="1"/>
  <c r="B3" i="3" s="1"/>
  <c r="B5" i="3" s="1"/>
  <c r="H303" i="1" l="1"/>
  <c r="H304" i="1" s="1"/>
</calcChain>
</file>

<file path=xl/sharedStrings.xml><?xml version="1.0" encoding="utf-8"?>
<sst xmlns="http://schemas.openxmlformats.org/spreadsheetml/2006/main" count="660" uniqueCount="315">
  <si>
    <t>Lot 330 COUVERTURE - ETANCHEITE</t>
  </si>
  <si>
    <t>U</t>
  </si>
  <si>
    <t>Quantité</t>
  </si>
  <si>
    <t>Prix en €</t>
  </si>
  <si>
    <t>Montant en €</t>
  </si>
  <si>
    <t>COUVERTURE - ETANCHEITE</t>
  </si>
  <si>
    <t>1</t>
  </si>
  <si>
    <t>COUVERTURE ETANCHEE</t>
  </si>
  <si>
    <t>1.1</t>
  </si>
  <si>
    <t>1.1  1</t>
  </si>
  <si>
    <t>Entrepot  :</t>
  </si>
  <si>
    <t xml:space="preserve">Entrepôt </t>
  </si>
  <si>
    <t xml:space="preserve">M2 </t>
  </si>
  <si>
    <t>1.1  2</t>
  </si>
  <si>
    <t xml:space="preserve">Couverture </t>
  </si>
  <si>
    <t>1.1.1</t>
  </si>
  <si>
    <t>Relevés d'étanchéité</t>
  </si>
  <si>
    <t>1.1.1  1</t>
  </si>
  <si>
    <t xml:space="preserve">Mur coupe feu 2h </t>
  </si>
  <si>
    <t xml:space="preserve"> </t>
  </si>
  <si>
    <t xml:space="preserve">ML </t>
  </si>
  <si>
    <t>1.1.1  2</t>
  </si>
  <si>
    <t>1.1.2</t>
  </si>
  <si>
    <t>Prestations spécifiques</t>
  </si>
  <si>
    <t>1.1.2  1</t>
  </si>
  <si>
    <t>1.2</t>
  </si>
  <si>
    <t>ACCESSOIRES DE COUVERTURE ETANCHEE</t>
  </si>
  <si>
    <t>1.2.1</t>
  </si>
  <si>
    <t>Costières métalliques</t>
  </si>
  <si>
    <t>1.2.1  1</t>
  </si>
  <si>
    <t>1.2.2</t>
  </si>
  <si>
    <t>Contre bardage</t>
  </si>
  <si>
    <t>1.2.2  1</t>
  </si>
  <si>
    <t>1.2.3</t>
  </si>
  <si>
    <t>Traversées de toiture et réservations diverses</t>
  </si>
  <si>
    <t>1.2.3  1</t>
  </si>
  <si>
    <t xml:space="preserve">U  </t>
  </si>
  <si>
    <t>1.2.3  2</t>
  </si>
  <si>
    <t>3</t>
  </si>
  <si>
    <t>2</t>
  </si>
  <si>
    <t>1.3</t>
  </si>
  <si>
    <t>COLLECTE DES EAUX PLUVIALES</t>
  </si>
  <si>
    <t>1.3.1</t>
  </si>
  <si>
    <t>1.3.1  1</t>
  </si>
  <si>
    <t>4</t>
  </si>
  <si>
    <t>Locaux techniques :</t>
  </si>
  <si>
    <t>1.3.1  2</t>
  </si>
  <si>
    <t>1.3.2</t>
  </si>
  <si>
    <t>Trop plein</t>
  </si>
  <si>
    <t>1.3.2  1</t>
  </si>
  <si>
    <t>Total COUVERTURE ETANCHEE</t>
  </si>
  <si>
    <t>ETANCHEITE SUR TOITURE BETON</t>
  </si>
  <si>
    <t>2.1</t>
  </si>
  <si>
    <t>TERRASSE NON CIRCULABLE</t>
  </si>
  <si>
    <t>2.1.1</t>
  </si>
  <si>
    <t>Etanchéité autoprotégée</t>
  </si>
  <si>
    <t>2.1.1  1</t>
  </si>
  <si>
    <t>Locaux techniques  :</t>
  </si>
  <si>
    <t>Local Transfo TGBT</t>
  </si>
  <si>
    <t>2.1.1  2</t>
  </si>
  <si>
    <t>2.1.2</t>
  </si>
  <si>
    <t>Divers</t>
  </si>
  <si>
    <t>2.1.2  1</t>
  </si>
  <si>
    <t>2.2</t>
  </si>
  <si>
    <t>ACCESSOIRES</t>
  </si>
  <si>
    <t>2.2.1</t>
  </si>
  <si>
    <t>Profils de finitions</t>
  </si>
  <si>
    <t>2.2.1  1</t>
  </si>
  <si>
    <t>Coiffe métallique laquée d'acrotère béton armé</t>
  </si>
  <si>
    <t>2.2.1  2</t>
  </si>
  <si>
    <t>M2</t>
  </si>
  <si>
    <t>Total ETANCHEITE SUR TOITURE BETON</t>
  </si>
  <si>
    <t>EVACUATION DES EAUX PLUVIALES</t>
  </si>
  <si>
    <t>3.1</t>
  </si>
  <si>
    <t>DESCENTES D'EAUX PLUVIALES PVC</t>
  </si>
  <si>
    <t>3.1  1</t>
  </si>
  <si>
    <t>3.2</t>
  </si>
  <si>
    <t>ACCESSOIRES DE DESCENTES D'EAUX PLUVIALES</t>
  </si>
  <si>
    <t>Total EVACUATION DES EAUX PLUVIALES</t>
  </si>
  <si>
    <t>EQUIPEMENT DE COUVERTURE - LANTERNEAUX</t>
  </si>
  <si>
    <t>ELEMENTS AU DROIT DE COUVERTURE DE TYPE ETANCHEE</t>
  </si>
  <si>
    <t>4.1</t>
  </si>
  <si>
    <t>4.1  1</t>
  </si>
  <si>
    <t>4.2</t>
  </si>
  <si>
    <t>ECLAIRAGE ZENITHAL</t>
  </si>
  <si>
    <t>4.2  1</t>
  </si>
  <si>
    <t>Lanterneau fixe d'éclairement naturel de dimensions 200 x 300 cm.</t>
  </si>
  <si>
    <t>4.3</t>
  </si>
  <si>
    <t>4.3  1</t>
  </si>
  <si>
    <t>Total ELEMENTS AU DROIT DE COUVERTURE DE TYPE ETANCHEE</t>
  </si>
  <si>
    <t>5</t>
  </si>
  <si>
    <t>ASSERVISSEMENT</t>
  </si>
  <si>
    <t>5.1</t>
  </si>
  <si>
    <t>ASSERVISSEMENT PNEUMATIQUE</t>
  </si>
  <si>
    <t>5.1  1</t>
  </si>
  <si>
    <t>Asservissement co2 de type bizones</t>
  </si>
  <si>
    <t>Total ASSERVISSEMENT</t>
  </si>
  <si>
    <t>SECURITE TOITURE</t>
  </si>
  <si>
    <t>6</t>
  </si>
  <si>
    <t>SECURITE PHASE CHANTIER</t>
  </si>
  <si>
    <t>6  1</t>
  </si>
  <si>
    <t>Filets garde-corps</t>
  </si>
  <si>
    <t>6  2</t>
  </si>
  <si>
    <t>Sécurité horizontale</t>
  </si>
  <si>
    <t>6  3</t>
  </si>
  <si>
    <t>Total SECURITE PHASE CHANTIER</t>
  </si>
  <si>
    <t>COUVERTURE AUTODOCKS</t>
  </si>
  <si>
    <t>Montant TTC</t>
  </si>
  <si>
    <t>7</t>
  </si>
  <si>
    <t>7  1</t>
  </si>
  <si>
    <t xml:space="preserve">File 12 </t>
  </si>
  <si>
    <t>File A</t>
  </si>
  <si>
    <t>Ingénieur d'affaire : Audrey PARSONS - Directeur de Projets : Franck ARTAUD</t>
  </si>
  <si>
    <t>LIDL Barbery (60) - Affaire N° : 8783-1</t>
  </si>
  <si>
    <t>Pool palettes</t>
  </si>
  <si>
    <t>TVA (20%)</t>
  </si>
  <si>
    <t>Montant HT du Lot N°330 COUVERTURE - ETANCHEITE 
Compris PRORATA (Non forfaitisé) + TRC (0,25%) + CCRD (0,10%)</t>
  </si>
  <si>
    <t>Auvent</t>
  </si>
  <si>
    <t>Naissances d'eaux pluviales en déversoir</t>
  </si>
  <si>
    <t>Entrepot</t>
  </si>
  <si>
    <t>Couverture</t>
  </si>
  <si>
    <t xml:space="preserve">File 13 </t>
  </si>
  <si>
    <t xml:space="preserve">File 14' </t>
  </si>
  <si>
    <t>Périphérie Entrepôt</t>
  </si>
  <si>
    <t>File 17</t>
  </si>
  <si>
    <t>File J</t>
  </si>
  <si>
    <t>File C</t>
  </si>
  <si>
    <t>Lanterneaux</t>
  </si>
  <si>
    <t>Cellule 5</t>
  </si>
  <si>
    <t>Cellule 6</t>
  </si>
  <si>
    <t>Cellule 8</t>
  </si>
  <si>
    <t>Costieres métalliques sur rives et longs pans</t>
  </si>
  <si>
    <t>Contre bardage par bardage simple peau isolé</t>
  </si>
  <si>
    <t>File K</t>
  </si>
  <si>
    <t>File 18</t>
  </si>
  <si>
    <t>File 10'</t>
  </si>
  <si>
    <t>File D</t>
  </si>
  <si>
    <t>File G'</t>
  </si>
  <si>
    <t>Naissances d'eaux pluviales tronconiques</t>
  </si>
  <si>
    <t>Naissances à raccorder sur descente d'eaux pluviales diamètre 100</t>
  </si>
  <si>
    <t>Entrepôt :</t>
  </si>
  <si>
    <t>Local Groupe Electrogène</t>
  </si>
  <si>
    <t>Local Sous-station chauffage</t>
  </si>
  <si>
    <t>Local Groupes Froids</t>
  </si>
  <si>
    <t>Traversée de toiture pour passage cheminée</t>
  </si>
  <si>
    <t>Trop-plein 600 x 150 mm</t>
  </si>
  <si>
    <t>Descentes eaux pluviales en acier laqué tous diamètres</t>
  </si>
  <si>
    <t>3.2  1</t>
  </si>
  <si>
    <t>DESCENTES D'EAUX PLUVIALES ACIER</t>
  </si>
  <si>
    <t>3.3</t>
  </si>
  <si>
    <t>3.3.1</t>
  </si>
  <si>
    <t>3.3.1  1</t>
  </si>
  <si>
    <t>Lanterneau accès plenum - dimensions 1,20 x 1,20 m</t>
  </si>
  <si>
    <t>Cellule 7</t>
  </si>
  <si>
    <t>Traversée de toiture pour tourelles de désenfumage</t>
  </si>
  <si>
    <t>Traversée de toiture pour prise d'air mécanisée</t>
  </si>
  <si>
    <t>PV pour prélaquage blanc en sous-face du bac dans les zones sans plafond isolant</t>
  </si>
  <si>
    <t>1.3.3</t>
  </si>
  <si>
    <t>1.3.3  1</t>
  </si>
  <si>
    <t>Descentes eaux pluviales en PVC diamètre 100</t>
  </si>
  <si>
    <t>ETANCHEITE PAR MEMBRANE</t>
  </si>
  <si>
    <t>7  2</t>
  </si>
  <si>
    <t>Autodocks Froids</t>
  </si>
  <si>
    <t>Autodocks Secs</t>
  </si>
  <si>
    <t>Couverture AUTODOCKS froids : bac acier + panneaux de laine de roche 120 mm + bac acier</t>
  </si>
  <si>
    <t>Couverture AUTODOCKS secs : bac acier</t>
  </si>
  <si>
    <t xml:space="preserve">BORDEREAU CONSULTATION </t>
  </si>
  <si>
    <t>LIDL BARBERY (60)</t>
  </si>
  <si>
    <t>Affaire N° : 8783  Ingénieur d'affaire : Audrey PARSONS</t>
  </si>
  <si>
    <t>Lot N°331 BARDAGES</t>
  </si>
  <si>
    <t>BARDAGES METALLIQUES</t>
  </si>
  <si>
    <t>BARDAGES SIMPLE PEAU</t>
  </si>
  <si>
    <t>HABILLAGE DE PANNEAUX EN BETON OU PARPAINGS</t>
  </si>
  <si>
    <t>File 18 sur cour intérieure</t>
  </si>
  <si>
    <t>File 17 au dessus de +9,30</t>
  </si>
  <si>
    <t>File 17 sur cour intérieure</t>
  </si>
  <si>
    <t>File 12 sur existant</t>
  </si>
  <si>
    <t>File 12 sur SAS (complément)</t>
  </si>
  <si>
    <t>Bardage sur Loc GE et TGBT</t>
  </si>
  <si>
    <t>Bardage sur sous-station chauffage</t>
  </si>
  <si>
    <t>Bardage sur loc Froid</t>
  </si>
  <si>
    <t>Quais bennes file J</t>
  </si>
  <si>
    <t>HABILLAGE LATERAUX DES AUTODOCKS</t>
  </si>
  <si>
    <t>1.2  1</t>
  </si>
  <si>
    <t>1.2  2</t>
  </si>
  <si>
    <t>Total BARDAGES SIMPLE PEAU</t>
  </si>
  <si>
    <t>BARDAGES DOUBLE PEAU</t>
  </si>
  <si>
    <t>BARDAGE EN POSE VERTICALE</t>
  </si>
  <si>
    <t>2.1  1</t>
  </si>
  <si>
    <t>File A (axes 12 à 17)</t>
  </si>
  <si>
    <t>File A (axes 17 à 18)</t>
  </si>
  <si>
    <t>File 18 hors cour intérieure</t>
  </si>
  <si>
    <t>Biais</t>
  </si>
  <si>
    <t>File K sur stockage matériels magasins</t>
  </si>
  <si>
    <t>File K sur pool palettes</t>
  </si>
  <si>
    <t>File 12'</t>
  </si>
  <si>
    <t>Retour cour intérieure file D</t>
  </si>
  <si>
    <t>Retour cour intérieure file G'</t>
  </si>
  <si>
    <t>Quais bennes file 15</t>
  </si>
  <si>
    <t>Quais bennes file 15'</t>
  </si>
  <si>
    <t>Quais bennes file 16</t>
  </si>
  <si>
    <t>Total BARDAGES DOUBLE PEAU</t>
  </si>
  <si>
    <t>ACCESSOIRES ET OUVRAGES DE FINITIONS</t>
  </si>
  <si>
    <t>PROFILS DE FINITIONS</t>
  </si>
  <si>
    <t>Coiffe d'acrotère droite isolée en tête de bardage</t>
  </si>
  <si>
    <t>File 12 sur existant (Prévoir surlargeur pour englober existant)</t>
  </si>
  <si>
    <t>File 12 sur SAS</t>
  </si>
  <si>
    <t>4.1  2</t>
  </si>
  <si>
    <t>Coiffe d'acrotère isolée sur mur coupe feu en couverture</t>
  </si>
  <si>
    <t>File 14'</t>
  </si>
  <si>
    <t>File 14</t>
  </si>
  <si>
    <t>File 13</t>
  </si>
  <si>
    <t>4.1  3</t>
  </si>
  <si>
    <t>Profilés verticaux de recouvrements d'angles extérieurs saillants ou rentrants</t>
  </si>
  <si>
    <t>A17</t>
  </si>
  <si>
    <t>A18</t>
  </si>
  <si>
    <t>I18</t>
  </si>
  <si>
    <t>J17</t>
  </si>
  <si>
    <t>K17</t>
  </si>
  <si>
    <t>K16</t>
  </si>
  <si>
    <t>J'16</t>
  </si>
  <si>
    <t>J'15'</t>
  </si>
  <si>
    <t>J15'</t>
  </si>
  <si>
    <t>K15</t>
  </si>
  <si>
    <t>K12</t>
  </si>
  <si>
    <t>I12'</t>
  </si>
  <si>
    <t>J12</t>
  </si>
  <si>
    <t>A12</t>
  </si>
  <si>
    <t>Eperon A12</t>
  </si>
  <si>
    <t>Portes File 18</t>
  </si>
  <si>
    <t>File 15'</t>
  </si>
  <si>
    <t>File 15</t>
  </si>
  <si>
    <t>Portes files K</t>
  </si>
  <si>
    <t>Part et d'autre panneaux BA file K</t>
  </si>
  <si>
    <t>Porte file 12</t>
  </si>
  <si>
    <t>4.1  4</t>
  </si>
  <si>
    <t>Bavette rejet d'eau en pied de bardage</t>
  </si>
  <si>
    <t>4.1  5</t>
  </si>
  <si>
    <t>Encadrement de baies par profilé formant rejet d'eau au droit des linteaux et jambages</t>
  </si>
  <si>
    <t>4.1  6</t>
  </si>
  <si>
    <t>Appui de baies, avec façonnage "goutte d'eau" sur la face extérieure</t>
  </si>
  <si>
    <t>Total ACCESSOIRES ET OUVRAGES DE FINITIONS</t>
  </si>
  <si>
    <t>CANTONS DE DESENFUMAGE</t>
  </si>
  <si>
    <t>5  1</t>
  </si>
  <si>
    <t>Bardage métallique pour canton de désenfumage au droit et en complément des poutres béton en matériaux DH 30 et respectant l'IT 246</t>
  </si>
  <si>
    <t>Total CANTONS DE DESENFUMAGE</t>
  </si>
  <si>
    <t>Bardage</t>
  </si>
  <si>
    <t>TOTAL</t>
  </si>
  <si>
    <t>1.1.2  2</t>
  </si>
  <si>
    <t>Entrepôt</t>
  </si>
  <si>
    <t>à définir</t>
  </si>
  <si>
    <t>Walk ways : revêtement renforcé pour zones de circulation en toiture (1m de large)</t>
  </si>
  <si>
    <t>1.3.2  2</t>
  </si>
  <si>
    <t>Raccord PVC isolé entre naissance et boite à eau</t>
  </si>
  <si>
    <t>Manchons CF pour passage de DEP dans mur CF</t>
  </si>
  <si>
    <t>3.2  2</t>
  </si>
  <si>
    <t>Descentes eaux pluviales en PVC tous diamètres (trainasse sous bac)</t>
  </si>
  <si>
    <t>8</t>
  </si>
  <si>
    <t>OSSATURES EN COUVERTURE</t>
  </si>
  <si>
    <t>8  1</t>
  </si>
  <si>
    <t>Chevêtres entrées d'eaux pluviales tous diamètres</t>
  </si>
  <si>
    <t>8  2</t>
  </si>
  <si>
    <t>Chevêtres pour lanterneaux de dimensions 2,00 x 3,00 m</t>
  </si>
  <si>
    <t>8  3</t>
  </si>
  <si>
    <t>Chevêtres pour lanterneaux de dimensions 1,20 x 1,20 m</t>
  </si>
  <si>
    <t>8  4</t>
  </si>
  <si>
    <t>Chevêtres pour tourelles de désenfumage 800 x 800</t>
  </si>
  <si>
    <t>Total COUVERTURE AUTODOCKS</t>
  </si>
  <si>
    <t>Total OSSATURES EN COUVERTURE</t>
  </si>
  <si>
    <t>Désenfumage</t>
  </si>
  <si>
    <t>Eclairage zénithal</t>
  </si>
  <si>
    <t>Chevêtres pour prises d'entrée d'air</t>
  </si>
  <si>
    <t>8  5</t>
  </si>
  <si>
    <t>Boite à eau (dito existant)</t>
  </si>
  <si>
    <t>6  4</t>
  </si>
  <si>
    <t>Tour d'accès en toiture : Cellules 8 + Cellule 6 - Hauteur max acrotère = 11,70 m</t>
  </si>
  <si>
    <t>Tour d'accès en toiture : Pool palettes + local froid - Hauteur max acrotère = 9,65 m</t>
  </si>
  <si>
    <t>9</t>
  </si>
  <si>
    <t>DIVERS</t>
  </si>
  <si>
    <t>9  1</t>
  </si>
  <si>
    <t xml:space="preserve">Protection contre les oiseaux </t>
  </si>
  <si>
    <t>Quais bennes</t>
  </si>
  <si>
    <t>ENS</t>
  </si>
  <si>
    <t>Total DIVERS</t>
  </si>
  <si>
    <t>2.1  2</t>
  </si>
  <si>
    <t>Bardage double peau vertical à nervures trapézoïdales, RAL 8014, sans isolant</t>
  </si>
  <si>
    <t>Coiffe d'acrotère spécifique pour jonction entre bâtiment existant et extension</t>
  </si>
  <si>
    <t>Files 12 et 12'</t>
  </si>
  <si>
    <t>4.1  2b</t>
  </si>
  <si>
    <t>1.2  3</t>
  </si>
  <si>
    <t>Panneaux isolants (épaisseur mini 80 mm) sous les quais froids pour isolation contre l'air extérieur</t>
  </si>
  <si>
    <t>Façades</t>
  </si>
  <si>
    <t>Nord</t>
  </si>
  <si>
    <t>Grilles d'entrée d'air avec vantelles en façade - dimensions : 2,00 x 3,00 m</t>
  </si>
  <si>
    <t>EXTENSION</t>
  </si>
  <si>
    <t>Inclus 4,1 et 4,2</t>
  </si>
  <si>
    <t>Inclus 1,1,1,1</t>
  </si>
  <si>
    <t>Complexe de surface courante : Bac acier + pare-vapeur + 120 mm d'isolant en laine de roche + membrane TPO type FLAGON de chez FLAG</t>
  </si>
  <si>
    <t>Relevés d'étanchéité - membrane TPO idem à la position 1.1.1 ci-dessus, sans isolation thermique</t>
  </si>
  <si>
    <t>Relevés d'étanchéité contre lanterneaux - membrane TPO</t>
  </si>
  <si>
    <t>Naissances à raccorder sur DEP tous diamètres (y compris crapaudine) - Ø200 et Ø250</t>
  </si>
  <si>
    <t xml:space="preserve">Complexe d'étanchéité sur toitures béton :  pare-vapeur + 120 mm d'isolant en laine de roche + membrane TPO de type FLAGON de chez FLAG </t>
  </si>
  <si>
    <t xml:space="preserve">Inclus </t>
  </si>
  <si>
    <t>BORDEREAU MARCHE</t>
  </si>
  <si>
    <t>Incidence pour un revêtement autoprotégé M0 de part et d'autre des MCF largeur 5m (collé sur toute la surface)</t>
  </si>
  <si>
    <t>Relevés sans costière ni isolation</t>
  </si>
  <si>
    <t>DESENFUMAGE DE TYPE R17</t>
  </si>
  <si>
    <t>ACCES PLENUM</t>
  </si>
  <si>
    <t>Bardage simple peau vertical à nervures trapézoïdales contre voiles béton ou parpaings</t>
  </si>
  <si>
    <t>Bardage Double peau vertical à nervures trapézoïdales pour habillage latéraux des AUTODOCKS isolés par panneaux de laine de roche 120 mm prélaqués blanc intérieur</t>
  </si>
  <si>
    <t>Bardage Simple peau vertical à nervures trapézoïdales pour habillage latéraux des AUTODOCKS non isolés prélaqués blanc intérieur</t>
  </si>
  <si>
    <t>Bardage double peau verticale à nervures trapézoïdales RAL 8014 + isolant laine de verre (U=0,35 W/m².K)</t>
  </si>
  <si>
    <t>Montant HT du lot Lot N°331 BARDAGES 
PRORATA (Non Forfaitisé) et TRC (0,25%), CCRD (0,1%) Compris</t>
  </si>
  <si>
    <t>EXTENSION ENTREPOT</t>
  </si>
  <si>
    <t>Lanterneau de désenfumage de dimensions 200 x 300 cm (non conformes FM 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</si>
</sst>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#,##0.00;\-#,##0.00;"/>
    <numFmt numFmtId="165" formatCode="_-* #,##0.00\ _F_-;\-* #,##0.00\ _F_-;_-* &quot;-&quot;??\ _F_-;_-@_-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8"/>
      <name val="Book Antiqua"/>
      <family val="1"/>
    </font>
    <font>
      <sz val="10"/>
      <color indexed="8"/>
      <name val="Arial"/>
      <family val="2"/>
    </font>
    <font>
      <sz val="10"/>
      <color indexed="8"/>
      <name val="Book Antiqua"/>
      <family val="1"/>
    </font>
    <font>
      <b/>
      <sz val="12"/>
      <color indexed="8"/>
      <name val="Book Antiqua"/>
      <family val="1"/>
    </font>
    <font>
      <b/>
      <sz val="10"/>
      <name val="Arial"/>
      <family val="2"/>
    </font>
    <font>
      <b/>
      <u/>
      <sz val="14"/>
      <color indexed="8"/>
      <name val="Arial Black"/>
      <family val="2"/>
    </font>
    <font>
      <b/>
      <sz val="11"/>
      <color indexed="8"/>
      <name val="Arial Black"/>
      <family val="2"/>
    </font>
    <font>
      <b/>
      <u/>
      <sz val="9"/>
      <color indexed="8"/>
      <name val="Arial"/>
      <family val="2"/>
    </font>
    <font>
      <sz val="7"/>
      <color indexed="8"/>
      <name val="Arial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b/>
      <sz val="14"/>
      <color indexed="8"/>
      <name val="Arial Black"/>
      <family val="2"/>
    </font>
    <font>
      <sz val="12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sz val="8"/>
      <name val="Helvetica"/>
      <family val="2"/>
    </font>
    <font>
      <sz val="8"/>
      <name val="Helvetica"/>
    </font>
    <font>
      <b/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u/>
      <sz val="9"/>
      <name val="Arial"/>
      <family val="2"/>
    </font>
    <font>
      <b/>
      <sz val="7"/>
      <name val="Arial"/>
      <family val="2"/>
    </font>
    <font>
      <b/>
      <sz val="11"/>
      <name val="Arial Black"/>
      <family val="2"/>
    </font>
    <font>
      <b/>
      <sz val="12"/>
      <color rgb="FFFF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>
      <alignment vertical="top"/>
    </xf>
    <xf numFmtId="49" fontId="2" fillId="3" borderId="0">
      <alignment horizontal="left" vertical="top"/>
    </xf>
    <xf numFmtId="49" fontId="3" fillId="3" borderId="0">
      <alignment horizontal="left" vertical="top"/>
    </xf>
    <xf numFmtId="49" fontId="5" fillId="3" borderId="0">
      <alignment horizontal="left" vertical="top"/>
    </xf>
    <xf numFmtId="49" fontId="7" fillId="3" borderId="0">
      <alignment horizontal="left" vertical="top" wrapText="1"/>
    </xf>
    <xf numFmtId="49" fontId="8" fillId="3" borderId="0">
      <alignment horizontal="left" vertical="top" wrapText="1"/>
    </xf>
    <xf numFmtId="49" fontId="8" fillId="3" borderId="0">
      <alignment horizontal="left" vertical="top" wrapText="1"/>
    </xf>
    <xf numFmtId="49" fontId="9" fillId="3" borderId="0">
      <alignment horizontal="left" vertical="top" wrapText="1"/>
    </xf>
    <xf numFmtId="49" fontId="10" fillId="3" borderId="0">
      <alignment vertical="top" wrapText="1"/>
    </xf>
    <xf numFmtId="49" fontId="8" fillId="3" borderId="0">
      <alignment horizontal="left" vertical="top" wrapText="1"/>
    </xf>
    <xf numFmtId="0" fontId="1" fillId="0" borderId="0">
      <alignment vertical="top"/>
    </xf>
    <xf numFmtId="0" fontId="11" fillId="3" borderId="0">
      <alignment horizontal="left" vertical="top" wrapText="1"/>
    </xf>
    <xf numFmtId="0" fontId="11" fillId="3" borderId="0">
      <alignment horizontal="left" vertical="top" wrapText="1"/>
    </xf>
    <xf numFmtId="0" fontId="11" fillId="3" borderId="0">
      <alignment horizontal="left" vertical="top" wrapText="1"/>
    </xf>
    <xf numFmtId="0" fontId="11" fillId="3" borderId="0">
      <alignment horizontal="left" vertical="top" wrapText="1"/>
    </xf>
    <xf numFmtId="0" fontId="11" fillId="3" borderId="0">
      <alignment horizontal="left" vertical="top" wrapText="1"/>
    </xf>
    <xf numFmtId="0" fontId="11" fillId="3" borderId="0">
      <alignment horizontal="left" vertical="top" wrapText="1"/>
    </xf>
    <xf numFmtId="44" fontId="1" fillId="0" borderId="0" applyFont="0" applyFill="0" applyBorder="0" applyAlignment="0" applyProtection="0">
      <alignment vertical="top"/>
    </xf>
    <xf numFmtId="49" fontId="3" fillId="3" borderId="0">
      <alignment horizontal="left" vertical="top"/>
    </xf>
    <xf numFmtId="49" fontId="10" fillId="3" borderId="0">
      <alignment horizontal="left" vertical="top"/>
    </xf>
    <xf numFmtId="0" fontId="12" fillId="3" borderId="0">
      <alignment horizontal="left" vertical="top" wrapText="1"/>
    </xf>
    <xf numFmtId="49" fontId="12" fillId="3" borderId="0">
      <alignment horizontal="left" vertical="top" wrapText="1"/>
    </xf>
    <xf numFmtId="49" fontId="13" fillId="3" borderId="0">
      <alignment horizontal="left" vertical="top"/>
    </xf>
    <xf numFmtId="0" fontId="1" fillId="0" borderId="0"/>
    <xf numFmtId="49" fontId="10" fillId="3" borderId="0">
      <alignment vertical="top" wrapText="1"/>
    </xf>
    <xf numFmtId="0" fontId="11" fillId="3" borderId="0">
      <alignment horizontal="left" vertical="top" wrapText="1"/>
    </xf>
    <xf numFmtId="0" fontId="11" fillId="3" borderId="0">
      <alignment horizontal="left" vertical="top" wrapText="1"/>
    </xf>
    <xf numFmtId="49" fontId="9" fillId="3" borderId="0">
      <alignment horizontal="left" vertical="top" wrapText="1"/>
    </xf>
    <xf numFmtId="49" fontId="14" fillId="3" borderId="0">
      <alignment horizontal="left" vertical="top"/>
    </xf>
    <xf numFmtId="0" fontId="17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64">
    <xf numFmtId="0" fontId="0" fillId="0" borderId="0" xfId="0"/>
    <xf numFmtId="49" fontId="1" fillId="2" borderId="1" xfId="1" applyNumberFormat="1" applyFill="1" applyBorder="1" applyProtection="1">
      <alignment vertical="top"/>
    </xf>
    <xf numFmtId="49" fontId="2" fillId="3" borderId="2" xfId="2" applyBorder="1">
      <alignment horizontal="left" vertical="top"/>
    </xf>
    <xf numFmtId="49" fontId="1" fillId="2" borderId="2" xfId="1" applyNumberFormat="1" applyFill="1" applyBorder="1" applyProtection="1">
      <alignment vertical="top"/>
    </xf>
    <xf numFmtId="0" fontId="1" fillId="2" borderId="2" xfId="1" applyFill="1" applyBorder="1" applyProtection="1">
      <alignment vertical="top"/>
    </xf>
    <xf numFmtId="14" fontId="1" fillId="2" borderId="3" xfId="1" applyNumberFormat="1" applyFill="1" applyBorder="1" applyProtection="1">
      <alignment vertical="top"/>
    </xf>
    <xf numFmtId="0" fontId="1" fillId="2" borderId="0" xfId="1" applyFill="1" applyProtection="1">
      <alignment vertical="top"/>
      <protection locked="0"/>
    </xf>
    <xf numFmtId="0" fontId="1" fillId="2" borderId="0" xfId="1" applyFill="1" applyProtection="1">
      <alignment vertical="top"/>
    </xf>
    <xf numFmtId="49" fontId="1" fillId="2" borderId="4" xfId="1" applyNumberFormat="1" applyFill="1" applyBorder="1" applyProtection="1">
      <alignment vertical="top"/>
    </xf>
    <xf numFmtId="49" fontId="3" fillId="3" borderId="0" xfId="3" applyBorder="1">
      <alignment horizontal="left" vertical="top"/>
    </xf>
    <xf numFmtId="49" fontId="1" fillId="2" borderId="0" xfId="1" applyNumberFormat="1" applyFill="1" applyBorder="1" applyProtection="1">
      <alignment vertical="top"/>
    </xf>
    <xf numFmtId="0" fontId="1" fillId="2" borderId="0" xfId="1" applyFill="1" applyBorder="1" applyProtection="1">
      <alignment vertical="top"/>
    </xf>
    <xf numFmtId="0" fontId="1" fillId="2" borderId="5" xfId="1" applyFill="1" applyBorder="1" applyProtection="1">
      <alignment vertical="top"/>
    </xf>
    <xf numFmtId="49" fontId="4" fillId="3" borderId="0" xfId="3" applyFont="1" applyBorder="1">
      <alignment horizontal="left" vertical="top"/>
    </xf>
    <xf numFmtId="49" fontId="5" fillId="3" borderId="0" xfId="4" applyBorder="1">
      <alignment horizontal="left" vertical="top"/>
    </xf>
    <xf numFmtId="49" fontId="6" fillId="2" borderId="8" xfId="1" applyNumberFormat="1" applyFont="1" applyFill="1" applyBorder="1" applyProtection="1">
      <alignment vertical="top"/>
    </xf>
    <xf numFmtId="0" fontId="6" fillId="2" borderId="0" xfId="1" applyFont="1" applyFill="1" applyProtection="1">
      <alignment vertical="top"/>
    </xf>
    <xf numFmtId="0" fontId="1" fillId="2" borderId="3" xfId="1" applyFill="1" applyBorder="1" applyProtection="1">
      <alignment vertical="top"/>
    </xf>
    <xf numFmtId="0" fontId="1" fillId="2" borderId="14" xfId="1" applyFill="1" applyBorder="1" applyProtection="1">
      <alignment vertical="top"/>
    </xf>
    <xf numFmtId="0" fontId="1" fillId="2" borderId="16" xfId="1" applyFill="1" applyBorder="1" applyProtection="1">
      <alignment vertical="top"/>
    </xf>
    <xf numFmtId="49" fontId="7" fillId="3" borderId="4" xfId="5" applyBorder="1" applyProtection="1">
      <alignment horizontal="left" vertical="top" wrapText="1"/>
    </xf>
    <xf numFmtId="0" fontId="1" fillId="2" borderId="17" xfId="1" applyFill="1" applyBorder="1" applyProtection="1">
      <alignment vertical="top"/>
    </xf>
    <xf numFmtId="0" fontId="1" fillId="2" borderId="19" xfId="1" applyFill="1" applyBorder="1" applyProtection="1">
      <alignment vertical="top"/>
    </xf>
    <xf numFmtId="49" fontId="8" fillId="3" borderId="4" xfId="7" applyBorder="1" applyProtection="1">
      <alignment horizontal="left" vertical="top" wrapText="1"/>
    </xf>
    <xf numFmtId="49" fontId="9" fillId="3" borderId="4" xfId="8" applyBorder="1" applyProtection="1">
      <alignment horizontal="left" vertical="top" wrapText="1"/>
    </xf>
    <xf numFmtId="49" fontId="10" fillId="3" borderId="0" xfId="9" applyBorder="1">
      <alignment vertical="top" wrapText="1"/>
    </xf>
    <xf numFmtId="0" fontId="10" fillId="3" borderId="5" xfId="9" applyNumberFormat="1" applyBorder="1" applyAlignment="1">
      <alignment horizontal="right" vertical="top" wrapText="1"/>
    </xf>
    <xf numFmtId="164" fontId="1" fillId="2" borderId="19" xfId="1" applyNumberFormat="1" applyFill="1" applyBorder="1" applyProtection="1">
      <alignment vertical="top"/>
      <protection locked="0"/>
    </xf>
    <xf numFmtId="49" fontId="8" fillId="3" borderId="4" xfId="10" applyBorder="1" applyProtection="1">
      <alignment horizontal="left" vertical="top" wrapText="1"/>
    </xf>
    <xf numFmtId="1" fontId="10" fillId="3" borderId="5" xfId="9" applyNumberFormat="1" applyBorder="1" applyAlignment="1">
      <alignment horizontal="right" vertical="top" wrapText="1"/>
    </xf>
    <xf numFmtId="49" fontId="9" fillId="3" borderId="4" xfId="8" applyFont="1" applyBorder="1" applyProtection="1">
      <alignment horizontal="left" vertical="top" wrapText="1"/>
    </xf>
    <xf numFmtId="49" fontId="6" fillId="2" borderId="4" xfId="1" applyNumberFormat="1" applyFont="1" applyFill="1" applyBorder="1" applyProtection="1">
      <alignment vertical="top"/>
    </xf>
    <xf numFmtId="0" fontId="6" fillId="2" borderId="17" xfId="1" applyFont="1" applyFill="1" applyBorder="1" applyProtection="1">
      <alignment vertical="top"/>
    </xf>
    <xf numFmtId="164" fontId="6" fillId="2" borderId="13" xfId="1" applyNumberFormat="1" applyFont="1" applyFill="1" applyBorder="1" applyProtection="1">
      <alignment vertical="top"/>
      <protection locked="0"/>
    </xf>
    <xf numFmtId="164" fontId="6" fillId="2" borderId="19" xfId="1" applyNumberFormat="1" applyFont="1" applyFill="1" applyBorder="1" applyProtection="1">
      <alignment vertical="top"/>
      <protection locked="0"/>
    </xf>
    <xf numFmtId="49" fontId="10" fillId="3" borderId="0" xfId="9" applyFont="1" applyBorder="1">
      <alignment vertical="top" wrapText="1"/>
    </xf>
    <xf numFmtId="0" fontId="1" fillId="2" borderId="21" xfId="1" applyFill="1" applyBorder="1" applyProtection="1">
      <alignment vertical="top"/>
    </xf>
    <xf numFmtId="0" fontId="1" fillId="2" borderId="23" xfId="1" applyFill="1" applyBorder="1" applyProtection="1">
      <alignment vertical="top"/>
    </xf>
    <xf numFmtId="49" fontId="1" fillId="2" borderId="0" xfId="1" applyNumberFormat="1" applyFill="1" applyProtection="1">
      <alignment vertical="top"/>
    </xf>
    <xf numFmtId="49" fontId="6" fillId="2" borderId="0" xfId="1" applyNumberFormat="1" applyFont="1" applyFill="1" applyProtection="1">
      <alignment vertical="top"/>
    </xf>
    <xf numFmtId="164" fontId="6" fillId="2" borderId="0" xfId="1" applyNumberFormat="1" applyFont="1" applyFill="1" applyProtection="1">
      <alignment vertical="top"/>
    </xf>
    <xf numFmtId="0" fontId="6" fillId="2" borderId="0" xfId="1" applyNumberFormat="1" applyFont="1" applyFill="1" applyProtection="1">
      <alignment vertical="top"/>
    </xf>
    <xf numFmtId="49" fontId="15" fillId="2" borderId="0" xfId="1" applyNumberFormat="1" applyFont="1" applyFill="1" applyBorder="1" applyProtection="1">
      <alignment vertical="top"/>
    </xf>
    <xf numFmtId="49" fontId="9" fillId="3" borderId="24" xfId="8" applyBorder="1" applyProtection="1">
      <alignment horizontal="left" vertical="top" wrapText="1"/>
    </xf>
    <xf numFmtId="0" fontId="1" fillId="2" borderId="27" xfId="1" applyFill="1" applyBorder="1" applyProtection="1">
      <alignment vertical="top"/>
    </xf>
    <xf numFmtId="0" fontId="1" fillId="2" borderId="29" xfId="1" applyFill="1" applyBorder="1" applyProtection="1">
      <alignment vertical="top"/>
    </xf>
    <xf numFmtId="49" fontId="16" fillId="3" borderId="0" xfId="9" applyFont="1" applyBorder="1">
      <alignment vertical="top" wrapText="1"/>
    </xf>
    <xf numFmtId="49" fontId="8" fillId="3" borderId="24" xfId="10" applyBorder="1" applyProtection="1">
      <alignment horizontal="left" vertical="top" wrapText="1"/>
    </xf>
    <xf numFmtId="49" fontId="8" fillId="4" borderId="8" xfId="6" applyFill="1" applyBorder="1" applyProtection="1">
      <alignment horizontal="left" vertical="top" wrapText="1"/>
    </xf>
    <xf numFmtId="0" fontId="1" fillId="4" borderId="11" xfId="1" applyFill="1" applyBorder="1" applyProtection="1">
      <alignment vertical="top"/>
    </xf>
    <xf numFmtId="0" fontId="1" fillId="4" borderId="13" xfId="1" applyFill="1" applyBorder="1" applyProtection="1">
      <alignment vertical="top"/>
    </xf>
    <xf numFmtId="49" fontId="16" fillId="3" borderId="0" xfId="9" applyFont="1" applyBorder="1" applyAlignment="1">
      <alignment vertical="top"/>
    </xf>
    <xf numFmtId="49" fontId="8" fillId="3" borderId="24" xfId="7" applyBorder="1" applyProtection="1">
      <alignment horizontal="left" vertical="top" wrapText="1"/>
    </xf>
    <xf numFmtId="49" fontId="8" fillId="4" borderId="8" xfId="6" applyFont="1" applyFill="1" applyBorder="1" applyProtection="1">
      <alignment horizontal="left" vertical="top" wrapText="1"/>
    </xf>
    <xf numFmtId="49" fontId="7" fillId="3" borderId="20" xfId="5" applyBorder="1" applyProtection="1">
      <alignment horizontal="left" vertical="top" wrapText="1"/>
    </xf>
    <xf numFmtId="4" fontId="1" fillId="2" borderId="2" xfId="1" applyNumberFormat="1" applyFill="1" applyBorder="1" applyProtection="1">
      <alignment vertical="top"/>
    </xf>
    <xf numFmtId="4" fontId="1" fillId="2" borderId="0" xfId="1" applyNumberFormat="1" applyFill="1" applyBorder="1" applyProtection="1">
      <alignment vertical="top"/>
    </xf>
    <xf numFmtId="4" fontId="1" fillId="2" borderId="15" xfId="1" applyNumberFormat="1" applyFill="1" applyBorder="1" applyProtection="1">
      <alignment vertical="top"/>
    </xf>
    <xf numFmtId="4" fontId="1" fillId="2" borderId="18" xfId="1" applyNumberFormat="1" applyFill="1" applyBorder="1" applyProtection="1">
      <alignment vertical="top"/>
    </xf>
    <xf numFmtId="4" fontId="1" fillId="4" borderId="12" xfId="1" applyNumberFormat="1" applyFill="1" applyBorder="1" applyProtection="1">
      <alignment vertical="top"/>
    </xf>
    <xf numFmtId="4" fontId="1" fillId="2" borderId="18" xfId="1" applyNumberFormat="1" applyFill="1" applyBorder="1" applyProtection="1">
      <alignment vertical="top"/>
      <protection locked="0"/>
    </xf>
    <xf numFmtId="4" fontId="1" fillId="2" borderId="28" xfId="1" applyNumberFormat="1" applyFill="1" applyBorder="1" applyProtection="1">
      <alignment vertical="top"/>
    </xf>
    <xf numFmtId="4" fontId="1" fillId="2" borderId="18" xfId="11" applyNumberFormat="1" applyFill="1" applyBorder="1" applyAlignment="1" applyProtection="1">
      <alignment horizontal="center" vertical="top"/>
    </xf>
    <xf numFmtId="4" fontId="6" fillId="2" borderId="18" xfId="1" applyNumberFormat="1" applyFont="1" applyFill="1" applyBorder="1" applyProtection="1">
      <alignment vertical="top"/>
    </xf>
    <xf numFmtId="4" fontId="1" fillId="2" borderId="22" xfId="1" applyNumberFormat="1" applyFill="1" applyBorder="1" applyProtection="1">
      <alignment vertical="top"/>
    </xf>
    <xf numFmtId="4" fontId="1" fillId="4" borderId="12" xfId="11" applyNumberFormat="1" applyFill="1" applyBorder="1" applyAlignment="1" applyProtection="1">
      <alignment horizontal="center" vertical="top"/>
    </xf>
    <xf numFmtId="4" fontId="1" fillId="2" borderId="0" xfId="1" applyNumberFormat="1" applyFill="1" applyProtection="1">
      <alignment vertical="top"/>
    </xf>
    <xf numFmtId="164" fontId="1" fillId="2" borderId="29" xfId="1" applyNumberFormat="1" applyFill="1" applyBorder="1" applyProtection="1">
      <alignment vertical="top"/>
      <protection locked="0"/>
    </xf>
    <xf numFmtId="0" fontId="1" fillId="2" borderId="0" xfId="1" applyFill="1" applyBorder="1" applyProtection="1">
      <alignment vertical="top"/>
      <protection locked="0"/>
    </xf>
    <xf numFmtId="0" fontId="1" fillId="2" borderId="30" xfId="1" applyFill="1" applyBorder="1" applyProtection="1">
      <alignment vertical="top"/>
    </xf>
    <xf numFmtId="4" fontId="1" fillId="2" borderId="31" xfId="1" applyNumberFormat="1" applyFill="1" applyBorder="1" applyProtection="1">
      <alignment vertical="top"/>
      <protection locked="0"/>
    </xf>
    <xf numFmtId="4" fontId="1" fillId="2" borderId="31" xfId="1" applyNumberFormat="1" applyFill="1" applyBorder="1" applyProtection="1">
      <alignment vertical="top"/>
    </xf>
    <xf numFmtId="49" fontId="10" fillId="3" borderId="0" xfId="9" applyBorder="1" applyAlignment="1">
      <alignment vertical="top"/>
    </xf>
    <xf numFmtId="4" fontId="15" fillId="5" borderId="5" xfId="9" applyNumberFormat="1" applyFont="1" applyFill="1" applyBorder="1" applyAlignment="1">
      <alignment horizontal="right" vertical="top" wrapText="1"/>
    </xf>
    <xf numFmtId="49" fontId="8" fillId="3" borderId="1" xfId="7" applyBorder="1" applyProtection="1">
      <alignment horizontal="left" vertical="top" wrapText="1"/>
    </xf>
    <xf numFmtId="4" fontId="1" fillId="5" borderId="18" xfId="1" applyNumberFormat="1" applyFill="1" applyBorder="1" applyProtection="1">
      <alignment vertical="top"/>
    </xf>
    <xf numFmtId="0" fontId="10" fillId="5" borderId="5" xfId="9" applyNumberFormat="1" applyFill="1" applyBorder="1" applyAlignment="1">
      <alignment horizontal="right" vertical="top" wrapText="1"/>
    </xf>
    <xf numFmtId="0" fontId="6" fillId="2" borderId="11" xfId="1" applyFont="1" applyFill="1" applyBorder="1" applyProtection="1">
      <alignment vertical="top"/>
    </xf>
    <xf numFmtId="4" fontId="6" fillId="2" borderId="12" xfId="1" applyNumberFormat="1" applyFont="1" applyFill="1" applyBorder="1" applyProtection="1">
      <alignment vertical="top"/>
    </xf>
    <xf numFmtId="0" fontId="6" fillId="2" borderId="13" xfId="1" applyFont="1" applyFill="1" applyBorder="1" applyProtection="1">
      <alignment vertical="top"/>
    </xf>
    <xf numFmtId="4" fontId="1" fillId="5" borderId="28" xfId="1" applyNumberFormat="1" applyFill="1" applyBorder="1" applyProtection="1">
      <alignment vertical="top"/>
    </xf>
    <xf numFmtId="49" fontId="1" fillId="2" borderId="33" xfId="1" applyNumberFormat="1" applyFill="1" applyBorder="1" applyProtection="1">
      <alignment vertical="top"/>
    </xf>
    <xf numFmtId="49" fontId="1" fillId="2" borderId="34" xfId="1" applyNumberFormat="1" applyFill="1" applyBorder="1" applyProtection="1">
      <alignment vertical="top"/>
    </xf>
    <xf numFmtId="0" fontId="1" fillId="2" borderId="35" xfId="1" applyFill="1" applyBorder="1" applyProtection="1">
      <alignment vertical="top"/>
    </xf>
    <xf numFmtId="164" fontId="1" fillId="2" borderId="32" xfId="1" applyNumberFormat="1" applyFill="1" applyBorder="1" applyProtection="1">
      <alignment vertical="top"/>
      <protection locked="0"/>
    </xf>
    <xf numFmtId="49" fontId="16" fillId="5" borderId="0" xfId="9" applyFont="1" applyFill="1" applyBorder="1">
      <alignment vertical="top" wrapText="1"/>
    </xf>
    <xf numFmtId="49" fontId="1" fillId="5" borderId="0" xfId="1" applyNumberFormat="1" applyFill="1" applyBorder="1" applyProtection="1">
      <alignment vertical="top"/>
    </xf>
    <xf numFmtId="0" fontId="1" fillId="5" borderId="5" xfId="1" applyFill="1" applyBorder="1" applyProtection="1">
      <alignment vertical="top"/>
    </xf>
    <xf numFmtId="49" fontId="10" fillId="5" borderId="0" xfId="9" applyFill="1" applyBorder="1">
      <alignment vertical="top" wrapText="1"/>
    </xf>
    <xf numFmtId="1" fontId="10" fillId="5" borderId="5" xfId="9" applyNumberFormat="1" applyFill="1" applyBorder="1" applyAlignment="1">
      <alignment horizontal="right" vertical="top" wrapText="1"/>
    </xf>
    <xf numFmtId="49" fontId="15" fillId="5" borderId="0" xfId="1" applyNumberFormat="1" applyFont="1" applyFill="1" applyBorder="1" applyProtection="1">
      <alignment vertical="top"/>
    </xf>
    <xf numFmtId="49" fontId="9" fillId="3" borderId="24" xfId="8" applyFont="1" applyBorder="1" applyProtection="1">
      <alignment horizontal="left" vertical="top" wrapText="1"/>
    </xf>
    <xf numFmtId="4" fontId="1" fillId="2" borderId="28" xfId="11" applyNumberFormat="1" applyFill="1" applyBorder="1" applyAlignment="1" applyProtection="1">
      <alignment horizontal="center" vertical="top"/>
    </xf>
    <xf numFmtId="4" fontId="1" fillId="2" borderId="19" xfId="1" applyNumberFormat="1" applyFill="1" applyBorder="1" applyProtection="1">
      <alignment vertical="top"/>
    </xf>
    <xf numFmtId="4" fontId="1" fillId="2" borderId="19" xfId="1" applyNumberFormat="1" applyFill="1" applyBorder="1" applyProtection="1">
      <alignment vertical="top"/>
      <protection locked="0"/>
    </xf>
    <xf numFmtId="4" fontId="1" fillId="2" borderId="29" xfId="1" applyNumberFormat="1" applyFill="1" applyBorder="1" applyProtection="1">
      <alignment vertical="top"/>
    </xf>
    <xf numFmtId="4" fontId="1" fillId="5" borderId="18" xfId="1" applyNumberFormat="1" applyFill="1" applyBorder="1" applyProtection="1">
      <alignment vertical="top"/>
      <protection locked="0"/>
    </xf>
    <xf numFmtId="4" fontId="1" fillId="2" borderId="3" xfId="1" applyNumberFormat="1" applyFill="1" applyBorder="1" applyProtection="1">
      <alignment vertical="top"/>
    </xf>
    <xf numFmtId="4" fontId="1" fillId="2" borderId="5" xfId="1" applyNumberFormat="1" applyFill="1" applyBorder="1" applyProtection="1">
      <alignment vertical="top"/>
    </xf>
    <xf numFmtId="4" fontId="6" fillId="2" borderId="13" xfId="1" applyNumberFormat="1" applyFont="1" applyFill="1" applyBorder="1" applyProtection="1">
      <alignment vertical="top"/>
    </xf>
    <xf numFmtId="4" fontId="1" fillId="2" borderId="16" xfId="1" applyNumberFormat="1" applyFill="1" applyBorder="1" applyProtection="1">
      <alignment vertical="top"/>
    </xf>
    <xf numFmtId="0" fontId="1" fillId="4" borderId="17" xfId="1" applyFill="1" applyBorder="1" applyProtection="1">
      <alignment vertical="top"/>
    </xf>
    <xf numFmtId="4" fontId="1" fillId="4" borderId="18" xfId="1" applyNumberFormat="1" applyFill="1" applyBorder="1" applyProtection="1">
      <alignment vertical="top"/>
    </xf>
    <xf numFmtId="4" fontId="1" fillId="4" borderId="19" xfId="1" applyNumberFormat="1" applyFill="1" applyBorder="1" applyProtection="1">
      <alignment vertical="top"/>
    </xf>
    <xf numFmtId="0" fontId="15" fillId="2" borderId="5" xfId="1" applyFont="1" applyFill="1" applyBorder="1" applyProtection="1">
      <alignment vertical="top"/>
    </xf>
    <xf numFmtId="1" fontId="15" fillId="2" borderId="5" xfId="1" applyNumberFormat="1" applyFont="1" applyFill="1" applyBorder="1" applyProtection="1">
      <alignment vertical="top"/>
    </xf>
    <xf numFmtId="49" fontId="8" fillId="3" borderId="24" xfId="7" applyFont="1" applyBorder="1" applyProtection="1">
      <alignment horizontal="left" vertical="top" wrapText="1"/>
    </xf>
    <xf numFmtId="1" fontId="10" fillId="3" borderId="5" xfId="9" applyNumberFormat="1" applyFont="1" applyBorder="1" applyAlignment="1">
      <alignment horizontal="right" vertical="top" wrapText="1"/>
    </xf>
    <xf numFmtId="4" fontId="6" fillId="2" borderId="13" xfId="1" applyNumberFormat="1" applyFont="1" applyFill="1" applyBorder="1" applyProtection="1">
      <alignment vertical="top"/>
      <protection locked="0"/>
    </xf>
    <xf numFmtId="0" fontId="18" fillId="5" borderId="0" xfId="30" applyFont="1" applyFill="1" applyBorder="1"/>
    <xf numFmtId="0" fontId="10" fillId="3" borderId="5" xfId="9" applyNumberFormat="1" applyFont="1" applyBorder="1" applyAlignment="1">
      <alignment horizontal="right" vertical="top" wrapText="1"/>
    </xf>
    <xf numFmtId="49" fontId="10" fillId="3" borderId="5" xfId="9" applyFont="1" applyBorder="1" applyAlignment="1">
      <alignment horizontal="right" vertical="top" wrapText="1"/>
    </xf>
    <xf numFmtId="2" fontId="10" fillId="3" borderId="5" xfId="9" applyNumberFormat="1" applyFont="1" applyBorder="1" applyAlignment="1">
      <alignment horizontal="right" vertical="top" wrapText="1"/>
    </xf>
    <xf numFmtId="2" fontId="15" fillId="2" borderId="5" xfId="1" applyNumberFormat="1" applyFont="1" applyFill="1" applyBorder="1" applyProtection="1">
      <alignment vertical="top"/>
    </xf>
    <xf numFmtId="2" fontId="10" fillId="3" borderId="5" xfId="9" applyNumberFormat="1" applyBorder="1" applyAlignment="1">
      <alignment horizontal="right" vertical="top" wrapText="1"/>
    </xf>
    <xf numFmtId="49" fontId="9" fillId="3" borderId="1" xfId="8" applyBorder="1" applyProtection="1">
      <alignment horizontal="left" vertical="top" wrapText="1"/>
    </xf>
    <xf numFmtId="4" fontId="6" fillId="2" borderId="0" xfId="1" applyNumberFormat="1" applyFont="1" applyFill="1" applyProtection="1">
      <alignment vertical="top"/>
    </xf>
    <xf numFmtId="0" fontId="19" fillId="0" borderId="0" xfId="0" applyFont="1"/>
    <xf numFmtId="0" fontId="20" fillId="3" borderId="5" xfId="9" applyNumberFormat="1" applyFont="1" applyBorder="1" applyAlignment="1">
      <alignment horizontal="right" vertical="top" wrapText="1"/>
    </xf>
    <xf numFmtId="4" fontId="1" fillId="5" borderId="19" xfId="1" applyNumberFormat="1" applyFill="1" applyBorder="1" applyProtection="1">
      <alignment vertical="top"/>
      <protection locked="0"/>
    </xf>
    <xf numFmtId="4" fontId="6" fillId="5" borderId="0" xfId="1" applyNumberFormat="1" applyFont="1" applyFill="1" applyProtection="1">
      <alignment vertical="top"/>
    </xf>
    <xf numFmtId="164" fontId="6" fillId="5" borderId="0" xfId="1" applyNumberFormat="1" applyFont="1" applyFill="1" applyProtection="1">
      <alignment vertical="top"/>
    </xf>
    <xf numFmtId="4" fontId="1" fillId="5" borderId="18" xfId="11" applyNumberFormat="1" applyFill="1" applyBorder="1" applyAlignment="1" applyProtection="1">
      <alignment horizontal="center" vertical="top"/>
    </xf>
    <xf numFmtId="4" fontId="0" fillId="0" borderId="36" xfId="0" applyNumberFormat="1" applyFont="1" applyBorder="1"/>
    <xf numFmtId="4" fontId="0" fillId="0" borderId="36" xfId="0" applyNumberFormat="1" applyFill="1" applyBorder="1"/>
    <xf numFmtId="4" fontId="19" fillId="0" borderId="36" xfId="0" applyNumberFormat="1" applyFont="1" applyBorder="1"/>
    <xf numFmtId="4" fontId="19" fillId="0" borderId="36" xfId="0" applyNumberFormat="1" applyFont="1" applyFill="1" applyBorder="1"/>
    <xf numFmtId="4" fontId="1" fillId="2" borderId="18" xfId="1" applyNumberFormat="1" applyFill="1" applyBorder="1" applyAlignment="1" applyProtection="1">
      <alignment horizontal="right" vertical="top"/>
    </xf>
    <xf numFmtId="4" fontId="1" fillId="2" borderId="28" xfId="1" applyNumberFormat="1" applyFill="1" applyBorder="1" applyAlignment="1" applyProtection="1">
      <alignment horizontal="right" vertical="top"/>
    </xf>
    <xf numFmtId="0" fontId="1" fillId="2" borderId="5" xfId="1" applyFont="1" applyFill="1" applyBorder="1" applyProtection="1">
      <alignment vertical="top"/>
    </xf>
    <xf numFmtId="0" fontId="1" fillId="2" borderId="17" xfId="1" applyFont="1" applyFill="1" applyBorder="1" applyProtection="1">
      <alignment vertical="top"/>
    </xf>
    <xf numFmtId="4" fontId="1" fillId="2" borderId="18" xfId="1" applyNumberFormat="1" applyFont="1" applyFill="1" applyBorder="1" applyProtection="1">
      <alignment vertical="top"/>
    </xf>
    <xf numFmtId="0" fontId="1" fillId="2" borderId="19" xfId="1" applyFont="1" applyFill="1" applyBorder="1" applyProtection="1">
      <alignment vertical="top"/>
    </xf>
    <xf numFmtId="0" fontId="15" fillId="3" borderId="5" xfId="9" applyNumberFormat="1" applyFont="1" applyBorder="1" applyAlignment="1">
      <alignment horizontal="right" vertical="top" wrapText="1"/>
    </xf>
    <xf numFmtId="4" fontId="1" fillId="2" borderId="18" xfId="1" applyNumberFormat="1" applyFont="1" applyFill="1" applyBorder="1" applyProtection="1">
      <alignment vertical="top"/>
      <protection locked="0"/>
    </xf>
    <xf numFmtId="164" fontId="1" fillId="2" borderId="19" xfId="1" applyNumberFormat="1" applyFont="1" applyFill="1" applyBorder="1" applyProtection="1">
      <alignment vertical="top"/>
      <protection locked="0"/>
    </xf>
    <xf numFmtId="49" fontId="24" fillId="3" borderId="0" xfId="9" applyFont="1" applyBorder="1">
      <alignment vertical="top" wrapText="1"/>
    </xf>
    <xf numFmtId="49" fontId="1" fillId="2" borderId="0" xfId="1" applyNumberFormat="1" applyFont="1" applyFill="1" applyBorder="1" applyProtection="1">
      <alignment vertical="top"/>
    </xf>
    <xf numFmtId="49" fontId="15" fillId="3" borderId="0" xfId="9" applyFont="1" applyBorder="1">
      <alignment vertical="top" wrapText="1"/>
    </xf>
    <xf numFmtId="49" fontId="23" fillId="3" borderId="24" xfId="8" applyFont="1" applyBorder="1" applyProtection="1">
      <alignment horizontal="left" vertical="top" wrapText="1"/>
    </xf>
    <xf numFmtId="0" fontId="1" fillId="2" borderId="27" xfId="1" applyFont="1" applyFill="1" applyBorder="1" applyProtection="1">
      <alignment vertical="top"/>
    </xf>
    <xf numFmtId="4" fontId="1" fillId="2" borderId="28" xfId="1" applyNumberFormat="1" applyFont="1" applyFill="1" applyBorder="1" applyProtection="1">
      <alignment vertical="top"/>
    </xf>
    <xf numFmtId="0" fontId="1" fillId="2" borderId="29" xfId="1" applyFont="1" applyFill="1" applyBorder="1" applyProtection="1">
      <alignment vertical="top"/>
    </xf>
    <xf numFmtId="0" fontId="1" fillId="2" borderId="0" xfId="1" applyFont="1" applyFill="1" applyProtection="1">
      <alignment vertical="top"/>
      <protection locked="0"/>
    </xf>
    <xf numFmtId="49" fontId="1" fillId="2" borderId="4" xfId="1" applyNumberFormat="1" applyFont="1" applyFill="1" applyBorder="1" applyProtection="1">
      <alignment vertical="top"/>
    </xf>
    <xf numFmtId="49" fontId="23" fillId="3" borderId="4" xfId="8" applyFont="1" applyBorder="1" applyProtection="1">
      <alignment horizontal="left" vertical="top" wrapText="1"/>
    </xf>
    <xf numFmtId="0" fontId="1" fillId="2" borderId="0" xfId="1" applyFont="1" applyFill="1" applyProtection="1">
      <alignment vertical="top"/>
    </xf>
    <xf numFmtId="49" fontId="15" fillId="3" borderId="5" xfId="9" applyFont="1" applyBorder="1" applyAlignment="1">
      <alignment horizontal="right" vertical="top" wrapText="1"/>
    </xf>
    <xf numFmtId="4" fontId="1" fillId="5" borderId="18" xfId="1" applyNumberFormat="1" applyFont="1" applyFill="1" applyBorder="1" applyProtection="1">
      <alignment vertical="top"/>
    </xf>
    <xf numFmtId="164" fontId="1" fillId="2" borderId="29" xfId="1" applyNumberFormat="1" applyFont="1" applyFill="1" applyBorder="1" applyProtection="1">
      <alignment vertical="top"/>
      <protection locked="0"/>
    </xf>
    <xf numFmtId="0" fontId="1" fillId="2" borderId="25" xfId="1" applyFont="1" applyFill="1" applyBorder="1" applyProtection="1">
      <alignment vertical="top"/>
    </xf>
    <xf numFmtId="4" fontId="1" fillId="2" borderId="28" xfId="1" applyNumberFormat="1" applyFont="1" applyFill="1" applyBorder="1" applyProtection="1">
      <alignment vertical="top"/>
      <protection locked="0"/>
    </xf>
    <xf numFmtId="49" fontId="24" fillId="3" borderId="0" xfId="9" applyFont="1" applyBorder="1" applyAlignment="1">
      <alignment vertical="top"/>
    </xf>
    <xf numFmtId="0" fontId="15" fillId="3" borderId="0" xfId="9" applyNumberFormat="1" applyFont="1" applyBorder="1" applyAlignment="1">
      <alignment horizontal="right" vertical="top" wrapText="1"/>
    </xf>
    <xf numFmtId="0" fontId="1" fillId="2" borderId="0" xfId="1" applyFont="1" applyFill="1" applyBorder="1" applyProtection="1">
      <alignment vertical="top"/>
    </xf>
    <xf numFmtId="49" fontId="25" fillId="3" borderId="24" xfId="7" applyFont="1" applyBorder="1" applyProtection="1">
      <alignment horizontal="left" vertical="top" wrapText="1"/>
    </xf>
    <xf numFmtId="49" fontId="25" fillId="3" borderId="4" xfId="10" applyFont="1" applyBorder="1" applyProtection="1">
      <alignment horizontal="left" vertical="top" wrapText="1"/>
    </xf>
    <xf numFmtId="49" fontId="8" fillId="3" borderId="2" xfId="7" applyBorder="1" applyAlignment="1" applyProtection="1">
      <alignment wrapText="1"/>
    </xf>
    <xf numFmtId="49" fontId="8" fillId="3" borderId="3" xfId="7" applyBorder="1" applyAlignment="1" applyProtection="1">
      <alignment wrapText="1"/>
    </xf>
    <xf numFmtId="49" fontId="8" fillId="3" borderId="15" xfId="7" applyBorder="1" applyAlignment="1" applyProtection="1">
      <alignment wrapText="1"/>
    </xf>
    <xf numFmtId="49" fontId="25" fillId="4" borderId="8" xfId="6" applyFont="1" applyFill="1" applyBorder="1" applyProtection="1">
      <alignment horizontal="left" vertical="top" wrapText="1"/>
    </xf>
    <xf numFmtId="0" fontId="1" fillId="4" borderId="11" xfId="1" applyFont="1" applyFill="1" applyBorder="1" applyProtection="1">
      <alignment vertical="top"/>
    </xf>
    <xf numFmtId="4" fontId="1" fillId="4" borderId="12" xfId="1" applyNumberFormat="1" applyFont="1" applyFill="1" applyBorder="1" applyProtection="1">
      <alignment vertical="top"/>
    </xf>
    <xf numFmtId="4" fontId="1" fillId="4" borderId="12" xfId="11" applyNumberFormat="1" applyFont="1" applyFill="1" applyBorder="1" applyAlignment="1" applyProtection="1">
      <alignment horizontal="center" vertical="top"/>
    </xf>
    <xf numFmtId="0" fontId="1" fillId="4" borderId="13" xfId="1" applyFont="1" applyFill="1" applyBorder="1" applyProtection="1">
      <alignment vertical="top"/>
    </xf>
    <xf numFmtId="4" fontId="1" fillId="2" borderId="18" xfId="11" applyNumberFormat="1" applyFont="1" applyFill="1" applyBorder="1" applyAlignment="1" applyProtection="1">
      <alignment horizontal="center" vertical="top"/>
    </xf>
    <xf numFmtId="49" fontId="24" fillId="5" borderId="0" xfId="9" applyFont="1" applyFill="1" applyBorder="1">
      <alignment vertical="top" wrapText="1"/>
    </xf>
    <xf numFmtId="49" fontId="1" fillId="5" borderId="0" xfId="1" applyNumberFormat="1" applyFont="1" applyFill="1" applyBorder="1" applyProtection="1">
      <alignment vertical="top"/>
    </xf>
    <xf numFmtId="0" fontId="1" fillId="5" borderId="5" xfId="1" applyFont="1" applyFill="1" applyBorder="1" applyProtection="1">
      <alignment vertical="top"/>
    </xf>
    <xf numFmtId="49" fontId="15" fillId="5" borderId="0" xfId="9" applyFont="1" applyFill="1" applyBorder="1">
      <alignment vertical="top" wrapText="1"/>
    </xf>
    <xf numFmtId="1" fontId="15" fillId="5" borderId="5" xfId="9" applyNumberFormat="1" applyFont="1" applyFill="1" applyBorder="1" applyAlignment="1">
      <alignment horizontal="right" vertical="top" wrapText="1"/>
    </xf>
    <xf numFmtId="4" fontId="1" fillId="2" borderId="28" xfId="11" applyNumberFormat="1" applyFont="1" applyFill="1" applyBorder="1" applyAlignment="1" applyProtection="1">
      <alignment horizontal="center" vertical="top"/>
    </xf>
    <xf numFmtId="4" fontId="1" fillId="5" borderId="18" xfId="11" applyNumberFormat="1" applyFont="1" applyFill="1" applyBorder="1" applyAlignment="1" applyProtection="1">
      <alignment horizontal="center" vertical="top"/>
    </xf>
    <xf numFmtId="4" fontId="1" fillId="5" borderId="28" xfId="11" applyNumberFormat="1" applyFont="1" applyFill="1" applyBorder="1" applyAlignment="1" applyProtection="1">
      <alignment horizontal="center" vertical="top"/>
    </xf>
    <xf numFmtId="49" fontId="1" fillId="2" borderId="20" xfId="1" applyNumberFormat="1" applyFont="1" applyFill="1" applyBorder="1" applyProtection="1">
      <alignment vertical="top"/>
    </xf>
    <xf numFmtId="49" fontId="1" fillId="2" borderId="6" xfId="1" applyNumberFormat="1" applyFont="1" applyFill="1" applyBorder="1" applyProtection="1">
      <alignment vertical="top"/>
    </xf>
    <xf numFmtId="0" fontId="1" fillId="2" borderId="7" xfId="1" applyFont="1" applyFill="1" applyBorder="1" applyProtection="1">
      <alignment vertical="top"/>
    </xf>
    <xf numFmtId="0" fontId="1" fillId="2" borderId="21" xfId="1" applyFont="1" applyFill="1" applyBorder="1" applyProtection="1">
      <alignment vertical="top"/>
    </xf>
    <xf numFmtId="4" fontId="1" fillId="2" borderId="22" xfId="1" applyNumberFormat="1" applyFont="1" applyFill="1" applyBorder="1" applyProtection="1">
      <alignment vertical="top"/>
    </xf>
    <xf numFmtId="0" fontId="1" fillId="2" borderId="23" xfId="1" applyFont="1" applyFill="1" applyBorder="1" applyProtection="1">
      <alignment vertical="top"/>
    </xf>
    <xf numFmtId="49" fontId="1" fillId="2" borderId="0" xfId="1" applyNumberFormat="1" applyFont="1" applyFill="1" applyProtection="1">
      <alignment vertical="top"/>
    </xf>
    <xf numFmtId="4" fontId="1" fillId="2" borderId="0" xfId="1" applyNumberFormat="1" applyFont="1" applyFill="1" applyProtection="1">
      <alignment vertical="top"/>
    </xf>
    <xf numFmtId="1" fontId="15" fillId="3" borderId="5" xfId="9" applyNumberFormat="1" applyFont="1" applyBorder="1" applyAlignment="1">
      <alignment horizontal="right" vertical="top" wrapText="1"/>
    </xf>
    <xf numFmtId="4" fontId="1" fillId="0" borderId="18" xfId="1" applyNumberFormat="1" applyFont="1" applyFill="1" applyBorder="1" applyProtection="1">
      <alignment vertical="top"/>
    </xf>
    <xf numFmtId="4" fontId="1" fillId="2" borderId="29" xfId="1" applyNumberFormat="1" applyFont="1" applyFill="1" applyBorder="1" applyProtection="1">
      <alignment vertical="top"/>
    </xf>
    <xf numFmtId="4" fontId="1" fillId="2" borderId="19" xfId="1" applyNumberFormat="1" applyFont="1" applyFill="1" applyBorder="1" applyProtection="1">
      <alignment vertical="top"/>
    </xf>
    <xf numFmtId="4" fontId="1" fillId="2" borderId="19" xfId="1" applyNumberFormat="1" applyFont="1" applyFill="1" applyBorder="1" applyProtection="1">
      <alignment vertical="top"/>
      <protection locked="0"/>
    </xf>
    <xf numFmtId="0" fontId="1" fillId="4" borderId="17" xfId="1" applyFont="1" applyFill="1" applyBorder="1" applyProtection="1">
      <alignment vertical="top"/>
    </xf>
    <xf numFmtId="4" fontId="1" fillId="4" borderId="18" xfId="1" applyNumberFormat="1" applyFont="1" applyFill="1" applyBorder="1" applyProtection="1">
      <alignment vertical="top"/>
    </xf>
    <xf numFmtId="4" fontId="1" fillId="4" borderId="19" xfId="1" applyNumberFormat="1" applyFont="1" applyFill="1" applyBorder="1" applyProtection="1">
      <alignment vertical="top"/>
    </xf>
    <xf numFmtId="49" fontId="23" fillId="3" borderId="1" xfId="8" applyFont="1" applyBorder="1" applyProtection="1">
      <alignment horizontal="left" vertical="top" wrapText="1"/>
    </xf>
    <xf numFmtId="4" fontId="1" fillId="2" borderId="23" xfId="1" applyNumberFormat="1" applyFont="1" applyFill="1" applyBorder="1" applyProtection="1">
      <alignment vertical="top"/>
    </xf>
    <xf numFmtId="49" fontId="26" fillId="3" borderId="0" xfId="4" applyFont="1" applyBorder="1">
      <alignment horizontal="left" vertical="top"/>
    </xf>
    <xf numFmtId="49" fontId="8" fillId="3" borderId="0" xfId="6" applyFont="1" applyBorder="1" applyAlignment="1" applyProtection="1">
      <alignment horizontal="right" vertical="top" wrapText="1"/>
    </xf>
    <xf numFmtId="49" fontId="8" fillId="3" borderId="5" xfId="6" applyFont="1" applyBorder="1" applyAlignment="1" applyProtection="1">
      <alignment horizontal="right" vertical="top" wrapText="1"/>
    </xf>
    <xf numFmtId="49" fontId="23" fillId="3" borderId="0" xfId="8" applyFont="1" applyBorder="1" applyProtection="1">
      <alignment horizontal="left" vertical="top" wrapText="1"/>
    </xf>
    <xf numFmtId="49" fontId="23" fillId="3" borderId="5" xfId="8" applyFont="1" applyBorder="1" applyProtection="1">
      <alignment horizontal="left" vertical="top" wrapText="1"/>
    </xf>
    <xf numFmtId="0" fontId="0" fillId="2" borderId="0" xfId="1" applyFont="1" applyFill="1" applyBorder="1" applyAlignment="1" applyProtection="1">
      <alignment horizontal="center" vertical="top"/>
    </xf>
    <xf numFmtId="49" fontId="23" fillId="3" borderId="25" xfId="8" applyFont="1" applyBorder="1" applyProtection="1">
      <alignment horizontal="left" vertical="top" wrapText="1"/>
    </xf>
    <xf numFmtId="49" fontId="23" fillId="3" borderId="26" xfId="8" applyFont="1" applyBorder="1" applyProtection="1">
      <alignment horizontal="left" vertical="top" wrapText="1"/>
    </xf>
    <xf numFmtId="49" fontId="25" fillId="4" borderId="9" xfId="6" applyFont="1" applyFill="1" applyBorder="1" applyProtection="1">
      <alignment horizontal="left" vertical="top" wrapText="1"/>
    </xf>
    <xf numFmtId="49" fontId="25" fillId="4" borderId="10" xfId="6" applyFont="1" applyFill="1" applyBorder="1" applyProtection="1">
      <alignment horizontal="left" vertical="top" wrapText="1"/>
    </xf>
    <xf numFmtId="49" fontId="23" fillId="5" borderId="0" xfId="8" applyFont="1" applyFill="1" applyBorder="1" applyProtection="1">
      <alignment horizontal="left" vertical="top" wrapText="1"/>
    </xf>
    <xf numFmtId="49" fontId="23" fillId="5" borderId="5" xfId="8" applyFont="1" applyFill="1" applyBorder="1" applyProtection="1">
      <alignment horizontal="left" vertical="top" wrapText="1"/>
    </xf>
    <xf numFmtId="49" fontId="25" fillId="3" borderId="0" xfId="6" applyFont="1" applyBorder="1" applyAlignment="1" applyProtection="1">
      <alignment horizontal="right" vertical="top" wrapText="1"/>
    </xf>
    <xf numFmtId="49" fontId="25" fillId="3" borderId="5" xfId="6" applyFont="1" applyBorder="1" applyAlignment="1" applyProtection="1">
      <alignment horizontal="right" vertical="top" wrapText="1"/>
    </xf>
    <xf numFmtId="49" fontId="8" fillId="3" borderId="25" xfId="7" applyBorder="1" applyProtection="1">
      <alignment horizontal="left" vertical="top" wrapText="1"/>
    </xf>
    <xf numFmtId="49" fontId="8" fillId="3" borderId="26" xfId="7" applyBorder="1" applyProtection="1">
      <alignment horizontal="left" vertical="top" wrapText="1"/>
    </xf>
    <xf numFmtId="49" fontId="9" fillId="3" borderId="25" xfId="8" applyBorder="1" applyProtection="1">
      <alignment horizontal="left" vertical="top" wrapText="1"/>
    </xf>
    <xf numFmtId="49" fontId="9" fillId="3" borderId="26" xfId="8" applyBorder="1" applyProtection="1">
      <alignment horizontal="left" vertical="top" wrapText="1"/>
    </xf>
    <xf numFmtId="49" fontId="9" fillId="3" borderId="0" xfId="8" applyBorder="1" applyProtection="1">
      <alignment horizontal="left" vertical="top" wrapText="1"/>
    </xf>
    <xf numFmtId="49" fontId="9" fillId="3" borderId="5" xfId="8" applyBorder="1" applyProtection="1">
      <alignment horizontal="left" vertical="top" wrapText="1"/>
    </xf>
    <xf numFmtId="49" fontId="8" fillId="3" borderId="25" xfId="10" applyBorder="1" applyProtection="1">
      <alignment horizontal="left" vertical="top" wrapText="1"/>
    </xf>
    <xf numFmtId="49" fontId="8" fillId="3" borderId="26" xfId="10" applyBorder="1" applyProtection="1">
      <alignment horizontal="left" vertical="top" wrapText="1"/>
    </xf>
    <xf numFmtId="49" fontId="8" fillId="3" borderId="0" xfId="10" applyBorder="1" applyProtection="1">
      <alignment horizontal="left" vertical="top" wrapText="1"/>
    </xf>
    <xf numFmtId="49" fontId="8" fillId="3" borderId="5" xfId="10" applyBorder="1" applyProtection="1">
      <alignment horizontal="left" vertical="top" wrapText="1"/>
    </xf>
    <xf numFmtId="49" fontId="8" fillId="3" borderId="0" xfId="6" applyFont="1" applyBorder="1" applyAlignment="1" applyProtection="1">
      <alignment horizontal="right" vertical="top" wrapText="1"/>
    </xf>
    <xf numFmtId="49" fontId="8" fillId="3" borderId="5" xfId="6" applyFont="1" applyBorder="1" applyAlignment="1" applyProtection="1">
      <alignment horizontal="right" vertical="top" wrapText="1"/>
    </xf>
    <xf numFmtId="49" fontId="7" fillId="3" borderId="6" xfId="5" applyBorder="1" applyProtection="1">
      <alignment horizontal="left" vertical="top" wrapText="1"/>
    </xf>
    <xf numFmtId="49" fontId="7" fillId="3" borderId="7" xfId="5" applyBorder="1" applyProtection="1">
      <alignment horizontal="left" vertical="top" wrapText="1"/>
    </xf>
    <xf numFmtId="0" fontId="0" fillId="2" borderId="0" xfId="1" applyFont="1" applyFill="1" applyBorder="1" applyAlignment="1" applyProtection="1">
      <alignment horizontal="center" vertical="top"/>
    </xf>
    <xf numFmtId="0" fontId="1" fillId="0" borderId="0" xfId="1" applyBorder="1" applyAlignment="1">
      <alignment horizontal="center" vertical="top"/>
    </xf>
    <xf numFmtId="0" fontId="1" fillId="0" borderId="5" xfId="1" applyBorder="1" applyAlignment="1">
      <alignment horizontal="center" vertical="top"/>
    </xf>
    <xf numFmtId="49" fontId="6" fillId="2" borderId="9" xfId="1" applyNumberFormat="1" applyFont="1" applyFill="1" applyBorder="1" applyProtection="1">
      <alignment vertical="top"/>
    </xf>
    <xf numFmtId="49" fontId="6" fillId="2" borderId="10" xfId="1" applyNumberFormat="1" applyFont="1" applyFill="1" applyBorder="1" applyProtection="1">
      <alignment vertical="top"/>
    </xf>
    <xf numFmtId="49" fontId="7" fillId="3" borderId="0" xfId="5" applyBorder="1" applyProtection="1">
      <alignment horizontal="left" vertical="top" wrapText="1"/>
    </xf>
    <xf numFmtId="49" fontId="7" fillId="3" borderId="5" xfId="5" applyBorder="1" applyProtection="1">
      <alignment horizontal="left" vertical="top" wrapText="1"/>
    </xf>
    <xf numFmtId="49" fontId="8" fillId="4" borderId="9" xfId="6" applyFill="1" applyBorder="1" applyProtection="1">
      <alignment horizontal="left" vertical="top" wrapText="1"/>
    </xf>
    <xf numFmtId="49" fontId="8" fillId="4" borderId="10" xfId="6" applyFill="1" applyBorder="1" applyProtection="1">
      <alignment horizontal="left" vertical="top" wrapText="1"/>
    </xf>
    <xf numFmtId="49" fontId="8" fillId="3" borderId="0" xfId="7" applyBorder="1" applyProtection="1">
      <alignment horizontal="left" vertical="top" wrapText="1"/>
    </xf>
    <xf numFmtId="49" fontId="8" fillId="3" borderId="5" xfId="7" applyBorder="1" applyProtection="1">
      <alignment horizontal="left" vertical="top" wrapText="1"/>
    </xf>
    <xf numFmtId="0" fontId="21" fillId="5" borderId="6" xfId="1" applyFont="1" applyFill="1" applyBorder="1" applyAlignment="1">
      <alignment horizontal="center" vertical="top"/>
    </xf>
    <xf numFmtId="0" fontId="21" fillId="5" borderId="7" xfId="1" applyFont="1" applyFill="1" applyBorder="1" applyAlignment="1">
      <alignment horizontal="center" vertical="top"/>
    </xf>
    <xf numFmtId="49" fontId="23" fillId="3" borderId="0" xfId="8" applyFont="1" applyBorder="1" applyProtection="1">
      <alignment horizontal="left" vertical="top" wrapText="1"/>
    </xf>
    <xf numFmtId="49" fontId="23" fillId="3" borderId="5" xfId="8" applyFont="1" applyBorder="1" applyProtection="1">
      <alignment horizontal="left" vertical="top" wrapText="1"/>
    </xf>
    <xf numFmtId="49" fontId="8" fillId="3" borderId="2" xfId="7" applyBorder="1" applyAlignment="1" applyProtection="1">
      <alignment horizontal="left" wrapText="1"/>
    </xf>
    <xf numFmtId="49" fontId="8" fillId="3" borderId="3" xfId="7" applyBorder="1" applyAlignment="1" applyProtection="1">
      <alignment horizontal="left" wrapText="1"/>
    </xf>
    <xf numFmtId="49" fontId="25" fillId="3" borderId="25" xfId="7" applyFont="1" applyBorder="1" applyProtection="1">
      <alignment horizontal="left" vertical="top" wrapText="1"/>
    </xf>
    <xf numFmtId="49" fontId="25" fillId="3" borderId="26" xfId="7" applyFont="1" applyBorder="1" applyProtection="1">
      <alignment horizontal="left" vertical="top" wrapText="1"/>
    </xf>
    <xf numFmtId="49" fontId="6" fillId="2" borderId="0" xfId="1" applyNumberFormat="1" applyFont="1" applyFill="1" applyAlignment="1" applyProtection="1">
      <alignment vertical="top" wrapText="1"/>
    </xf>
    <xf numFmtId="0" fontId="0" fillId="0" borderId="0" xfId="0" applyAlignment="1">
      <alignment vertical="top" wrapText="1"/>
    </xf>
    <xf numFmtId="49" fontId="9" fillId="5" borderId="0" xfId="8" applyFont="1" applyFill="1" applyBorder="1" applyProtection="1">
      <alignment horizontal="left" vertical="top" wrapText="1"/>
    </xf>
    <xf numFmtId="49" fontId="9" fillId="5" borderId="0" xfId="8" applyFill="1" applyBorder="1" applyProtection="1">
      <alignment horizontal="left" vertical="top" wrapText="1"/>
    </xf>
    <xf numFmtId="49" fontId="9" fillId="5" borderId="5" xfId="8" applyFill="1" applyBorder="1" applyProtection="1">
      <alignment horizontal="left" vertical="top" wrapText="1"/>
    </xf>
    <xf numFmtId="49" fontId="9" fillId="5" borderId="25" xfId="8" applyFont="1" applyFill="1" applyBorder="1" applyProtection="1">
      <alignment horizontal="left" vertical="top" wrapText="1"/>
    </xf>
    <xf numFmtId="49" fontId="9" fillId="5" borderId="25" xfId="8" applyFill="1" applyBorder="1" applyProtection="1">
      <alignment horizontal="left" vertical="top" wrapText="1"/>
    </xf>
    <xf numFmtId="49" fontId="9" fillId="5" borderId="26" xfId="8" applyFill="1" applyBorder="1" applyProtection="1">
      <alignment horizontal="left" vertical="top" wrapText="1"/>
    </xf>
    <xf numFmtId="49" fontId="8" fillId="4" borderId="9" xfId="6" applyFont="1" applyFill="1" applyBorder="1" applyProtection="1">
      <alignment horizontal="left" vertical="top" wrapText="1"/>
    </xf>
    <xf numFmtId="49" fontId="25" fillId="3" borderId="0" xfId="10" applyFont="1" applyBorder="1" applyProtection="1">
      <alignment horizontal="left" vertical="top" wrapText="1"/>
    </xf>
    <xf numFmtId="49" fontId="25" fillId="3" borderId="5" xfId="10" applyFont="1" applyBorder="1" applyProtection="1">
      <alignment horizontal="left" vertical="top" wrapText="1"/>
    </xf>
    <xf numFmtId="49" fontId="8" fillId="3" borderId="2" xfId="7" applyBorder="1" applyProtection="1">
      <alignment horizontal="left" vertical="top" wrapText="1"/>
    </xf>
    <xf numFmtId="49" fontId="8" fillId="3" borderId="3" xfId="7" applyBorder="1" applyProtection="1">
      <alignment horizontal="left" vertical="top" wrapText="1"/>
    </xf>
    <xf numFmtId="49" fontId="1" fillId="2" borderId="0" xfId="1" applyNumberFormat="1" applyFill="1" applyAlignment="1" applyProtection="1">
      <alignment horizontal="left" vertical="top" wrapText="1"/>
    </xf>
    <xf numFmtId="49" fontId="23" fillId="5" borderId="25" xfId="8" applyFont="1" applyFill="1" applyBorder="1" applyProtection="1">
      <alignment horizontal="left" vertical="top" wrapText="1"/>
    </xf>
    <xf numFmtId="49" fontId="23" fillId="5" borderId="26" xfId="8" applyFont="1" applyFill="1" applyBorder="1" applyProtection="1">
      <alignment horizontal="left" vertical="top" wrapText="1"/>
    </xf>
    <xf numFmtId="49" fontId="9" fillId="3" borderId="2" xfId="8" applyBorder="1" applyProtection="1">
      <alignment horizontal="left" vertical="top" wrapText="1"/>
    </xf>
    <xf numFmtId="49" fontId="9" fillId="3" borderId="3" xfId="8" applyBorder="1" applyProtection="1">
      <alignment horizontal="left" vertical="top" wrapText="1"/>
    </xf>
    <xf numFmtId="49" fontId="23" fillId="3" borderId="2" xfId="8" applyFont="1" applyBorder="1" applyProtection="1">
      <alignment horizontal="left" vertical="top" wrapText="1"/>
    </xf>
    <xf numFmtId="49" fontId="23" fillId="3" borderId="3" xfId="8" applyFont="1" applyBorder="1" applyProtection="1">
      <alignment horizontal="left" vertical="top" wrapText="1"/>
    </xf>
    <xf numFmtId="49" fontId="8" fillId="3" borderId="25" xfId="7" applyFont="1" applyBorder="1" applyProtection="1">
      <alignment horizontal="left" vertical="top" wrapText="1"/>
    </xf>
    <xf numFmtId="4" fontId="1" fillId="2" borderId="0" xfId="1" applyNumberFormat="1" applyFill="1" applyBorder="1" applyAlignment="1" applyProtection="1">
      <alignment horizontal="center" vertical="top"/>
    </xf>
    <xf numFmtId="4" fontId="1" fillId="0" borderId="0" xfId="1" applyNumberFormat="1" applyBorder="1" applyAlignment="1">
      <alignment horizontal="center" vertical="top"/>
    </xf>
    <xf numFmtId="4" fontId="1" fillId="0" borderId="5" xfId="1" applyNumberFormat="1" applyBorder="1" applyAlignment="1">
      <alignment horizontal="center" vertical="top"/>
    </xf>
    <xf numFmtId="0" fontId="22" fillId="6" borderId="0" xfId="0" applyFont="1" applyFill="1" applyAlignment="1">
      <alignment horizontal="center"/>
    </xf>
  </cellXfs>
  <cellStyles count="33">
    <cellStyle name="Article note1" xfId="12"/>
    <cellStyle name="Article note2" xfId="13"/>
    <cellStyle name="Article note3" xfId="14"/>
    <cellStyle name="Article note4" xfId="15"/>
    <cellStyle name="Article note5" xfId="16"/>
    <cellStyle name="CE" xfId="5"/>
    <cellStyle name="Chap 1" xfId="6"/>
    <cellStyle name="Chap 2" xfId="7"/>
    <cellStyle name="Chap 3" xfId="10"/>
    <cellStyle name="Descr Article" xfId="17"/>
    <cellStyle name="Euro" xfId="18"/>
    <cellStyle name="Info Entete" xfId="3"/>
    <cellStyle name="Info Entete 2" xfId="19"/>
    <cellStyle name="Inter Entete" xfId="20"/>
    <cellStyle name="Loc Litteraire" xfId="21"/>
    <cellStyle name="Loc Structuree" xfId="22"/>
    <cellStyle name="Lot" xfId="4"/>
    <cellStyle name="Lot 2" xfId="23"/>
    <cellStyle name="Milliers 2" xfId="31"/>
    <cellStyle name="Milliers 2 3 2" xfId="32"/>
    <cellStyle name="Normal" xfId="0" builtinId="0"/>
    <cellStyle name="Normal 2" xfId="1"/>
    <cellStyle name="Normal 3" xfId="24"/>
    <cellStyle name="Normal_7313 DQE Couverture Mise à jour n1" xfId="11"/>
    <cellStyle name="Normal_SALTILLO - CICLO COMBINADO 247.5 MW 2" xfId="30"/>
    <cellStyle name="Qte Structuree" xfId="9"/>
    <cellStyle name="Qte Structuree 2" xfId="25"/>
    <cellStyle name="Structure" xfId="26"/>
    <cellStyle name="Structure Note" xfId="27"/>
    <cellStyle name="Titre Article" xfId="8"/>
    <cellStyle name="Titre Article 2" xfId="28"/>
    <cellStyle name="Titre Entete" xfId="2"/>
    <cellStyle name="Titre Entete 2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66674</xdr:rowOff>
    </xdr:from>
    <xdr:to>
      <xdr:col>1</xdr:col>
      <xdr:colOff>729456</xdr:colOff>
      <xdr:row>3</xdr:row>
      <xdr:rowOff>114299</xdr:rowOff>
    </xdr:to>
    <xdr:pic>
      <xdr:nvPicPr>
        <xdr:cNvPr id="1025" name="Image 1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66674"/>
          <a:ext cx="1329531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3</xdr:row>
      <xdr:rowOff>152400</xdr:rowOff>
    </xdr:from>
    <xdr:to>
      <xdr:col>1</xdr:col>
      <xdr:colOff>457200</xdr:colOff>
      <xdr:row>4</xdr:row>
      <xdr:rowOff>171450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742950"/>
          <a:ext cx="1066800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57150</xdr:rowOff>
    </xdr:from>
    <xdr:to>
      <xdr:col>1</xdr:col>
      <xdr:colOff>1028700</xdr:colOff>
      <xdr:row>3</xdr:row>
      <xdr:rowOff>133350</xdr:rowOff>
    </xdr:to>
    <xdr:pic>
      <xdr:nvPicPr>
        <xdr:cNvPr id="2" name="Image 1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57150"/>
          <a:ext cx="14097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3</xdr:row>
      <xdr:rowOff>152400</xdr:rowOff>
    </xdr:from>
    <xdr:to>
      <xdr:col>1</xdr:col>
      <xdr:colOff>733425</xdr:colOff>
      <xdr:row>4</xdr:row>
      <xdr:rowOff>171450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42950"/>
          <a:ext cx="10668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7"/>
  <sheetViews>
    <sheetView tabSelected="1" zoomScaleNormal="100" workbookViewId="0">
      <selection activeCell="H304" sqref="A1:H304"/>
    </sheetView>
  </sheetViews>
  <sheetFormatPr baseColWidth="10" defaultRowHeight="12.75" x14ac:dyDescent="0.25"/>
  <cols>
    <col min="1" max="1" width="9.7109375" style="38" customWidth="1"/>
    <col min="2" max="2" width="13" style="38" customWidth="1"/>
    <col min="3" max="3" width="28" style="38" customWidth="1"/>
    <col min="4" max="4" width="10.7109375" style="7" customWidth="1"/>
    <col min="5" max="5" width="4.7109375" style="7" customWidth="1"/>
    <col min="6" max="7" width="10.7109375" style="66" customWidth="1"/>
    <col min="8" max="8" width="12.28515625" style="7" customWidth="1"/>
    <col min="9" max="16384" width="11.42578125" style="7"/>
  </cols>
  <sheetData>
    <row r="1" spans="1:8" ht="20.25" x14ac:dyDescent="0.25">
      <c r="A1" s="1"/>
      <c r="B1" s="3"/>
      <c r="C1" s="2" t="s">
        <v>303</v>
      </c>
      <c r="D1" s="4"/>
      <c r="E1" s="4"/>
      <c r="F1" s="55"/>
      <c r="G1" s="55"/>
      <c r="H1" s="5"/>
    </row>
    <row r="2" spans="1:8" x14ac:dyDescent="0.25">
      <c r="A2" s="8"/>
      <c r="B2" s="10"/>
      <c r="C2" s="9" t="s">
        <v>113</v>
      </c>
      <c r="D2" s="11"/>
      <c r="E2" s="11"/>
      <c r="F2" s="56"/>
      <c r="G2" s="56"/>
      <c r="H2" s="12"/>
    </row>
    <row r="3" spans="1:8" ht="13.5" x14ac:dyDescent="0.25">
      <c r="A3" s="8"/>
      <c r="B3" s="10"/>
      <c r="C3" s="13" t="s">
        <v>112</v>
      </c>
      <c r="D3" s="11"/>
      <c r="E3" s="11"/>
      <c r="F3" s="56"/>
      <c r="G3" s="56"/>
      <c r="H3" s="12"/>
    </row>
    <row r="4" spans="1:8" ht="16.5" x14ac:dyDescent="0.25">
      <c r="A4" s="8"/>
      <c r="B4" s="10"/>
      <c r="C4" s="14" t="s">
        <v>0</v>
      </c>
      <c r="D4" s="11"/>
      <c r="E4" s="11"/>
      <c r="F4" s="220"/>
      <c r="G4" s="221"/>
      <c r="H4" s="222"/>
    </row>
    <row r="5" spans="1:8" ht="16.5" x14ac:dyDescent="0.25">
      <c r="A5" s="8"/>
      <c r="B5" s="10"/>
      <c r="C5" s="192" t="s">
        <v>313</v>
      </c>
      <c r="D5" s="11"/>
      <c r="E5" s="11"/>
      <c r="F5" s="197"/>
      <c r="G5" s="231"/>
      <c r="H5" s="232"/>
    </row>
    <row r="6" spans="1:8" s="16" customFormat="1" x14ac:dyDescent="0.25">
      <c r="A6" s="15"/>
      <c r="B6" s="223"/>
      <c r="C6" s="223"/>
      <c r="D6" s="224"/>
      <c r="E6" s="77" t="s">
        <v>1</v>
      </c>
      <c r="F6" s="78" t="s">
        <v>2</v>
      </c>
      <c r="G6" s="78" t="s">
        <v>3</v>
      </c>
      <c r="H6" s="79" t="s">
        <v>4</v>
      </c>
    </row>
    <row r="7" spans="1:8" x14ac:dyDescent="0.25">
      <c r="A7" s="1"/>
      <c r="B7" s="3"/>
      <c r="C7" s="3"/>
      <c r="D7" s="17"/>
      <c r="E7" s="18"/>
      <c r="F7" s="57"/>
      <c r="G7" s="57"/>
      <c r="H7" s="19"/>
    </row>
    <row r="8" spans="1:8" ht="23.25" customHeight="1" x14ac:dyDescent="0.25">
      <c r="A8" s="20"/>
      <c r="B8" s="225" t="s">
        <v>5</v>
      </c>
      <c r="C8" s="225"/>
      <c r="D8" s="226"/>
      <c r="E8" s="21"/>
      <c r="F8" s="58"/>
      <c r="G8" s="58"/>
      <c r="H8" s="22"/>
    </row>
    <row r="9" spans="1:8" ht="18.75" x14ac:dyDescent="0.25">
      <c r="A9" s="48" t="s">
        <v>6</v>
      </c>
      <c r="B9" s="227" t="s">
        <v>7</v>
      </c>
      <c r="C9" s="227"/>
      <c r="D9" s="228"/>
      <c r="E9" s="49"/>
      <c r="F9" s="59"/>
      <c r="G9" s="59"/>
      <c r="H9" s="50"/>
    </row>
    <row r="10" spans="1:8" ht="18.75" x14ac:dyDescent="0.25">
      <c r="A10" s="23" t="s">
        <v>8</v>
      </c>
      <c r="B10" s="229" t="s">
        <v>160</v>
      </c>
      <c r="C10" s="229"/>
      <c r="D10" s="230"/>
      <c r="E10" s="21"/>
      <c r="F10" s="58"/>
      <c r="G10" s="58"/>
      <c r="H10" s="22"/>
    </row>
    <row r="11" spans="1:8" ht="40.5" customHeight="1" x14ac:dyDescent="0.25">
      <c r="A11" s="24" t="s">
        <v>9</v>
      </c>
      <c r="B11" s="210" t="s">
        <v>297</v>
      </c>
      <c r="C11" s="210"/>
      <c r="D11" s="211"/>
      <c r="E11" s="21"/>
      <c r="F11" s="58"/>
      <c r="G11" s="58"/>
      <c r="H11" s="22"/>
    </row>
    <row r="12" spans="1:8" x14ac:dyDescent="0.25">
      <c r="A12" s="8"/>
      <c r="B12" s="46" t="s">
        <v>10</v>
      </c>
      <c r="C12" s="10"/>
      <c r="D12" s="129"/>
      <c r="E12" s="130"/>
      <c r="F12" s="131"/>
      <c r="G12" s="131"/>
      <c r="H12" s="132"/>
    </row>
    <row r="13" spans="1:8" x14ac:dyDescent="0.25">
      <c r="A13" s="8"/>
      <c r="B13" s="25" t="s">
        <v>119</v>
      </c>
      <c r="C13" s="25" t="s">
        <v>120</v>
      </c>
      <c r="D13" s="133">
        <f>17255.85-432</f>
        <v>16823.849999999999</v>
      </c>
      <c r="E13" s="130"/>
      <c r="F13" s="131"/>
      <c r="G13" s="131"/>
      <c r="H13" s="132"/>
    </row>
    <row r="14" spans="1:8" x14ac:dyDescent="0.25">
      <c r="A14" s="8"/>
      <c r="B14" s="10"/>
      <c r="C14" s="10"/>
      <c r="D14" s="129"/>
      <c r="E14" s="130" t="s">
        <v>12</v>
      </c>
      <c r="F14" s="134">
        <f>D13</f>
        <v>16823.849999999999</v>
      </c>
      <c r="G14" s="131">
        <v>34.159999999999997</v>
      </c>
      <c r="H14" s="135">
        <f>ROUND(F14*G14,2)</f>
        <v>574702.72</v>
      </c>
    </row>
    <row r="15" spans="1:8" ht="27" customHeight="1" x14ac:dyDescent="0.25">
      <c r="A15" s="43" t="s">
        <v>13</v>
      </c>
      <c r="B15" s="208" t="s">
        <v>156</v>
      </c>
      <c r="C15" s="208"/>
      <c r="D15" s="209"/>
      <c r="E15" s="44"/>
      <c r="F15" s="61"/>
      <c r="G15" s="61"/>
      <c r="H15" s="45"/>
    </row>
    <row r="16" spans="1:8" x14ac:dyDescent="0.25">
      <c r="A16" s="8"/>
      <c r="B16" s="46" t="s">
        <v>10</v>
      </c>
      <c r="C16" s="10"/>
      <c r="D16" s="12"/>
      <c r="E16" s="21"/>
      <c r="F16" s="58"/>
      <c r="G16" s="58"/>
      <c r="H16" s="22"/>
    </row>
    <row r="17" spans="1:8" x14ac:dyDescent="0.25">
      <c r="A17" s="8"/>
      <c r="B17" s="25" t="s">
        <v>114</v>
      </c>
      <c r="C17" s="25" t="s">
        <v>120</v>
      </c>
      <c r="D17" s="26">
        <v>2701</v>
      </c>
      <c r="E17" s="21"/>
      <c r="F17" s="58"/>
      <c r="G17" s="58"/>
      <c r="H17" s="22"/>
    </row>
    <row r="18" spans="1:8" x14ac:dyDescent="0.25">
      <c r="A18" s="81"/>
      <c r="B18" s="82"/>
      <c r="C18" s="82"/>
      <c r="D18" s="83"/>
      <c r="E18" s="69" t="s">
        <v>12</v>
      </c>
      <c r="F18" s="70">
        <f>D17</f>
        <v>2701</v>
      </c>
      <c r="G18" s="71">
        <v>0.48</v>
      </c>
      <c r="H18" s="84">
        <f>ROUND(F18*G18,2)</f>
        <v>1296.48</v>
      </c>
    </row>
    <row r="19" spans="1:8" s="6" customFormat="1" ht="18.75" x14ac:dyDescent="0.25">
      <c r="A19" s="47" t="s">
        <v>15</v>
      </c>
      <c r="B19" s="212" t="s">
        <v>16</v>
      </c>
      <c r="C19" s="212"/>
      <c r="D19" s="213"/>
      <c r="E19" s="44"/>
      <c r="F19" s="61"/>
      <c r="G19" s="61"/>
      <c r="H19" s="45"/>
    </row>
    <row r="20" spans="1:8" s="6" customFormat="1" ht="27" customHeight="1" x14ac:dyDescent="0.25">
      <c r="A20" s="24" t="s">
        <v>17</v>
      </c>
      <c r="B20" s="210" t="s">
        <v>298</v>
      </c>
      <c r="C20" s="210"/>
      <c r="D20" s="211"/>
      <c r="E20" s="21"/>
      <c r="F20" s="58"/>
      <c r="G20" s="58"/>
      <c r="H20" s="22"/>
    </row>
    <row r="21" spans="1:8" s="6" customFormat="1" x14ac:dyDescent="0.25">
      <c r="A21" s="8"/>
      <c r="B21" s="46" t="s">
        <v>10</v>
      </c>
      <c r="C21" s="10"/>
      <c r="D21" s="12"/>
      <c r="E21" s="21"/>
      <c r="F21" s="58"/>
      <c r="G21" s="58"/>
      <c r="H21" s="22"/>
    </row>
    <row r="22" spans="1:8" s="6" customFormat="1" x14ac:dyDescent="0.25">
      <c r="A22" s="8"/>
      <c r="B22" s="25" t="s">
        <v>123</v>
      </c>
      <c r="C22" s="25" t="s">
        <v>120</v>
      </c>
      <c r="D22" s="29">
        <f>135+139+5.7+115.7+48.3+18+25+41.7+25+37</f>
        <v>590.4</v>
      </c>
      <c r="E22" s="21"/>
      <c r="F22" s="58"/>
      <c r="G22" s="58"/>
      <c r="H22" s="22"/>
    </row>
    <row r="23" spans="1:8" s="6" customFormat="1" x14ac:dyDescent="0.25">
      <c r="A23" s="8"/>
      <c r="B23" s="25" t="s">
        <v>18</v>
      </c>
      <c r="C23" s="25" t="s">
        <v>121</v>
      </c>
      <c r="D23" s="29">
        <f>113*2</f>
        <v>226</v>
      </c>
      <c r="E23" s="21"/>
      <c r="F23" s="58"/>
      <c r="G23" s="58"/>
      <c r="H23" s="22"/>
    </row>
    <row r="24" spans="1:8" s="6" customFormat="1" x14ac:dyDescent="0.25">
      <c r="A24" s="8"/>
      <c r="B24" s="10"/>
      <c r="C24" s="25" t="s">
        <v>122</v>
      </c>
      <c r="D24" s="29">
        <f>87*2</f>
        <v>174</v>
      </c>
      <c r="E24" s="21"/>
      <c r="F24" s="58"/>
      <c r="G24" s="58"/>
      <c r="H24" s="22"/>
    </row>
    <row r="25" spans="1:8" s="6" customFormat="1" x14ac:dyDescent="0.25">
      <c r="A25" s="8"/>
      <c r="B25" s="10"/>
      <c r="C25" s="25" t="s">
        <v>124</v>
      </c>
      <c r="D25" s="29">
        <f>36.8*2+33*2</f>
        <v>139.6</v>
      </c>
      <c r="E25" s="21"/>
      <c r="F25" s="58"/>
      <c r="G25" s="58"/>
      <c r="H25" s="22"/>
    </row>
    <row r="26" spans="1:8" s="6" customFormat="1" x14ac:dyDescent="0.25">
      <c r="A26" s="8"/>
      <c r="B26" s="10"/>
      <c r="C26" s="25" t="s">
        <v>125</v>
      </c>
      <c r="D26" s="29">
        <f>115.7*2</f>
        <v>231.4</v>
      </c>
      <c r="E26" s="21"/>
      <c r="F26" s="58"/>
      <c r="G26" s="58"/>
      <c r="H26" s="22"/>
    </row>
    <row r="27" spans="1:8" s="6" customFormat="1" x14ac:dyDescent="0.25">
      <c r="A27" s="8"/>
      <c r="B27" s="10"/>
      <c r="C27" s="25" t="s">
        <v>126</v>
      </c>
      <c r="D27" s="29">
        <f>37.9</f>
        <v>37.9</v>
      </c>
      <c r="E27" s="21"/>
      <c r="F27" s="58"/>
      <c r="G27" s="58"/>
      <c r="H27" s="22"/>
    </row>
    <row r="28" spans="1:8" s="6" customFormat="1" x14ac:dyDescent="0.25">
      <c r="A28" s="8"/>
      <c r="B28" s="25" t="s">
        <v>117</v>
      </c>
      <c r="C28" s="25" t="s">
        <v>120</v>
      </c>
      <c r="D28" s="29">
        <f>(1.75+3.45)*2</f>
        <v>10.4</v>
      </c>
      <c r="E28" s="21"/>
      <c r="F28" s="58"/>
      <c r="G28" s="58"/>
      <c r="H28" s="22"/>
    </row>
    <row r="29" spans="1:8" s="6" customFormat="1" x14ac:dyDescent="0.25">
      <c r="A29" s="8"/>
      <c r="B29" s="10"/>
      <c r="C29" s="10"/>
      <c r="D29" s="12"/>
      <c r="E29" s="21" t="s">
        <v>20</v>
      </c>
      <c r="F29" s="60">
        <f>SUM(D22:D28)</f>
        <v>1409.7000000000003</v>
      </c>
      <c r="G29" s="58">
        <v>19.71</v>
      </c>
      <c r="H29" s="27">
        <f>ROUND(F29*G29,2)</f>
        <v>27785.19</v>
      </c>
    </row>
    <row r="30" spans="1:8" s="6" customFormat="1" x14ac:dyDescent="0.25">
      <c r="A30" s="43" t="s">
        <v>21</v>
      </c>
      <c r="B30" s="208" t="s">
        <v>299</v>
      </c>
      <c r="C30" s="208"/>
      <c r="D30" s="209"/>
      <c r="E30" s="44"/>
      <c r="F30" s="61"/>
      <c r="G30" s="61"/>
      <c r="H30" s="45"/>
    </row>
    <row r="31" spans="1:8" s="6" customFormat="1" x14ac:dyDescent="0.25">
      <c r="A31" s="8"/>
      <c r="B31" s="46" t="s">
        <v>10</v>
      </c>
      <c r="C31" s="10"/>
      <c r="D31" s="12"/>
      <c r="E31" s="21"/>
      <c r="F31" s="58"/>
      <c r="G31" s="58"/>
      <c r="H31" s="22"/>
    </row>
    <row r="32" spans="1:8" s="6" customFormat="1" x14ac:dyDescent="0.25">
      <c r="A32" s="8"/>
      <c r="B32" s="35" t="s">
        <v>128</v>
      </c>
      <c r="C32" s="25" t="s">
        <v>127</v>
      </c>
      <c r="D32" s="29">
        <f>16*((2+3)*2)</f>
        <v>160</v>
      </c>
      <c r="E32" s="21"/>
      <c r="F32" s="58"/>
      <c r="G32" s="58"/>
      <c r="H32" s="22"/>
    </row>
    <row r="33" spans="1:8" s="6" customFormat="1" x14ac:dyDescent="0.25">
      <c r="A33" s="8"/>
      <c r="B33" s="35" t="s">
        <v>129</v>
      </c>
      <c r="C33" s="25" t="s">
        <v>127</v>
      </c>
      <c r="D33" s="29">
        <f>34*((2+3)*2)</f>
        <v>340</v>
      </c>
      <c r="E33" s="21"/>
      <c r="F33" s="58"/>
      <c r="G33" s="58"/>
      <c r="H33" s="22"/>
    </row>
    <row r="34" spans="1:8" s="6" customFormat="1" x14ac:dyDescent="0.25">
      <c r="A34" s="8"/>
      <c r="B34" s="35" t="s">
        <v>130</v>
      </c>
      <c r="C34" s="25" t="s">
        <v>127</v>
      </c>
      <c r="D34" s="29">
        <f>5*((2+3)*2)</f>
        <v>50</v>
      </c>
      <c r="E34" s="21"/>
      <c r="F34" s="58"/>
      <c r="G34" s="58"/>
      <c r="H34" s="22"/>
    </row>
    <row r="35" spans="1:8" s="6" customFormat="1" x14ac:dyDescent="0.25">
      <c r="A35" s="8"/>
      <c r="B35" s="35" t="s">
        <v>114</v>
      </c>
      <c r="C35" s="25" t="s">
        <v>127</v>
      </c>
      <c r="D35" s="29">
        <f>41*((2+3)*2)</f>
        <v>410</v>
      </c>
      <c r="E35" s="21"/>
      <c r="F35" s="58"/>
      <c r="G35" s="58"/>
      <c r="H35" s="22"/>
    </row>
    <row r="36" spans="1:8" s="6" customFormat="1" x14ac:dyDescent="0.25">
      <c r="A36" s="8"/>
      <c r="B36" s="10"/>
      <c r="C36" s="10"/>
      <c r="D36" s="12"/>
      <c r="E36" s="21" t="s">
        <v>20</v>
      </c>
      <c r="F36" s="60">
        <f>SUM(D32:D35)</f>
        <v>960</v>
      </c>
      <c r="G36" s="58" t="s">
        <v>295</v>
      </c>
      <c r="H36" s="27"/>
    </row>
    <row r="37" spans="1:8" s="6" customFormat="1" ht="18.75" x14ac:dyDescent="0.25">
      <c r="A37" s="47" t="s">
        <v>22</v>
      </c>
      <c r="B37" s="212" t="s">
        <v>23</v>
      </c>
      <c r="C37" s="212"/>
      <c r="D37" s="213"/>
      <c r="E37" s="44"/>
      <c r="F37" s="61"/>
      <c r="G37" s="61"/>
      <c r="H37" s="45"/>
    </row>
    <row r="38" spans="1:8" s="6" customFormat="1" ht="24" customHeight="1" x14ac:dyDescent="0.25">
      <c r="A38" s="24" t="s">
        <v>24</v>
      </c>
      <c r="B38" s="233" t="s">
        <v>304</v>
      </c>
      <c r="C38" s="233"/>
      <c r="D38" s="234"/>
      <c r="E38" s="21"/>
      <c r="F38" s="58"/>
      <c r="G38" s="58"/>
      <c r="H38" s="22"/>
    </row>
    <row r="39" spans="1:8" s="6" customFormat="1" x14ac:dyDescent="0.25">
      <c r="A39" s="8"/>
      <c r="B39" s="136" t="s">
        <v>10</v>
      </c>
      <c r="C39" s="137"/>
      <c r="D39" s="129"/>
      <c r="E39" s="21"/>
      <c r="F39" s="58"/>
      <c r="G39" s="58"/>
      <c r="H39" s="22"/>
    </row>
    <row r="40" spans="1:8" s="6" customFormat="1" x14ac:dyDescent="0.25">
      <c r="A40" s="8"/>
      <c r="B40" s="138" t="s">
        <v>18</v>
      </c>
      <c r="C40" s="138" t="s">
        <v>110</v>
      </c>
      <c r="D40" s="133">
        <f>113*5*2</f>
        <v>1130</v>
      </c>
      <c r="E40" s="21"/>
      <c r="F40" s="58"/>
      <c r="G40" s="58"/>
      <c r="H40" s="22"/>
    </row>
    <row r="41" spans="1:8" s="6" customFormat="1" x14ac:dyDescent="0.25">
      <c r="A41" s="8"/>
      <c r="B41" s="25"/>
      <c r="C41" s="25" t="s">
        <v>121</v>
      </c>
      <c r="D41" s="26">
        <f>113*2*5</f>
        <v>1130</v>
      </c>
      <c r="E41" s="21"/>
      <c r="F41" s="58"/>
      <c r="G41" s="58"/>
      <c r="H41" s="22"/>
    </row>
    <row r="42" spans="1:8" s="6" customFormat="1" x14ac:dyDescent="0.25">
      <c r="A42" s="8"/>
      <c r="B42" s="10"/>
      <c r="C42" s="25" t="s">
        <v>122</v>
      </c>
      <c r="D42" s="26">
        <f>87*2*5</f>
        <v>870</v>
      </c>
      <c r="E42" s="21"/>
      <c r="F42" s="58"/>
      <c r="G42" s="58"/>
      <c r="H42" s="22"/>
    </row>
    <row r="43" spans="1:8" s="6" customFormat="1" x14ac:dyDescent="0.25">
      <c r="A43" s="8"/>
      <c r="B43" s="10"/>
      <c r="C43" s="25" t="s">
        <v>124</v>
      </c>
      <c r="D43" s="26">
        <f>(113+36.8+33)*5</f>
        <v>914</v>
      </c>
      <c r="E43" s="21"/>
      <c r="F43" s="58"/>
      <c r="G43" s="58"/>
      <c r="H43" s="22"/>
    </row>
    <row r="44" spans="1:8" s="6" customFormat="1" x14ac:dyDescent="0.25">
      <c r="A44" s="8"/>
      <c r="B44" s="10"/>
      <c r="C44" s="25" t="s">
        <v>125</v>
      </c>
      <c r="D44" s="26">
        <f>115.7*2*5</f>
        <v>1157</v>
      </c>
      <c r="E44" s="21"/>
      <c r="F44" s="58"/>
      <c r="G44" s="58"/>
      <c r="H44" s="22"/>
    </row>
    <row r="45" spans="1:8" s="6" customFormat="1" x14ac:dyDescent="0.25">
      <c r="A45" s="8"/>
      <c r="B45" s="10"/>
      <c r="C45" s="25" t="s">
        <v>126</v>
      </c>
      <c r="D45" s="26">
        <f>37.9*2*5</f>
        <v>379</v>
      </c>
      <c r="E45" s="21"/>
      <c r="F45" s="58"/>
      <c r="G45" s="58"/>
      <c r="H45" s="22"/>
    </row>
    <row r="46" spans="1:8" s="6" customFormat="1" x14ac:dyDescent="0.25">
      <c r="A46" s="8"/>
      <c r="B46" s="10"/>
      <c r="C46" s="10"/>
      <c r="D46" s="12"/>
      <c r="E46" s="21" t="s">
        <v>12</v>
      </c>
      <c r="F46" s="58">
        <f>SUM(D40:D45)</f>
        <v>5580</v>
      </c>
      <c r="G46" s="58">
        <v>11.09</v>
      </c>
      <c r="H46" s="27">
        <f>ROUND(F46*G46,2)</f>
        <v>61882.2</v>
      </c>
    </row>
    <row r="47" spans="1:8" s="143" customFormat="1" ht="24" customHeight="1" x14ac:dyDescent="0.25">
      <c r="A47" s="139" t="s">
        <v>248</v>
      </c>
      <c r="B47" s="198" t="s">
        <v>251</v>
      </c>
      <c r="C47" s="198"/>
      <c r="D47" s="199"/>
      <c r="E47" s="140"/>
      <c r="F47" s="141"/>
      <c r="G47" s="141"/>
      <c r="H47" s="142"/>
    </row>
    <row r="48" spans="1:8" s="143" customFormat="1" x14ac:dyDescent="0.25">
      <c r="A48" s="144"/>
      <c r="B48" s="136" t="s">
        <v>10</v>
      </c>
      <c r="C48" s="137"/>
      <c r="D48" s="129"/>
      <c r="E48" s="130"/>
      <c r="F48" s="131"/>
      <c r="G48" s="131"/>
      <c r="H48" s="132"/>
    </row>
    <row r="49" spans="1:8" s="143" customFormat="1" x14ac:dyDescent="0.25">
      <c r="A49" s="144"/>
      <c r="B49" s="138" t="s">
        <v>249</v>
      </c>
      <c r="C49" s="138" t="s">
        <v>120</v>
      </c>
      <c r="D49" s="133" t="s">
        <v>250</v>
      </c>
      <c r="E49" s="130" t="s">
        <v>12</v>
      </c>
      <c r="F49" s="131" t="s">
        <v>250</v>
      </c>
      <c r="G49" s="131">
        <v>12.31</v>
      </c>
      <c r="H49" s="132"/>
    </row>
    <row r="50" spans="1:8" s="6" customFormat="1" ht="37.5" customHeight="1" x14ac:dyDescent="0.25">
      <c r="A50" s="52" t="s">
        <v>25</v>
      </c>
      <c r="B50" s="206" t="s">
        <v>26</v>
      </c>
      <c r="C50" s="206"/>
      <c r="D50" s="207"/>
      <c r="E50" s="44"/>
      <c r="F50" s="61"/>
      <c r="G50" s="61"/>
      <c r="H50" s="45"/>
    </row>
    <row r="51" spans="1:8" s="6" customFormat="1" ht="18.75" x14ac:dyDescent="0.25">
      <c r="A51" s="28" t="s">
        <v>27</v>
      </c>
      <c r="B51" s="214" t="s">
        <v>28</v>
      </c>
      <c r="C51" s="214"/>
      <c r="D51" s="215"/>
      <c r="E51" s="21"/>
      <c r="F51" s="58"/>
      <c r="G51" s="58"/>
      <c r="H51" s="22"/>
    </row>
    <row r="52" spans="1:8" s="6" customFormat="1" x14ac:dyDescent="0.25">
      <c r="A52" s="24" t="s">
        <v>29</v>
      </c>
      <c r="B52" s="210" t="s">
        <v>131</v>
      </c>
      <c r="C52" s="210"/>
      <c r="D52" s="211"/>
      <c r="E52" s="21"/>
      <c r="F52" s="58"/>
      <c r="G52" s="58"/>
      <c r="H52" s="22"/>
    </row>
    <row r="53" spans="1:8" s="6" customFormat="1" x14ac:dyDescent="0.25">
      <c r="A53" s="8"/>
      <c r="B53" s="46" t="s">
        <v>10</v>
      </c>
      <c r="C53" s="10"/>
      <c r="D53" s="12"/>
      <c r="E53" s="21"/>
      <c r="F53" s="58"/>
      <c r="G53" s="58"/>
      <c r="H53" s="22"/>
    </row>
    <row r="54" spans="1:8" s="6" customFormat="1" x14ac:dyDescent="0.25">
      <c r="A54" s="8"/>
      <c r="B54" s="25" t="s">
        <v>123</v>
      </c>
      <c r="C54" s="25"/>
      <c r="D54" s="29">
        <f>135+139+5.7+115.7+48.3+18+25+41.7+25+37</f>
        <v>590.4</v>
      </c>
      <c r="E54" s="21"/>
      <c r="F54" s="58"/>
      <c r="G54" s="58"/>
      <c r="H54" s="22"/>
    </row>
    <row r="55" spans="1:8" s="6" customFormat="1" x14ac:dyDescent="0.25">
      <c r="A55" s="8"/>
      <c r="B55" s="25" t="s">
        <v>18</v>
      </c>
      <c r="C55" s="25" t="s">
        <v>121</v>
      </c>
      <c r="D55" s="29">
        <f>113*2</f>
        <v>226</v>
      </c>
      <c r="E55" s="21"/>
      <c r="F55" s="58"/>
      <c r="G55" s="58"/>
      <c r="H55" s="22"/>
    </row>
    <row r="56" spans="1:8" s="6" customFormat="1" x14ac:dyDescent="0.25">
      <c r="A56" s="8"/>
      <c r="B56" s="10"/>
      <c r="C56" s="25" t="s">
        <v>122</v>
      </c>
      <c r="D56" s="29">
        <f>87*2</f>
        <v>174</v>
      </c>
      <c r="E56" s="21"/>
      <c r="F56" s="58"/>
      <c r="G56" s="58"/>
      <c r="H56" s="22"/>
    </row>
    <row r="57" spans="1:8" s="6" customFormat="1" x14ac:dyDescent="0.25">
      <c r="A57" s="8"/>
      <c r="B57" s="10"/>
      <c r="C57" s="25" t="s">
        <v>124</v>
      </c>
      <c r="D57" s="29">
        <f>36.8*2+33*2</f>
        <v>139.6</v>
      </c>
      <c r="E57" s="21"/>
      <c r="F57" s="58"/>
      <c r="G57" s="58"/>
      <c r="H57" s="22"/>
    </row>
    <row r="58" spans="1:8" s="6" customFormat="1" x14ac:dyDescent="0.25">
      <c r="A58" s="8"/>
      <c r="B58" s="10"/>
      <c r="C58" s="25" t="s">
        <v>125</v>
      </c>
      <c r="D58" s="29">
        <f>115.7*2</f>
        <v>231.4</v>
      </c>
      <c r="E58" s="21"/>
      <c r="F58" s="58"/>
      <c r="G58" s="58"/>
      <c r="H58" s="22"/>
    </row>
    <row r="59" spans="1:8" s="6" customFormat="1" x14ac:dyDescent="0.25">
      <c r="A59" s="8"/>
      <c r="B59" s="10"/>
      <c r="C59" s="25" t="s">
        <v>126</v>
      </c>
      <c r="D59" s="29">
        <f>37.9</f>
        <v>37.9</v>
      </c>
      <c r="E59" s="21"/>
      <c r="F59" s="58"/>
      <c r="G59" s="58"/>
      <c r="H59" s="22"/>
    </row>
    <row r="60" spans="1:8" s="6" customFormat="1" x14ac:dyDescent="0.25">
      <c r="A60" s="8"/>
      <c r="B60" s="25" t="s">
        <v>117</v>
      </c>
      <c r="C60" s="25"/>
      <c r="D60" s="29">
        <f>(1.75+3.45)*2</f>
        <v>10.4</v>
      </c>
      <c r="E60" s="21"/>
      <c r="F60" s="58"/>
      <c r="G60" s="58"/>
      <c r="H60" s="22"/>
    </row>
    <row r="61" spans="1:8" s="6" customFormat="1" x14ac:dyDescent="0.25">
      <c r="A61" s="8"/>
      <c r="B61" s="10"/>
      <c r="C61" s="10"/>
      <c r="D61" s="12"/>
      <c r="E61" s="21" t="s">
        <v>20</v>
      </c>
      <c r="F61" s="60">
        <f>SUM(D54:D60)</f>
        <v>1409.7000000000003</v>
      </c>
      <c r="G61" s="58" t="s">
        <v>296</v>
      </c>
      <c r="H61" s="27"/>
    </row>
    <row r="62" spans="1:8" s="6" customFormat="1" ht="18.75" x14ac:dyDescent="0.25">
      <c r="A62" s="47" t="s">
        <v>30</v>
      </c>
      <c r="B62" s="212" t="s">
        <v>31</v>
      </c>
      <c r="C62" s="212"/>
      <c r="D62" s="213"/>
      <c r="E62" s="44"/>
      <c r="F62" s="61"/>
      <c r="G62" s="61"/>
      <c r="H62" s="45"/>
    </row>
    <row r="63" spans="1:8" s="6" customFormat="1" x14ac:dyDescent="0.25">
      <c r="A63" s="24" t="s">
        <v>32</v>
      </c>
      <c r="B63" s="210" t="s">
        <v>132</v>
      </c>
      <c r="C63" s="210"/>
      <c r="D63" s="211"/>
      <c r="E63" s="21"/>
      <c r="F63" s="58"/>
      <c r="G63" s="58"/>
      <c r="H63" s="22"/>
    </row>
    <row r="64" spans="1:8" s="6" customFormat="1" x14ac:dyDescent="0.25">
      <c r="A64" s="8"/>
      <c r="B64" s="46" t="s">
        <v>10</v>
      </c>
      <c r="C64" s="10"/>
      <c r="D64" s="12"/>
      <c r="E64" s="21"/>
      <c r="F64" s="58"/>
      <c r="G64" s="58"/>
      <c r="H64" s="22"/>
    </row>
    <row r="65" spans="1:8" s="6" customFormat="1" x14ac:dyDescent="0.25">
      <c r="A65" s="8"/>
      <c r="B65" s="25" t="s">
        <v>123</v>
      </c>
      <c r="C65" s="25" t="s">
        <v>111</v>
      </c>
      <c r="D65" s="29">
        <f>109*1.1+25*0.75</f>
        <v>138.65</v>
      </c>
      <c r="E65" s="21"/>
      <c r="F65" s="58"/>
      <c r="G65" s="58"/>
      <c r="H65" s="22"/>
    </row>
    <row r="66" spans="1:8" s="6" customFormat="1" x14ac:dyDescent="0.25">
      <c r="A66" s="8"/>
      <c r="B66" s="25"/>
      <c r="C66" s="25" t="s">
        <v>134</v>
      </c>
      <c r="D66" s="29">
        <f>(36+17)*1.1+48*1</f>
        <v>106.30000000000001</v>
      </c>
      <c r="E66" s="21"/>
      <c r="F66" s="58"/>
      <c r="G66" s="58"/>
      <c r="H66" s="22"/>
    </row>
    <row r="67" spans="1:8" s="6" customFormat="1" x14ac:dyDescent="0.25">
      <c r="A67" s="8"/>
      <c r="B67" s="25"/>
      <c r="C67" s="25" t="s">
        <v>136</v>
      </c>
      <c r="D67" s="29">
        <f>25*0.75</f>
        <v>18.75</v>
      </c>
      <c r="E67" s="21"/>
      <c r="F67" s="58"/>
      <c r="G67" s="58"/>
      <c r="H67" s="22"/>
    </row>
    <row r="68" spans="1:8" s="6" customFormat="1" x14ac:dyDescent="0.25">
      <c r="A68" s="8"/>
      <c r="B68" s="25"/>
      <c r="C68" s="25" t="s">
        <v>137</v>
      </c>
      <c r="D68" s="29">
        <f>25*0.75</f>
        <v>18.75</v>
      </c>
      <c r="E68" s="21"/>
      <c r="F68" s="58"/>
      <c r="G68" s="58"/>
      <c r="H68" s="22"/>
    </row>
    <row r="69" spans="1:8" s="6" customFormat="1" x14ac:dyDescent="0.25">
      <c r="A69" s="8"/>
      <c r="B69" s="25"/>
      <c r="C69" s="25" t="s">
        <v>133</v>
      </c>
      <c r="D69" s="29">
        <f>115.7*1.1</f>
        <v>127.27000000000001</v>
      </c>
      <c r="E69" s="21"/>
      <c r="F69" s="58"/>
      <c r="G69" s="58"/>
      <c r="H69" s="22"/>
    </row>
    <row r="70" spans="1:8" s="6" customFormat="1" x14ac:dyDescent="0.25">
      <c r="A70" s="8"/>
      <c r="B70" s="25"/>
      <c r="C70" s="25" t="s">
        <v>135</v>
      </c>
      <c r="D70" s="29">
        <f>41.3*1.1</f>
        <v>45.43</v>
      </c>
      <c r="E70" s="21"/>
      <c r="F70" s="58"/>
      <c r="G70" s="58"/>
      <c r="H70" s="22"/>
    </row>
    <row r="71" spans="1:8" s="6" customFormat="1" x14ac:dyDescent="0.25">
      <c r="A71" s="8"/>
      <c r="B71" s="25" t="s">
        <v>18</v>
      </c>
      <c r="C71" s="25" t="s">
        <v>110</v>
      </c>
      <c r="D71" s="26">
        <f>113*1</f>
        <v>113</v>
      </c>
      <c r="E71" s="21"/>
      <c r="F71" s="58"/>
      <c r="G71" s="58"/>
      <c r="H71" s="22"/>
    </row>
    <row r="72" spans="1:8" s="6" customFormat="1" x14ac:dyDescent="0.25">
      <c r="A72" s="8"/>
      <c r="B72" s="25"/>
      <c r="C72" s="25" t="s">
        <v>121</v>
      </c>
      <c r="D72" s="26">
        <f>113*2*1</f>
        <v>226</v>
      </c>
      <c r="E72" s="21"/>
      <c r="F72" s="58"/>
      <c r="G72" s="58"/>
      <c r="H72" s="22"/>
    </row>
    <row r="73" spans="1:8" s="6" customFormat="1" x14ac:dyDescent="0.25">
      <c r="A73" s="8"/>
      <c r="B73" s="10"/>
      <c r="C73" s="25" t="s">
        <v>122</v>
      </c>
      <c r="D73" s="26">
        <f>87*2*1</f>
        <v>174</v>
      </c>
      <c r="E73" s="21"/>
      <c r="F73" s="58"/>
      <c r="G73" s="58"/>
      <c r="H73" s="22"/>
    </row>
    <row r="74" spans="1:8" s="6" customFormat="1" x14ac:dyDescent="0.25">
      <c r="A74" s="8"/>
      <c r="B74" s="10"/>
      <c r="C74" s="25" t="s">
        <v>124</v>
      </c>
      <c r="D74" s="29">
        <f>(113+36.8+33)*1</f>
        <v>182.8</v>
      </c>
      <c r="E74" s="21"/>
      <c r="F74" s="58"/>
      <c r="G74" s="58"/>
      <c r="H74" s="22"/>
    </row>
    <row r="75" spans="1:8" s="6" customFormat="1" x14ac:dyDescent="0.25">
      <c r="A75" s="8"/>
      <c r="B75" s="10"/>
      <c r="C75" s="25" t="s">
        <v>125</v>
      </c>
      <c r="D75" s="29">
        <f>(115.7-5.5)*1+(115.75*3.45)</f>
        <v>509.53750000000002</v>
      </c>
      <c r="E75" s="21"/>
      <c r="F75" s="58"/>
      <c r="G75" s="58"/>
      <c r="H75" s="22"/>
    </row>
    <row r="76" spans="1:8" s="6" customFormat="1" x14ac:dyDescent="0.25">
      <c r="A76" s="8"/>
      <c r="B76" s="10"/>
      <c r="C76" s="25" t="s">
        <v>126</v>
      </c>
      <c r="D76" s="29">
        <f>37.9*2*1</f>
        <v>75.8</v>
      </c>
      <c r="E76" s="21"/>
      <c r="F76" s="58"/>
      <c r="G76" s="58"/>
      <c r="H76" s="22"/>
    </row>
    <row r="77" spans="1:8" s="6" customFormat="1" x14ac:dyDescent="0.25">
      <c r="A77" s="8"/>
      <c r="B77" s="10"/>
      <c r="C77" s="10"/>
      <c r="D77" s="12"/>
      <c r="E77" s="21" t="s">
        <v>12</v>
      </c>
      <c r="F77" s="60">
        <f>SUM(D65:D76)</f>
        <v>1736.2875000000001</v>
      </c>
      <c r="G77" s="75">
        <v>15.52</v>
      </c>
      <c r="H77" s="27">
        <f>ROUND(F77*G77,2)</f>
        <v>26947.18</v>
      </c>
    </row>
    <row r="78" spans="1:8" s="6" customFormat="1" ht="37.5" customHeight="1" x14ac:dyDescent="0.25">
      <c r="A78" s="47" t="s">
        <v>33</v>
      </c>
      <c r="B78" s="212" t="s">
        <v>34</v>
      </c>
      <c r="C78" s="212"/>
      <c r="D78" s="213"/>
      <c r="E78" s="44"/>
      <c r="F78" s="61"/>
      <c r="G78" s="61"/>
      <c r="H78" s="45"/>
    </row>
    <row r="79" spans="1:8" s="6" customFormat="1" ht="12.75" customHeight="1" x14ac:dyDescent="0.25">
      <c r="A79" s="24" t="s">
        <v>35</v>
      </c>
      <c r="B79" s="210" t="s">
        <v>154</v>
      </c>
      <c r="C79" s="210"/>
      <c r="D79" s="211"/>
      <c r="E79" s="21"/>
      <c r="F79" s="58"/>
      <c r="G79" s="75"/>
      <c r="H79" s="22"/>
    </row>
    <row r="80" spans="1:8" s="6" customFormat="1" x14ac:dyDescent="0.25">
      <c r="A80" s="8"/>
      <c r="B80" s="46" t="s">
        <v>10</v>
      </c>
      <c r="C80" s="10"/>
      <c r="D80" s="12"/>
      <c r="E80" s="21"/>
      <c r="F80" s="58"/>
      <c r="G80" s="75"/>
      <c r="H80" s="22"/>
    </row>
    <row r="81" spans="1:8" s="6" customFormat="1" x14ac:dyDescent="0.25">
      <c r="A81" s="8"/>
      <c r="B81" s="25" t="s">
        <v>153</v>
      </c>
      <c r="C81" s="25" t="s">
        <v>14</v>
      </c>
      <c r="D81" s="76">
        <v>14</v>
      </c>
      <c r="E81" s="21"/>
      <c r="F81" s="58"/>
      <c r="G81" s="75"/>
      <c r="H81" s="22"/>
    </row>
    <row r="82" spans="1:8" s="6" customFormat="1" x14ac:dyDescent="0.25">
      <c r="A82" s="8"/>
      <c r="B82" s="10"/>
      <c r="C82" s="10"/>
      <c r="D82" s="12"/>
      <c r="E82" s="21" t="s">
        <v>36</v>
      </c>
      <c r="F82" s="60">
        <f>D81</f>
        <v>14</v>
      </c>
      <c r="G82" s="75">
        <v>463</v>
      </c>
      <c r="H82" s="27">
        <f>ROUND(F82*G82,2)</f>
        <v>6482</v>
      </c>
    </row>
    <row r="83" spans="1:8" s="6" customFormat="1" ht="12.75" customHeight="1" x14ac:dyDescent="0.25">
      <c r="A83" s="43" t="s">
        <v>37</v>
      </c>
      <c r="B83" s="208" t="s">
        <v>155</v>
      </c>
      <c r="C83" s="208"/>
      <c r="D83" s="209"/>
      <c r="E83" s="44"/>
      <c r="F83" s="61"/>
      <c r="G83" s="80"/>
      <c r="H83" s="45"/>
    </row>
    <row r="84" spans="1:8" s="6" customFormat="1" x14ac:dyDescent="0.25">
      <c r="A84" s="8"/>
      <c r="B84" s="46" t="s">
        <v>10</v>
      </c>
      <c r="C84" s="10"/>
      <c r="D84" s="12"/>
      <c r="E84" s="21"/>
      <c r="F84" s="58"/>
      <c r="G84" s="58"/>
      <c r="H84" s="22"/>
    </row>
    <row r="85" spans="1:8" s="6" customFormat="1" x14ac:dyDescent="0.25">
      <c r="A85" s="8"/>
      <c r="B85" s="25" t="s">
        <v>153</v>
      </c>
      <c r="C85" s="25" t="s">
        <v>14</v>
      </c>
      <c r="D85" s="76">
        <v>4</v>
      </c>
      <c r="E85" s="21"/>
      <c r="F85" s="58"/>
      <c r="G85" s="58"/>
      <c r="H85" s="22"/>
    </row>
    <row r="86" spans="1:8" s="6" customFormat="1" x14ac:dyDescent="0.25">
      <c r="A86" s="8"/>
      <c r="B86" s="10"/>
      <c r="C86" s="10"/>
      <c r="D86" s="12"/>
      <c r="E86" s="21" t="s">
        <v>36</v>
      </c>
      <c r="F86" s="60">
        <f>D85</f>
        <v>4</v>
      </c>
      <c r="G86" s="75">
        <v>333</v>
      </c>
      <c r="H86" s="27">
        <f>ROUND(F86*G86,2)</f>
        <v>1332</v>
      </c>
    </row>
    <row r="87" spans="1:8" s="6" customFormat="1" ht="18.75" x14ac:dyDescent="0.25">
      <c r="A87" s="52" t="s">
        <v>40</v>
      </c>
      <c r="B87" s="206" t="s">
        <v>41</v>
      </c>
      <c r="C87" s="206"/>
      <c r="D87" s="207"/>
      <c r="E87" s="44"/>
      <c r="F87" s="61"/>
      <c r="G87" s="61"/>
      <c r="H87" s="67"/>
    </row>
    <row r="88" spans="1:8" s="6" customFormat="1" ht="18.75" x14ac:dyDescent="0.25">
      <c r="A88" s="28" t="s">
        <v>42</v>
      </c>
      <c r="B88" s="214" t="s">
        <v>138</v>
      </c>
      <c r="C88" s="214"/>
      <c r="D88" s="215"/>
      <c r="E88" s="21"/>
      <c r="F88" s="58"/>
      <c r="G88" s="58"/>
      <c r="H88" s="27"/>
    </row>
    <row r="89" spans="1:8" s="6" customFormat="1" ht="24.75" customHeight="1" x14ac:dyDescent="0.25">
      <c r="A89" s="24" t="s">
        <v>43</v>
      </c>
      <c r="B89" s="210" t="s">
        <v>300</v>
      </c>
      <c r="C89" s="210"/>
      <c r="D89" s="211"/>
      <c r="E89" s="68"/>
      <c r="F89" s="60"/>
      <c r="G89" s="58"/>
      <c r="H89" s="27"/>
    </row>
    <row r="90" spans="1:8" s="6" customFormat="1" x14ac:dyDescent="0.25">
      <c r="A90" s="8"/>
      <c r="B90" s="46" t="s">
        <v>140</v>
      </c>
      <c r="C90" s="10"/>
      <c r="D90" s="12"/>
      <c r="E90" s="21"/>
      <c r="F90" s="58"/>
      <c r="G90" s="58"/>
      <c r="H90" s="27"/>
    </row>
    <row r="91" spans="1:8" s="6" customFormat="1" x14ac:dyDescent="0.25">
      <c r="A91" s="8"/>
      <c r="B91" s="25" t="s">
        <v>14</v>
      </c>
      <c r="C91" s="25" t="s">
        <v>19</v>
      </c>
      <c r="D91" s="118">
        <f>46-3</f>
        <v>43</v>
      </c>
      <c r="E91" s="21"/>
      <c r="F91" s="58"/>
      <c r="G91" s="58"/>
      <c r="H91" s="27"/>
    </row>
    <row r="92" spans="1:8" s="6" customFormat="1" ht="15.75" customHeight="1" x14ac:dyDescent="0.25">
      <c r="A92" s="8"/>
      <c r="B92" s="68"/>
      <c r="C92" s="68"/>
      <c r="D92" s="68"/>
      <c r="E92" s="21" t="s">
        <v>36</v>
      </c>
      <c r="F92" s="60">
        <f>D91</f>
        <v>43</v>
      </c>
      <c r="G92" s="58">
        <v>76.16</v>
      </c>
      <c r="H92" s="27">
        <f t="shared" ref="H92:H112" si="0">ROUND(F92*G92,2)</f>
        <v>3274.88</v>
      </c>
    </row>
    <row r="93" spans="1:8" s="6" customFormat="1" ht="28.5" customHeight="1" x14ac:dyDescent="0.25">
      <c r="A93" s="43" t="s">
        <v>46</v>
      </c>
      <c r="B93" s="208" t="s">
        <v>139</v>
      </c>
      <c r="C93" s="208"/>
      <c r="D93" s="209"/>
      <c r="E93" s="44"/>
      <c r="F93" s="61"/>
      <c r="G93" s="61"/>
      <c r="H93" s="67"/>
    </row>
    <row r="94" spans="1:8" s="6" customFormat="1" x14ac:dyDescent="0.25">
      <c r="A94" s="8"/>
      <c r="B94" s="51" t="s">
        <v>45</v>
      </c>
      <c r="C94" s="10"/>
      <c r="D94" s="12"/>
      <c r="E94" s="21"/>
      <c r="F94" s="58"/>
      <c r="G94" s="58"/>
      <c r="H94" s="27"/>
    </row>
    <row r="95" spans="1:8" s="6" customFormat="1" x14ac:dyDescent="0.25">
      <c r="A95" s="8"/>
      <c r="B95" s="25" t="s">
        <v>14</v>
      </c>
      <c r="C95" s="25" t="s">
        <v>19</v>
      </c>
      <c r="D95" s="26">
        <v>5</v>
      </c>
      <c r="E95" s="21"/>
      <c r="F95" s="58"/>
      <c r="G95" s="58"/>
      <c r="H95" s="27"/>
    </row>
    <row r="96" spans="1:8" x14ac:dyDescent="0.25">
      <c r="A96" s="8"/>
      <c r="B96" s="10"/>
      <c r="C96" s="10"/>
      <c r="D96" s="12"/>
      <c r="E96" s="21" t="s">
        <v>36</v>
      </c>
      <c r="F96" s="60">
        <f>D95</f>
        <v>5</v>
      </c>
      <c r="G96" s="58">
        <v>61.88</v>
      </c>
      <c r="H96" s="27">
        <f t="shared" si="0"/>
        <v>309.39999999999998</v>
      </c>
    </row>
    <row r="97" spans="1:8" ht="18.75" x14ac:dyDescent="0.25">
      <c r="A97" s="47" t="s">
        <v>47</v>
      </c>
      <c r="B97" s="212" t="s">
        <v>118</v>
      </c>
      <c r="C97" s="212"/>
      <c r="D97" s="213"/>
      <c r="E97" s="44"/>
      <c r="F97" s="61"/>
      <c r="G97" s="61"/>
      <c r="H97" s="67"/>
    </row>
    <row r="98" spans="1:8" s="146" customFormat="1" x14ac:dyDescent="0.25">
      <c r="A98" s="145" t="s">
        <v>49</v>
      </c>
      <c r="B98" s="233" t="s">
        <v>273</v>
      </c>
      <c r="C98" s="233"/>
      <c r="D98" s="234"/>
      <c r="E98" s="130"/>
      <c r="F98" s="131"/>
      <c r="G98" s="131"/>
      <c r="H98" s="135"/>
    </row>
    <row r="99" spans="1:8" s="146" customFormat="1" x14ac:dyDescent="0.25">
      <c r="A99" s="144"/>
      <c r="B99" s="136" t="s">
        <v>10</v>
      </c>
      <c r="C99" s="137"/>
      <c r="D99" s="129"/>
      <c r="E99" s="130"/>
      <c r="F99" s="131"/>
      <c r="G99" s="131"/>
      <c r="H99" s="135"/>
    </row>
    <row r="100" spans="1:8" s="146" customFormat="1" x14ac:dyDescent="0.25">
      <c r="A100" s="144"/>
      <c r="B100" s="138" t="s">
        <v>14</v>
      </c>
      <c r="C100" s="137"/>
      <c r="D100" s="133">
        <v>36</v>
      </c>
      <c r="E100" s="130"/>
      <c r="F100" s="131"/>
      <c r="G100" s="131"/>
      <c r="H100" s="135"/>
    </row>
    <row r="101" spans="1:8" s="146" customFormat="1" x14ac:dyDescent="0.25">
      <c r="A101" s="144"/>
      <c r="B101" s="138"/>
      <c r="C101" s="138"/>
      <c r="D101" s="147"/>
      <c r="E101" s="130" t="s">
        <v>36</v>
      </c>
      <c r="F101" s="131">
        <f>D100</f>
        <v>36</v>
      </c>
      <c r="G101" s="148">
        <v>199.92</v>
      </c>
      <c r="H101" s="135">
        <f t="shared" si="0"/>
        <v>7197.12</v>
      </c>
    </row>
    <row r="102" spans="1:8" s="146" customFormat="1" x14ac:dyDescent="0.25">
      <c r="A102" s="139" t="s">
        <v>252</v>
      </c>
      <c r="B102" s="198" t="s">
        <v>253</v>
      </c>
      <c r="C102" s="198"/>
      <c r="D102" s="199"/>
      <c r="E102" s="140"/>
      <c r="F102" s="141"/>
      <c r="G102" s="141"/>
      <c r="H102" s="149"/>
    </row>
    <row r="103" spans="1:8" s="146" customFormat="1" x14ac:dyDescent="0.25">
      <c r="A103" s="144"/>
      <c r="B103" s="136" t="s">
        <v>10</v>
      </c>
      <c r="C103" s="137"/>
      <c r="D103" s="129"/>
      <c r="E103" s="130"/>
      <c r="F103" s="131"/>
      <c r="G103" s="131"/>
      <c r="H103" s="135"/>
    </row>
    <row r="104" spans="1:8" s="146" customFormat="1" x14ac:dyDescent="0.25">
      <c r="A104" s="144"/>
      <c r="B104" s="138" t="s">
        <v>14</v>
      </c>
      <c r="C104" s="137"/>
      <c r="D104" s="133">
        <v>46</v>
      </c>
      <c r="E104" s="130"/>
      <c r="F104" s="131"/>
      <c r="G104" s="148"/>
      <c r="H104" s="135"/>
    </row>
    <row r="105" spans="1:8" s="146" customFormat="1" x14ac:dyDescent="0.25">
      <c r="A105" s="144"/>
      <c r="B105" s="138"/>
      <c r="C105" s="138"/>
      <c r="D105" s="147"/>
      <c r="E105" s="130" t="s">
        <v>36</v>
      </c>
      <c r="F105" s="131">
        <f>D104</f>
        <v>46</v>
      </c>
      <c r="G105" s="148">
        <v>66.64</v>
      </c>
      <c r="H105" s="135">
        <f t="shared" ref="H105" si="1">ROUND(F105*G105,2)</f>
        <v>3065.44</v>
      </c>
    </row>
    <row r="106" spans="1:8" ht="18.75" x14ac:dyDescent="0.25">
      <c r="A106" s="47" t="s">
        <v>157</v>
      </c>
      <c r="B106" s="212" t="s">
        <v>48</v>
      </c>
      <c r="C106" s="212"/>
      <c r="D106" s="213"/>
      <c r="E106" s="44"/>
      <c r="F106" s="61"/>
      <c r="G106" s="80"/>
      <c r="H106" s="67"/>
    </row>
    <row r="107" spans="1:8" x14ac:dyDescent="0.25">
      <c r="A107" s="24" t="s">
        <v>158</v>
      </c>
      <c r="B107" s="210" t="s">
        <v>145</v>
      </c>
      <c r="C107" s="210"/>
      <c r="D107" s="211"/>
      <c r="E107" s="21"/>
      <c r="F107" s="58"/>
      <c r="G107" s="75"/>
      <c r="H107" s="27"/>
    </row>
    <row r="108" spans="1:8" x14ac:dyDescent="0.25">
      <c r="A108" s="8"/>
      <c r="B108" s="46" t="s">
        <v>10</v>
      </c>
      <c r="C108" s="10"/>
      <c r="D108" s="12"/>
      <c r="E108" s="21"/>
      <c r="F108" s="58"/>
      <c r="G108" s="75"/>
      <c r="H108" s="27"/>
    </row>
    <row r="109" spans="1:8" x14ac:dyDescent="0.25">
      <c r="A109" s="8"/>
      <c r="B109" s="25" t="s">
        <v>14</v>
      </c>
      <c r="C109" s="25"/>
      <c r="D109" s="26">
        <v>36</v>
      </c>
      <c r="E109" s="21"/>
      <c r="F109" s="58"/>
      <c r="G109" s="75"/>
      <c r="H109" s="27"/>
    </row>
    <row r="110" spans="1:8" x14ac:dyDescent="0.25">
      <c r="A110" s="8"/>
      <c r="B110" s="51" t="s">
        <v>45</v>
      </c>
      <c r="C110" s="25"/>
      <c r="D110" s="26"/>
      <c r="E110" s="21"/>
      <c r="F110" s="58"/>
      <c r="G110" s="75"/>
      <c r="H110" s="27"/>
    </row>
    <row r="111" spans="1:8" x14ac:dyDescent="0.25">
      <c r="A111" s="8"/>
      <c r="B111" s="25" t="s">
        <v>14</v>
      </c>
      <c r="C111" s="25"/>
      <c r="D111" s="26">
        <v>4</v>
      </c>
      <c r="E111" s="21"/>
      <c r="F111" s="58"/>
      <c r="G111" s="75"/>
      <c r="H111" s="27"/>
    </row>
    <row r="112" spans="1:8" x14ac:dyDescent="0.25">
      <c r="A112" s="8"/>
      <c r="B112" s="10"/>
      <c r="C112" s="10"/>
      <c r="D112" s="12"/>
      <c r="E112" s="21" t="s">
        <v>36</v>
      </c>
      <c r="F112" s="60">
        <f>D109+D111</f>
        <v>40</v>
      </c>
      <c r="G112" s="75">
        <v>178.5</v>
      </c>
      <c r="H112" s="27">
        <f t="shared" si="0"/>
        <v>7140</v>
      </c>
    </row>
    <row r="113" spans="1:8" x14ac:dyDescent="0.25">
      <c r="A113" s="8"/>
      <c r="B113" s="10"/>
      <c r="C113" s="10"/>
      <c r="D113" s="12"/>
      <c r="E113" s="21"/>
      <c r="F113" s="58"/>
      <c r="G113" s="63"/>
      <c r="H113" s="22"/>
    </row>
    <row r="114" spans="1:8" s="16" customFormat="1" ht="18.75" x14ac:dyDescent="0.25">
      <c r="A114" s="31"/>
      <c r="B114" s="216" t="s">
        <v>50</v>
      </c>
      <c r="C114" s="216"/>
      <c r="D114" s="217"/>
      <c r="E114" s="32"/>
      <c r="F114" s="63"/>
      <c r="G114" s="63"/>
      <c r="H114" s="33">
        <f>SUM(H10:H113)</f>
        <v>721414.60999999987</v>
      </c>
    </row>
    <row r="115" spans="1:8" s="6" customFormat="1" x14ac:dyDescent="0.25">
      <c r="A115" s="8"/>
      <c r="B115" s="10"/>
      <c r="C115" s="10"/>
      <c r="D115" s="12"/>
      <c r="E115" s="21"/>
      <c r="F115" s="58"/>
      <c r="G115" s="58"/>
      <c r="H115" s="22"/>
    </row>
    <row r="116" spans="1:8" s="6" customFormat="1" ht="18.75" x14ac:dyDescent="0.25">
      <c r="A116" s="48" t="s">
        <v>39</v>
      </c>
      <c r="B116" s="227" t="s">
        <v>51</v>
      </c>
      <c r="C116" s="227"/>
      <c r="D116" s="228"/>
      <c r="E116" s="49"/>
      <c r="F116" s="59"/>
      <c r="G116" s="59"/>
      <c r="H116" s="50"/>
    </row>
    <row r="117" spans="1:8" s="6" customFormat="1" ht="18.75" x14ac:dyDescent="0.25">
      <c r="A117" s="23" t="s">
        <v>52</v>
      </c>
      <c r="B117" s="229" t="s">
        <v>53</v>
      </c>
      <c r="C117" s="229"/>
      <c r="D117" s="230"/>
      <c r="E117" s="21"/>
      <c r="F117" s="58"/>
      <c r="G117" s="58"/>
      <c r="H117" s="22"/>
    </row>
    <row r="118" spans="1:8" s="6" customFormat="1" ht="18.75" x14ac:dyDescent="0.25">
      <c r="A118" s="28" t="s">
        <v>54</v>
      </c>
      <c r="B118" s="214" t="s">
        <v>55</v>
      </c>
      <c r="C118" s="214"/>
      <c r="D118" s="215"/>
      <c r="E118" s="21"/>
      <c r="F118" s="58"/>
      <c r="G118" s="58"/>
      <c r="H118" s="22"/>
    </row>
    <row r="119" spans="1:8" s="6" customFormat="1" ht="41.25" customHeight="1" x14ac:dyDescent="0.25">
      <c r="A119" s="24" t="s">
        <v>56</v>
      </c>
      <c r="B119" s="210" t="s">
        <v>301</v>
      </c>
      <c r="C119" s="210"/>
      <c r="D119" s="211"/>
      <c r="E119" s="21"/>
      <c r="F119" s="58"/>
      <c r="G119" s="58"/>
      <c r="H119" s="22"/>
    </row>
    <row r="120" spans="1:8" s="6" customFormat="1" x14ac:dyDescent="0.25">
      <c r="A120" s="8"/>
      <c r="B120" s="51" t="s">
        <v>57</v>
      </c>
      <c r="C120" s="10"/>
      <c r="D120" s="12"/>
      <c r="E120" s="21"/>
      <c r="F120" s="58"/>
      <c r="G120" s="58"/>
      <c r="H120" s="22"/>
    </row>
    <row r="121" spans="1:8" x14ac:dyDescent="0.25">
      <c r="A121" s="8"/>
      <c r="B121" s="72" t="s">
        <v>141</v>
      </c>
      <c r="C121" s="25"/>
      <c r="D121" s="26">
        <v>65.5</v>
      </c>
      <c r="E121" s="21"/>
      <c r="F121" s="58"/>
      <c r="G121" s="58"/>
      <c r="H121" s="22"/>
    </row>
    <row r="122" spans="1:8" ht="12.75" customHeight="1" x14ac:dyDescent="0.25">
      <c r="A122" s="8"/>
      <c r="B122" s="25" t="s">
        <v>58</v>
      </c>
      <c r="C122" s="25"/>
      <c r="D122" s="26">
        <v>80.5</v>
      </c>
      <c r="E122" s="21"/>
      <c r="F122" s="58"/>
      <c r="G122" s="58"/>
      <c r="H122" s="22"/>
    </row>
    <row r="123" spans="1:8" x14ac:dyDescent="0.25">
      <c r="A123" s="8"/>
      <c r="B123" s="72" t="s">
        <v>142</v>
      </c>
      <c r="C123" s="25"/>
      <c r="D123" s="26">
        <v>36</v>
      </c>
      <c r="E123" s="21"/>
      <c r="F123" s="58"/>
      <c r="G123" s="58"/>
      <c r="H123" s="22"/>
    </row>
    <row r="124" spans="1:8" x14ac:dyDescent="0.25">
      <c r="A124" s="8"/>
      <c r="B124" s="72" t="s">
        <v>143</v>
      </c>
      <c r="C124" s="25"/>
      <c r="D124" s="26">
        <v>250</v>
      </c>
      <c r="E124" s="21"/>
      <c r="F124" s="58"/>
      <c r="G124" s="58"/>
      <c r="H124" s="22"/>
    </row>
    <row r="125" spans="1:8" s="6" customFormat="1" x14ac:dyDescent="0.25">
      <c r="A125" s="8"/>
      <c r="B125" s="10"/>
      <c r="C125" s="10"/>
      <c r="D125" s="12"/>
      <c r="E125" s="21" t="s">
        <v>12</v>
      </c>
      <c r="F125" s="60">
        <f>SUM(D121:D124)</f>
        <v>432</v>
      </c>
      <c r="G125" s="131">
        <v>37.18</v>
      </c>
      <c r="H125" s="27">
        <f>ROUND(F125*G125,2)</f>
        <v>16061.76</v>
      </c>
    </row>
    <row r="126" spans="1:8" s="6" customFormat="1" x14ac:dyDescent="0.25">
      <c r="A126" s="43" t="s">
        <v>59</v>
      </c>
      <c r="B126" s="208" t="s">
        <v>305</v>
      </c>
      <c r="C126" s="208"/>
      <c r="D126" s="209"/>
      <c r="E126" s="44"/>
      <c r="F126" s="61"/>
      <c r="G126" s="61"/>
      <c r="H126" s="45"/>
    </row>
    <row r="127" spans="1:8" s="6" customFormat="1" x14ac:dyDescent="0.25">
      <c r="A127" s="8"/>
      <c r="B127" s="51" t="s">
        <v>57</v>
      </c>
      <c r="C127" s="10"/>
      <c r="D127" s="12"/>
      <c r="E127" s="21"/>
      <c r="F127" s="58"/>
      <c r="G127" s="58"/>
      <c r="H127" s="22"/>
    </row>
    <row r="128" spans="1:8" x14ac:dyDescent="0.25">
      <c r="A128" s="8"/>
      <c r="B128" s="72" t="s">
        <v>141</v>
      </c>
      <c r="C128" s="25"/>
      <c r="D128" s="73">
        <f>(10.9*2+6*2)</f>
        <v>33.799999999999997</v>
      </c>
      <c r="E128" s="21"/>
      <c r="F128" s="58"/>
      <c r="G128" s="58"/>
      <c r="H128" s="22"/>
    </row>
    <row r="129" spans="1:8" ht="13.5" customHeight="1" x14ac:dyDescent="0.25">
      <c r="A129" s="8"/>
      <c r="B129" s="25" t="s">
        <v>58</v>
      </c>
      <c r="C129" s="25"/>
      <c r="D129" s="73">
        <f>(6+13.4)*2</f>
        <v>38.799999999999997</v>
      </c>
      <c r="E129" s="21"/>
      <c r="F129" s="58"/>
      <c r="G129" s="58"/>
      <c r="H129" s="22"/>
    </row>
    <row r="130" spans="1:8" x14ac:dyDescent="0.25">
      <c r="A130" s="8"/>
      <c r="B130" s="72" t="s">
        <v>142</v>
      </c>
      <c r="C130" s="25"/>
      <c r="D130" s="73">
        <f>6*4</f>
        <v>24</v>
      </c>
      <c r="E130" s="21"/>
      <c r="F130" s="58"/>
      <c r="G130" s="58"/>
      <c r="H130" s="22"/>
    </row>
    <row r="131" spans="1:8" x14ac:dyDescent="0.25">
      <c r="A131" s="8"/>
      <c r="B131" s="72" t="s">
        <v>143</v>
      </c>
      <c r="C131" s="25"/>
      <c r="D131" s="73">
        <f>(20+12.5)*2</f>
        <v>65</v>
      </c>
      <c r="E131" s="21"/>
      <c r="F131" s="58"/>
      <c r="G131" s="58"/>
      <c r="H131" s="22"/>
    </row>
    <row r="132" spans="1:8" s="6" customFormat="1" x14ac:dyDescent="0.25">
      <c r="A132" s="8"/>
      <c r="B132" s="10"/>
      <c r="C132" s="10"/>
      <c r="D132" s="12"/>
      <c r="E132" s="21" t="s">
        <v>20</v>
      </c>
      <c r="F132" s="60">
        <f>SUM(D128:D131)</f>
        <v>161.6</v>
      </c>
      <c r="G132" s="58">
        <v>11.42</v>
      </c>
      <c r="H132" s="27">
        <f>ROUND(F132*G132,2)</f>
        <v>1845.47</v>
      </c>
    </row>
    <row r="133" spans="1:8" s="6" customFormat="1" ht="18.75" x14ac:dyDescent="0.25">
      <c r="A133" s="47" t="s">
        <v>60</v>
      </c>
      <c r="B133" s="212" t="s">
        <v>61</v>
      </c>
      <c r="C133" s="212"/>
      <c r="D133" s="213"/>
      <c r="E133" s="44"/>
      <c r="F133" s="61"/>
      <c r="G133" s="61"/>
      <c r="H133" s="45"/>
    </row>
    <row r="134" spans="1:8" s="6" customFormat="1" x14ac:dyDescent="0.25">
      <c r="A134" s="24" t="s">
        <v>62</v>
      </c>
      <c r="B134" s="210" t="s">
        <v>144</v>
      </c>
      <c r="C134" s="210"/>
      <c r="D134" s="211"/>
      <c r="E134" s="21"/>
      <c r="F134" s="58"/>
      <c r="G134" s="58"/>
      <c r="H134" s="22"/>
    </row>
    <row r="135" spans="1:8" s="6" customFormat="1" x14ac:dyDescent="0.25">
      <c r="A135" s="8"/>
      <c r="B135" s="51" t="s">
        <v>57</v>
      </c>
      <c r="C135" s="10"/>
      <c r="D135" s="12"/>
      <c r="E135" s="21"/>
      <c r="F135" s="58"/>
      <c r="G135" s="58"/>
      <c r="H135" s="22"/>
    </row>
    <row r="136" spans="1:8" x14ac:dyDescent="0.25">
      <c r="A136" s="8"/>
      <c r="B136" s="72" t="s">
        <v>142</v>
      </c>
      <c r="C136" s="25"/>
      <c r="D136" s="26">
        <v>1</v>
      </c>
      <c r="E136" s="21"/>
      <c r="F136" s="58"/>
      <c r="G136" s="58"/>
      <c r="H136" s="22"/>
    </row>
    <row r="137" spans="1:8" x14ac:dyDescent="0.25">
      <c r="A137" s="8"/>
      <c r="B137" s="72" t="s">
        <v>143</v>
      </c>
      <c r="C137" s="25"/>
      <c r="D137" s="26">
        <v>1</v>
      </c>
      <c r="E137" s="21"/>
      <c r="F137" s="58"/>
      <c r="G137" s="58"/>
      <c r="H137" s="22"/>
    </row>
    <row r="138" spans="1:8" s="6" customFormat="1" x14ac:dyDescent="0.25">
      <c r="A138" s="8"/>
      <c r="B138" s="10"/>
      <c r="C138" s="10"/>
      <c r="D138" s="12"/>
      <c r="E138" s="21" t="s">
        <v>36</v>
      </c>
      <c r="F138" s="60">
        <f>D137+D136</f>
        <v>2</v>
      </c>
      <c r="G138" s="58">
        <v>271.32</v>
      </c>
      <c r="H138" s="27">
        <f>ROUND(F138*G138,2)</f>
        <v>542.64</v>
      </c>
    </row>
    <row r="139" spans="1:8" s="6" customFormat="1" ht="18.75" x14ac:dyDescent="0.25">
      <c r="A139" s="52" t="s">
        <v>63</v>
      </c>
      <c r="B139" s="206" t="s">
        <v>64</v>
      </c>
      <c r="C139" s="206"/>
      <c r="D139" s="207"/>
      <c r="E139" s="44"/>
      <c r="F139" s="61"/>
      <c r="G139" s="61"/>
      <c r="H139" s="45"/>
    </row>
    <row r="140" spans="1:8" s="6" customFormat="1" ht="18.75" x14ac:dyDescent="0.25">
      <c r="A140" s="28" t="s">
        <v>65</v>
      </c>
      <c r="B140" s="214" t="s">
        <v>66</v>
      </c>
      <c r="C140" s="214"/>
      <c r="D140" s="215"/>
      <c r="E140" s="21"/>
      <c r="F140" s="58"/>
      <c r="G140" s="58"/>
      <c r="H140" s="22"/>
    </row>
    <row r="141" spans="1:8" s="6" customFormat="1" x14ac:dyDescent="0.25">
      <c r="A141" s="24" t="s">
        <v>67</v>
      </c>
      <c r="B141" s="210" t="s">
        <v>68</v>
      </c>
      <c r="C141" s="210"/>
      <c r="D141" s="211"/>
      <c r="E141" s="21"/>
      <c r="F141" s="58"/>
      <c r="G141" s="58"/>
      <c r="H141" s="22"/>
    </row>
    <row r="142" spans="1:8" s="6" customFormat="1" x14ac:dyDescent="0.25">
      <c r="A142" s="8"/>
      <c r="B142" s="51" t="s">
        <v>57</v>
      </c>
      <c r="C142" s="10"/>
      <c r="D142" s="12"/>
      <c r="E142" s="21"/>
      <c r="F142" s="58"/>
      <c r="G142" s="58"/>
      <c r="H142" s="22"/>
    </row>
    <row r="143" spans="1:8" x14ac:dyDescent="0.25">
      <c r="A143" s="8"/>
      <c r="B143" s="72" t="s">
        <v>141</v>
      </c>
      <c r="C143" s="25"/>
      <c r="D143" s="73">
        <f>(10.9+6)</f>
        <v>16.899999999999999</v>
      </c>
      <c r="E143" s="21"/>
      <c r="F143" s="58"/>
      <c r="G143" s="58"/>
      <c r="H143" s="22"/>
    </row>
    <row r="144" spans="1:8" ht="12.75" customHeight="1" x14ac:dyDescent="0.25">
      <c r="A144" s="8"/>
      <c r="B144" s="25" t="s">
        <v>58</v>
      </c>
      <c r="C144" s="25"/>
      <c r="D144" s="73">
        <f>13.4</f>
        <v>13.4</v>
      </c>
      <c r="E144" s="21"/>
      <c r="F144" s="58"/>
      <c r="G144" s="58"/>
      <c r="H144" s="22"/>
    </row>
    <row r="145" spans="1:8" x14ac:dyDescent="0.25">
      <c r="A145" s="8"/>
      <c r="B145" s="72" t="s">
        <v>142</v>
      </c>
      <c r="C145" s="25"/>
      <c r="D145" s="73">
        <f>6*2</f>
        <v>12</v>
      </c>
      <c r="E145" s="21"/>
      <c r="F145" s="58"/>
      <c r="G145" s="58"/>
      <c r="H145" s="22"/>
    </row>
    <row r="146" spans="1:8" x14ac:dyDescent="0.25">
      <c r="A146" s="8"/>
      <c r="B146" s="72" t="s">
        <v>143</v>
      </c>
      <c r="C146" s="25"/>
      <c r="D146" s="73">
        <f>(20+12.5)-6</f>
        <v>26.5</v>
      </c>
      <c r="E146" s="21"/>
      <c r="F146" s="58"/>
      <c r="G146" s="58"/>
      <c r="H146" s="22"/>
    </row>
    <row r="147" spans="1:8" s="6" customFormat="1" x14ac:dyDescent="0.25">
      <c r="A147" s="8"/>
      <c r="B147" s="10"/>
      <c r="C147" s="10"/>
      <c r="D147" s="12"/>
      <c r="E147" s="21" t="s">
        <v>20</v>
      </c>
      <c r="F147" s="60">
        <f>SUM(D143:D146)</f>
        <v>68.8</v>
      </c>
      <c r="G147" s="75">
        <v>24.09</v>
      </c>
      <c r="H147" s="27">
        <f>ROUND(F147*G147,2)</f>
        <v>1657.39</v>
      </c>
    </row>
    <row r="148" spans="1:8" s="6" customFormat="1" x14ac:dyDescent="0.25">
      <c r="A148" s="43" t="s">
        <v>69</v>
      </c>
      <c r="B148" s="208" t="s">
        <v>132</v>
      </c>
      <c r="C148" s="208"/>
      <c r="D148" s="209"/>
      <c r="E148" s="44"/>
      <c r="F148" s="61"/>
      <c r="G148" s="61"/>
      <c r="H148" s="45"/>
    </row>
    <row r="149" spans="1:8" s="6" customFormat="1" x14ac:dyDescent="0.25">
      <c r="A149" s="8"/>
      <c r="B149" s="51" t="s">
        <v>57</v>
      </c>
      <c r="C149" s="10"/>
      <c r="D149" s="12"/>
      <c r="E149" s="21"/>
      <c r="F149" s="58"/>
      <c r="G149" s="58"/>
      <c r="H149" s="22"/>
    </row>
    <row r="150" spans="1:8" x14ac:dyDescent="0.25">
      <c r="A150" s="8"/>
      <c r="B150" s="72" t="s">
        <v>141</v>
      </c>
      <c r="C150" s="25"/>
      <c r="D150" s="73">
        <f>(10.9+6)*1.1</f>
        <v>18.59</v>
      </c>
      <c r="E150" s="21"/>
      <c r="F150" s="58"/>
      <c r="G150" s="58"/>
      <c r="H150" s="22"/>
    </row>
    <row r="151" spans="1:8" ht="12.75" customHeight="1" x14ac:dyDescent="0.25">
      <c r="A151" s="8"/>
      <c r="B151" s="25" t="s">
        <v>58</v>
      </c>
      <c r="C151" s="25"/>
      <c r="D151" s="73">
        <f>13.4*1.1</f>
        <v>14.740000000000002</v>
      </c>
      <c r="E151" s="21"/>
      <c r="F151" s="58"/>
      <c r="G151" s="58"/>
      <c r="H151" s="22"/>
    </row>
    <row r="152" spans="1:8" x14ac:dyDescent="0.25">
      <c r="A152" s="8"/>
      <c r="B152" s="72" t="s">
        <v>142</v>
      </c>
      <c r="C152" s="25"/>
      <c r="D152" s="73">
        <f>6*2*1.1</f>
        <v>13.200000000000001</v>
      </c>
      <c r="E152" s="21"/>
      <c r="F152" s="58"/>
      <c r="G152" s="58"/>
      <c r="H152" s="22"/>
    </row>
    <row r="153" spans="1:8" x14ac:dyDescent="0.25">
      <c r="A153" s="8"/>
      <c r="B153" s="72" t="s">
        <v>143</v>
      </c>
      <c r="C153" s="25"/>
      <c r="D153" s="73">
        <f>((20+12.5)-6)*1.1</f>
        <v>29.150000000000002</v>
      </c>
      <c r="E153" s="21"/>
      <c r="F153" s="58"/>
      <c r="G153" s="58"/>
      <c r="H153" s="22"/>
    </row>
    <row r="154" spans="1:8" s="6" customFormat="1" x14ac:dyDescent="0.25">
      <c r="A154" s="8"/>
      <c r="B154" s="10"/>
      <c r="C154" s="10"/>
      <c r="D154" s="12"/>
      <c r="E154" s="21" t="s">
        <v>70</v>
      </c>
      <c r="F154" s="60">
        <f>SUM(D150:D153)</f>
        <v>75.680000000000007</v>
      </c>
      <c r="G154" s="75">
        <v>17.850000000000001</v>
      </c>
      <c r="H154" s="27">
        <f>ROUND(F154*G154,2)</f>
        <v>1350.89</v>
      </c>
    </row>
    <row r="155" spans="1:8" s="6" customFormat="1" x14ac:dyDescent="0.25">
      <c r="A155" s="8"/>
      <c r="B155" s="10"/>
      <c r="C155" s="10"/>
      <c r="D155" s="12"/>
      <c r="E155" s="21"/>
      <c r="F155" s="58"/>
      <c r="G155" s="58"/>
      <c r="H155" s="22"/>
    </row>
    <row r="156" spans="1:8" s="16" customFormat="1" ht="18.75" x14ac:dyDescent="0.25">
      <c r="A156" s="31"/>
      <c r="B156" s="216" t="s">
        <v>71</v>
      </c>
      <c r="C156" s="216"/>
      <c r="D156" s="217"/>
      <c r="E156" s="32"/>
      <c r="F156" s="63"/>
      <c r="G156" s="63"/>
      <c r="H156" s="33">
        <f>SUM(H117:H155)</f>
        <v>21458.149999999998</v>
      </c>
    </row>
    <row r="157" spans="1:8" x14ac:dyDescent="0.25">
      <c r="A157" s="8"/>
      <c r="B157" s="10"/>
      <c r="C157" s="10"/>
      <c r="D157" s="12"/>
      <c r="E157" s="21"/>
      <c r="F157" s="58"/>
      <c r="G157" s="58"/>
      <c r="H157" s="22"/>
    </row>
    <row r="158" spans="1:8" ht="18.75" x14ac:dyDescent="0.25">
      <c r="A158" s="48" t="s">
        <v>38</v>
      </c>
      <c r="B158" s="227" t="s">
        <v>72</v>
      </c>
      <c r="C158" s="227"/>
      <c r="D158" s="228"/>
      <c r="E158" s="49"/>
      <c r="F158" s="59"/>
      <c r="G158" s="59"/>
      <c r="H158" s="50"/>
    </row>
    <row r="159" spans="1:8" ht="18.75" x14ac:dyDescent="0.25">
      <c r="A159" s="74" t="s">
        <v>73</v>
      </c>
      <c r="B159" s="250" t="s">
        <v>74</v>
      </c>
      <c r="C159" s="250"/>
      <c r="D159" s="251"/>
      <c r="E159" s="18"/>
      <c r="F159" s="57"/>
      <c r="G159" s="57"/>
      <c r="H159" s="19"/>
    </row>
    <row r="160" spans="1:8" x14ac:dyDescent="0.25">
      <c r="A160" s="24" t="s">
        <v>147</v>
      </c>
      <c r="B160" s="210" t="s">
        <v>159</v>
      </c>
      <c r="C160" s="210"/>
      <c r="D160" s="211"/>
      <c r="E160" s="11"/>
      <c r="F160" s="60"/>
      <c r="G160" s="58"/>
      <c r="H160" s="27"/>
    </row>
    <row r="161" spans="1:8" s="6" customFormat="1" x14ac:dyDescent="0.25">
      <c r="A161" s="8"/>
      <c r="B161" s="51" t="s">
        <v>57</v>
      </c>
      <c r="C161" s="10"/>
      <c r="D161" s="73"/>
      <c r="E161" s="21"/>
      <c r="F161" s="58"/>
      <c r="G161" s="58"/>
      <c r="H161" s="27"/>
    </row>
    <row r="162" spans="1:8" s="6" customFormat="1" x14ac:dyDescent="0.25">
      <c r="A162" s="8"/>
      <c r="B162" s="72" t="s">
        <v>141</v>
      </c>
      <c r="C162" s="10"/>
      <c r="D162" s="73">
        <v>6</v>
      </c>
      <c r="E162" s="21"/>
      <c r="F162" s="58"/>
      <c r="G162" s="58"/>
      <c r="H162" s="27"/>
    </row>
    <row r="163" spans="1:8" s="6" customFormat="1" ht="12.75" customHeight="1" x14ac:dyDescent="0.25">
      <c r="A163" s="8"/>
      <c r="B163" s="25" t="s">
        <v>58</v>
      </c>
      <c r="C163" s="10"/>
      <c r="D163" s="73">
        <v>6</v>
      </c>
      <c r="E163" s="21"/>
      <c r="F163" s="58"/>
      <c r="G163" s="58"/>
      <c r="H163" s="27"/>
    </row>
    <row r="164" spans="1:8" s="6" customFormat="1" x14ac:dyDescent="0.25">
      <c r="A164" s="8"/>
      <c r="B164" s="72" t="s">
        <v>142</v>
      </c>
      <c r="C164" s="10"/>
      <c r="D164" s="73">
        <v>6</v>
      </c>
      <c r="E164" s="21"/>
      <c r="F164" s="58"/>
      <c r="G164" s="58"/>
      <c r="H164" s="27"/>
    </row>
    <row r="165" spans="1:8" s="6" customFormat="1" x14ac:dyDescent="0.25">
      <c r="A165" s="8"/>
      <c r="B165" s="72" t="s">
        <v>143</v>
      </c>
      <c r="C165" s="25" t="s">
        <v>19</v>
      </c>
      <c r="D165" s="73">
        <f>2*7.4</f>
        <v>14.8</v>
      </c>
      <c r="E165" s="21"/>
      <c r="F165" s="58"/>
      <c r="G165" s="58"/>
      <c r="H165" s="27"/>
    </row>
    <row r="166" spans="1:8" x14ac:dyDescent="0.25">
      <c r="A166" s="8"/>
      <c r="B166" s="11"/>
      <c r="C166" s="11"/>
      <c r="D166" s="11"/>
      <c r="E166" s="21" t="s">
        <v>20</v>
      </c>
      <c r="F166" s="58">
        <f>SUM(D162:D165)</f>
        <v>32.799999999999997</v>
      </c>
      <c r="G166" s="58">
        <v>43.79</v>
      </c>
      <c r="H166" s="27">
        <f>ROUND(F166*G166,2)</f>
        <v>1436.31</v>
      </c>
    </row>
    <row r="167" spans="1:8" s="146" customFormat="1" ht="26.25" customHeight="1" x14ac:dyDescent="0.25">
      <c r="A167" s="139" t="s">
        <v>255</v>
      </c>
      <c r="B167" s="198" t="s">
        <v>256</v>
      </c>
      <c r="C167" s="198"/>
      <c r="D167" s="199"/>
      <c r="E167" s="150"/>
      <c r="F167" s="151"/>
      <c r="G167" s="141"/>
      <c r="H167" s="149"/>
    </row>
    <row r="168" spans="1:8" s="143" customFormat="1" x14ac:dyDescent="0.25">
      <c r="A168" s="144"/>
      <c r="B168" s="136" t="s">
        <v>10</v>
      </c>
      <c r="C168" s="137"/>
      <c r="D168" s="73"/>
      <c r="E168" s="130"/>
      <c r="F168" s="131"/>
      <c r="G168" s="131"/>
      <c r="H168" s="135"/>
    </row>
    <row r="169" spans="1:8" s="143" customFormat="1" x14ac:dyDescent="0.25">
      <c r="A169" s="144"/>
      <c r="B169" s="138" t="s">
        <v>126</v>
      </c>
      <c r="C169" s="137"/>
      <c r="D169" s="73">
        <f>4*25</f>
        <v>100</v>
      </c>
      <c r="E169" s="130"/>
      <c r="F169" s="131"/>
      <c r="G169" s="131"/>
      <c r="H169" s="135"/>
    </row>
    <row r="170" spans="1:8" s="143" customFormat="1" x14ac:dyDescent="0.25">
      <c r="A170" s="144"/>
      <c r="B170" s="152"/>
      <c r="C170" s="137"/>
      <c r="D170" s="73"/>
      <c r="E170" s="130" t="s">
        <v>20</v>
      </c>
      <c r="F170" s="131">
        <f>D169</f>
        <v>100</v>
      </c>
      <c r="G170" s="131">
        <v>66.64</v>
      </c>
      <c r="H170" s="135">
        <f>ROUND(F170*G170,2)</f>
        <v>6664</v>
      </c>
    </row>
    <row r="171" spans="1:8" ht="18.75" x14ac:dyDescent="0.25">
      <c r="A171" s="52" t="s">
        <v>76</v>
      </c>
      <c r="B171" s="206" t="s">
        <v>148</v>
      </c>
      <c r="C171" s="206"/>
      <c r="D171" s="207"/>
      <c r="E171" s="44"/>
      <c r="F171" s="61"/>
      <c r="G171" s="61"/>
      <c r="H171" s="45"/>
    </row>
    <row r="172" spans="1:8" s="146" customFormat="1" x14ac:dyDescent="0.25">
      <c r="A172" s="145" t="s">
        <v>75</v>
      </c>
      <c r="B172" s="233" t="s">
        <v>146</v>
      </c>
      <c r="C172" s="233"/>
      <c r="D172" s="234"/>
      <c r="E172" s="130"/>
      <c r="F172" s="131"/>
      <c r="G172" s="131"/>
      <c r="H172" s="135"/>
    </row>
    <row r="173" spans="1:8" s="143" customFormat="1" x14ac:dyDescent="0.25">
      <c r="A173" s="144"/>
      <c r="B173" s="136" t="s">
        <v>10</v>
      </c>
      <c r="C173" s="137"/>
      <c r="D173" s="129"/>
      <c r="E173" s="130"/>
      <c r="F173" s="131"/>
      <c r="G173" s="131"/>
      <c r="H173" s="135"/>
    </row>
    <row r="174" spans="1:8" s="143" customFormat="1" x14ac:dyDescent="0.25">
      <c r="A174" s="144"/>
      <c r="B174" s="138" t="s">
        <v>133</v>
      </c>
      <c r="C174" s="138"/>
      <c r="D174" s="153">
        <f>11*8.5</f>
        <v>93.5</v>
      </c>
      <c r="E174" s="130"/>
      <c r="F174" s="131"/>
      <c r="G174" s="131"/>
      <c r="H174" s="135"/>
    </row>
    <row r="175" spans="1:8" s="143" customFormat="1" x14ac:dyDescent="0.25">
      <c r="A175" s="144"/>
      <c r="B175" s="138" t="s">
        <v>134</v>
      </c>
      <c r="C175" s="138"/>
      <c r="D175" s="153">
        <f>5*8.5</f>
        <v>42.5</v>
      </c>
      <c r="E175" s="130"/>
      <c r="F175" s="131"/>
      <c r="G175" s="131"/>
      <c r="H175" s="135"/>
    </row>
    <row r="176" spans="1:8" s="143" customFormat="1" x14ac:dyDescent="0.25">
      <c r="A176" s="144"/>
      <c r="B176" s="138" t="s">
        <v>111</v>
      </c>
      <c r="C176" s="138"/>
      <c r="D176" s="153">
        <f>10*10.3</f>
        <v>103</v>
      </c>
      <c r="E176" s="130"/>
      <c r="F176" s="131"/>
      <c r="G176" s="131"/>
      <c r="H176" s="135"/>
    </row>
    <row r="177" spans="1:8" s="143" customFormat="1" x14ac:dyDescent="0.25">
      <c r="A177" s="144"/>
      <c r="B177" s="138" t="s">
        <v>125</v>
      </c>
      <c r="C177" s="138"/>
      <c r="D177" s="153">
        <f>10*1.7</f>
        <v>17</v>
      </c>
      <c r="E177" s="130"/>
      <c r="F177" s="131"/>
      <c r="G177" s="131"/>
      <c r="H177" s="135"/>
    </row>
    <row r="178" spans="1:8" s="146" customFormat="1" x14ac:dyDescent="0.25">
      <c r="A178" s="144"/>
      <c r="B178" s="154"/>
      <c r="C178" s="154"/>
      <c r="D178" s="154"/>
      <c r="E178" s="130" t="s">
        <v>20</v>
      </c>
      <c r="F178" s="131">
        <f>SUM(D174:D177)</f>
        <v>256</v>
      </c>
      <c r="G178" s="131">
        <v>52.36</v>
      </c>
      <c r="H178" s="135">
        <f t="shared" ref="H178" si="2">ROUND(F178*G178,2)</f>
        <v>13404.16</v>
      </c>
    </row>
    <row r="179" spans="1:8" s="146" customFormat="1" ht="37.5" customHeight="1" x14ac:dyDescent="0.25">
      <c r="A179" s="155" t="s">
        <v>149</v>
      </c>
      <c r="B179" s="237" t="s">
        <v>77</v>
      </c>
      <c r="C179" s="237"/>
      <c r="D179" s="238"/>
      <c r="E179" s="140"/>
      <c r="F179" s="141"/>
      <c r="G179" s="141"/>
      <c r="H179" s="142"/>
    </row>
    <row r="180" spans="1:8" s="146" customFormat="1" ht="18.75" x14ac:dyDescent="0.25">
      <c r="A180" s="156" t="s">
        <v>150</v>
      </c>
      <c r="B180" s="248" t="s">
        <v>61</v>
      </c>
      <c r="C180" s="248"/>
      <c r="D180" s="249"/>
      <c r="E180" s="130"/>
      <c r="F180" s="131"/>
      <c r="G180" s="131"/>
      <c r="H180" s="132"/>
    </row>
    <row r="181" spans="1:8" s="146" customFormat="1" x14ac:dyDescent="0.25">
      <c r="A181" s="145" t="s">
        <v>151</v>
      </c>
      <c r="B181" s="233" t="s">
        <v>254</v>
      </c>
      <c r="C181" s="233"/>
      <c r="D181" s="234"/>
      <c r="E181" s="130"/>
      <c r="F181" s="131"/>
      <c r="G181" s="131"/>
      <c r="H181" s="132"/>
    </row>
    <row r="182" spans="1:8" s="146" customFormat="1" x14ac:dyDescent="0.25">
      <c r="A182" s="145"/>
      <c r="B182" s="136" t="s">
        <v>10</v>
      </c>
      <c r="C182" s="195"/>
      <c r="D182" s="196"/>
      <c r="E182" s="130"/>
      <c r="F182" s="131"/>
      <c r="G182" s="131"/>
      <c r="H182" s="132"/>
    </row>
    <row r="183" spans="1:8" s="146" customFormat="1" x14ac:dyDescent="0.25">
      <c r="A183" s="145"/>
      <c r="B183" s="138" t="s">
        <v>14</v>
      </c>
      <c r="C183" s="138" t="s">
        <v>125</v>
      </c>
      <c r="D183" s="73">
        <v>10</v>
      </c>
      <c r="E183" s="130"/>
      <c r="F183" s="131"/>
      <c r="G183" s="131"/>
      <c r="H183" s="132"/>
    </row>
    <row r="184" spans="1:8" s="146" customFormat="1" x14ac:dyDescent="0.25">
      <c r="A184" s="145"/>
      <c r="B184" s="138"/>
      <c r="C184" s="138" t="s">
        <v>126</v>
      </c>
      <c r="D184" s="73">
        <v>4</v>
      </c>
      <c r="E184" s="130"/>
      <c r="F184" s="131"/>
      <c r="G184" s="131"/>
      <c r="H184" s="132"/>
    </row>
    <row r="185" spans="1:8" s="146" customFormat="1" x14ac:dyDescent="0.25">
      <c r="A185" s="145"/>
      <c r="B185" s="138"/>
      <c r="C185" s="138"/>
      <c r="D185" s="73"/>
      <c r="E185" s="130" t="s">
        <v>1</v>
      </c>
      <c r="F185" s="131">
        <f>SUM(D183:D184)</f>
        <v>14</v>
      </c>
      <c r="G185" s="131">
        <v>197.06</v>
      </c>
      <c r="H185" s="135">
        <f>G185*F185</f>
        <v>2758.84</v>
      </c>
    </row>
    <row r="186" spans="1:8" x14ac:dyDescent="0.25">
      <c r="A186" s="8"/>
      <c r="B186" s="10"/>
      <c r="C186" s="10"/>
      <c r="D186" s="12"/>
      <c r="E186" s="21"/>
      <c r="F186" s="58"/>
      <c r="G186" s="58"/>
      <c r="H186" s="22"/>
    </row>
    <row r="187" spans="1:8" s="16" customFormat="1" ht="37.5" customHeight="1" x14ac:dyDescent="0.25">
      <c r="A187" s="31"/>
      <c r="B187" s="216" t="s">
        <v>78</v>
      </c>
      <c r="C187" s="216"/>
      <c r="D187" s="217"/>
      <c r="E187" s="32"/>
      <c r="F187" s="63"/>
      <c r="G187" s="63"/>
      <c r="H187" s="33">
        <f>SUM(H159:H186)</f>
        <v>24263.31</v>
      </c>
    </row>
    <row r="188" spans="1:8" x14ac:dyDescent="0.25">
      <c r="A188" s="8"/>
      <c r="B188" s="10"/>
      <c r="C188" s="10"/>
      <c r="D188" s="12"/>
      <c r="E188" s="21"/>
      <c r="F188" s="58"/>
      <c r="G188" s="58"/>
      <c r="H188" s="22"/>
    </row>
    <row r="189" spans="1:8" x14ac:dyDescent="0.25">
      <c r="A189" s="1"/>
      <c r="B189" s="3"/>
      <c r="C189" s="3"/>
      <c r="D189" s="17"/>
      <c r="E189" s="18"/>
      <c r="F189" s="57"/>
      <c r="G189" s="57"/>
      <c r="H189" s="19"/>
    </row>
    <row r="190" spans="1:8" x14ac:dyDescent="0.25">
      <c r="A190" s="8"/>
      <c r="B190" s="10"/>
      <c r="C190" s="10"/>
      <c r="D190" s="12"/>
      <c r="E190" s="21"/>
      <c r="F190" s="58"/>
      <c r="G190" s="58"/>
      <c r="H190" s="22"/>
    </row>
    <row r="191" spans="1:8" ht="52.5" customHeight="1" x14ac:dyDescent="0.25">
      <c r="A191" s="54"/>
      <c r="B191" s="218" t="s">
        <v>79</v>
      </c>
      <c r="C191" s="218"/>
      <c r="D191" s="219"/>
      <c r="E191" s="36"/>
      <c r="F191" s="64"/>
      <c r="G191" s="64"/>
      <c r="H191" s="37"/>
    </row>
    <row r="192" spans="1:8" ht="37.5" customHeight="1" x14ac:dyDescent="0.25">
      <c r="A192" s="48" t="s">
        <v>44</v>
      </c>
      <c r="B192" s="227" t="s">
        <v>80</v>
      </c>
      <c r="C192" s="227"/>
      <c r="D192" s="228"/>
      <c r="E192" s="49"/>
      <c r="F192" s="59"/>
      <c r="G192" s="59"/>
      <c r="H192" s="50"/>
    </row>
    <row r="193" spans="1:8" s="6" customFormat="1" ht="18.75" customHeight="1" x14ac:dyDescent="0.4">
      <c r="A193" s="74" t="s">
        <v>81</v>
      </c>
      <c r="B193" s="235" t="s">
        <v>306</v>
      </c>
      <c r="C193" s="235"/>
      <c r="D193" s="236"/>
      <c r="E193" s="157"/>
      <c r="F193" s="159"/>
      <c r="G193" s="159"/>
      <c r="H193" s="158"/>
    </row>
    <row r="194" spans="1:8" s="6" customFormat="1" ht="26.25" customHeight="1" x14ac:dyDescent="0.25">
      <c r="A194" s="24" t="s">
        <v>82</v>
      </c>
      <c r="B194" s="210" t="s">
        <v>314</v>
      </c>
      <c r="C194" s="210"/>
      <c r="D194" s="211"/>
      <c r="E194" s="21"/>
      <c r="F194" s="58"/>
      <c r="G194" s="58"/>
      <c r="H194" s="22"/>
    </row>
    <row r="195" spans="1:8" s="6" customFormat="1" x14ac:dyDescent="0.25">
      <c r="A195" s="8"/>
      <c r="B195" s="46" t="s">
        <v>10</v>
      </c>
      <c r="C195" s="10"/>
      <c r="D195" s="12"/>
      <c r="E195" s="21"/>
      <c r="F195" s="58"/>
      <c r="G195" s="58"/>
      <c r="H195" s="22"/>
    </row>
    <row r="196" spans="1:8" s="6" customFormat="1" x14ac:dyDescent="0.25">
      <c r="A196" s="8"/>
      <c r="B196" s="35" t="s">
        <v>128</v>
      </c>
      <c r="C196" s="25" t="s">
        <v>127</v>
      </c>
      <c r="D196" s="29">
        <f>16</f>
        <v>16</v>
      </c>
      <c r="E196" s="21"/>
      <c r="F196" s="58"/>
      <c r="G196" s="58"/>
      <c r="H196" s="22"/>
    </row>
    <row r="197" spans="1:8" s="6" customFormat="1" x14ac:dyDescent="0.25">
      <c r="A197" s="8"/>
      <c r="B197" s="35" t="s">
        <v>129</v>
      </c>
      <c r="C197" s="25" t="s">
        <v>127</v>
      </c>
      <c r="D197" s="29">
        <f>34</f>
        <v>34</v>
      </c>
      <c r="E197" s="21"/>
      <c r="F197" s="58"/>
      <c r="G197" s="58"/>
      <c r="H197" s="22"/>
    </row>
    <row r="198" spans="1:8" s="6" customFormat="1" x14ac:dyDescent="0.25">
      <c r="A198" s="8"/>
      <c r="B198" s="35" t="s">
        <v>130</v>
      </c>
      <c r="C198" s="25" t="s">
        <v>127</v>
      </c>
      <c r="D198" s="29">
        <f>5</f>
        <v>5</v>
      </c>
      <c r="E198" s="21"/>
      <c r="F198" s="58"/>
      <c r="G198" s="58"/>
      <c r="H198" s="22"/>
    </row>
    <row r="199" spans="1:8" s="6" customFormat="1" x14ac:dyDescent="0.25">
      <c r="A199" s="8"/>
      <c r="B199" s="35" t="s">
        <v>114</v>
      </c>
      <c r="C199" s="25" t="s">
        <v>127</v>
      </c>
      <c r="D199" s="29">
        <v>22</v>
      </c>
      <c r="E199" s="21"/>
      <c r="F199" s="58"/>
      <c r="G199" s="58"/>
      <c r="H199" s="22"/>
    </row>
    <row r="200" spans="1:8" s="6" customFormat="1" x14ac:dyDescent="0.25">
      <c r="A200" s="8"/>
      <c r="B200" s="10"/>
      <c r="C200" s="10"/>
      <c r="D200" s="12"/>
      <c r="E200" s="21" t="s">
        <v>36</v>
      </c>
      <c r="F200" s="60">
        <f>SUM(D196:D199)</f>
        <v>77</v>
      </c>
      <c r="G200" s="58">
        <v>792.06</v>
      </c>
      <c r="H200" s="27">
        <f>ROUND(F200*G200,2)</f>
        <v>60988.62</v>
      </c>
    </row>
    <row r="201" spans="1:8" s="6" customFormat="1" ht="18.75" x14ac:dyDescent="0.25">
      <c r="A201" s="52" t="s">
        <v>83</v>
      </c>
      <c r="B201" s="206" t="s">
        <v>84</v>
      </c>
      <c r="C201" s="206"/>
      <c r="D201" s="207"/>
      <c r="E201" s="44"/>
      <c r="F201" s="61"/>
      <c r="G201" s="61"/>
      <c r="H201" s="45"/>
    </row>
    <row r="202" spans="1:8" s="6" customFormat="1" ht="24" customHeight="1" x14ac:dyDescent="0.25">
      <c r="A202" s="24" t="s">
        <v>85</v>
      </c>
      <c r="B202" s="210" t="s">
        <v>86</v>
      </c>
      <c r="C202" s="210"/>
      <c r="D202" s="211"/>
      <c r="E202" s="21"/>
      <c r="F202" s="58"/>
      <c r="G202" s="58"/>
      <c r="H202" s="22"/>
    </row>
    <row r="203" spans="1:8" s="6" customFormat="1" x14ac:dyDescent="0.25">
      <c r="A203" s="8"/>
      <c r="B203" s="46" t="s">
        <v>10</v>
      </c>
      <c r="C203" s="10"/>
      <c r="D203" s="12"/>
      <c r="E203" s="21"/>
      <c r="F203" s="58"/>
      <c r="G203" s="58"/>
      <c r="H203" s="22"/>
    </row>
    <row r="204" spans="1:8" s="6" customFormat="1" x14ac:dyDescent="0.25">
      <c r="A204" s="8"/>
      <c r="B204" s="35" t="s">
        <v>114</v>
      </c>
      <c r="C204" s="25" t="s">
        <v>127</v>
      </c>
      <c r="D204" s="26">
        <v>19</v>
      </c>
      <c r="E204" s="21"/>
      <c r="F204" s="58"/>
      <c r="G204" s="58"/>
      <c r="H204" s="22"/>
    </row>
    <row r="205" spans="1:8" s="6" customFormat="1" x14ac:dyDescent="0.25">
      <c r="A205" s="8"/>
      <c r="B205" s="10"/>
      <c r="C205" s="10"/>
      <c r="D205" s="12"/>
      <c r="E205" s="21" t="s">
        <v>36</v>
      </c>
      <c r="F205" s="60">
        <f>D204</f>
        <v>19</v>
      </c>
      <c r="G205" s="58">
        <v>461.72</v>
      </c>
      <c r="H205" s="27">
        <f>ROUND(F205*G205,2)</f>
        <v>8772.68</v>
      </c>
    </row>
    <row r="206" spans="1:8" s="6" customFormat="1" ht="18.75" x14ac:dyDescent="0.25">
      <c r="A206" s="52" t="s">
        <v>87</v>
      </c>
      <c r="B206" s="237" t="s">
        <v>307</v>
      </c>
      <c r="C206" s="237"/>
      <c r="D206" s="238"/>
      <c r="E206" s="44"/>
      <c r="F206" s="61"/>
      <c r="G206" s="61"/>
      <c r="H206" s="45"/>
    </row>
    <row r="207" spans="1:8" s="6" customFormat="1" x14ac:dyDescent="0.25">
      <c r="A207" s="24" t="s">
        <v>88</v>
      </c>
      <c r="B207" s="210" t="s">
        <v>152</v>
      </c>
      <c r="C207" s="210"/>
      <c r="D207" s="211"/>
      <c r="E207" s="21"/>
      <c r="F207" s="58"/>
      <c r="G207" s="58"/>
      <c r="H207" s="22"/>
    </row>
    <row r="208" spans="1:8" s="6" customFormat="1" x14ac:dyDescent="0.25">
      <c r="A208" s="8"/>
      <c r="B208" s="46" t="s">
        <v>10</v>
      </c>
      <c r="C208" s="10"/>
      <c r="D208" s="12"/>
      <c r="E208" s="21"/>
      <c r="F208" s="58"/>
      <c r="G208" s="58"/>
      <c r="H208" s="22"/>
    </row>
    <row r="209" spans="1:8" s="6" customFormat="1" x14ac:dyDescent="0.25">
      <c r="A209" s="8"/>
      <c r="B209" s="35" t="s">
        <v>129</v>
      </c>
      <c r="C209" s="25" t="s">
        <v>127</v>
      </c>
      <c r="D209" s="26">
        <v>1</v>
      </c>
      <c r="E209" s="21"/>
      <c r="F209" s="58"/>
      <c r="G209" s="58"/>
      <c r="H209" s="22"/>
    </row>
    <row r="210" spans="1:8" s="6" customFormat="1" x14ac:dyDescent="0.25">
      <c r="A210" s="8"/>
      <c r="B210" s="35" t="s">
        <v>153</v>
      </c>
      <c r="C210" s="25" t="s">
        <v>127</v>
      </c>
      <c r="D210" s="26">
        <v>3</v>
      </c>
      <c r="E210" s="21"/>
      <c r="F210" s="58"/>
      <c r="G210" s="58"/>
      <c r="H210" s="22"/>
    </row>
    <row r="211" spans="1:8" s="6" customFormat="1" x14ac:dyDescent="0.25">
      <c r="A211" s="8"/>
      <c r="B211" s="10"/>
      <c r="C211" s="10"/>
      <c r="D211" s="12"/>
      <c r="E211" s="21" t="s">
        <v>36</v>
      </c>
      <c r="F211" s="60">
        <f>SUM(D209:D210)</f>
        <v>4</v>
      </c>
      <c r="G211" s="58">
        <v>487.61</v>
      </c>
      <c r="H211" s="27">
        <f>ROUND(F211*G211,2)</f>
        <v>1950.44</v>
      </c>
    </row>
    <row r="212" spans="1:8" x14ac:dyDescent="0.25">
      <c r="A212" s="8"/>
      <c r="B212" s="10"/>
      <c r="C212" s="10"/>
      <c r="D212" s="12"/>
      <c r="E212" s="21"/>
      <c r="F212" s="58"/>
      <c r="G212" s="58"/>
      <c r="H212" s="22"/>
    </row>
    <row r="213" spans="1:8" s="16" customFormat="1" ht="37.5" customHeight="1" x14ac:dyDescent="0.25">
      <c r="A213" s="31"/>
      <c r="B213" s="216" t="s">
        <v>89</v>
      </c>
      <c r="C213" s="216"/>
      <c r="D213" s="217"/>
      <c r="E213" s="32"/>
      <c r="F213" s="63"/>
      <c r="G213" s="63"/>
      <c r="H213" s="33">
        <f>SUM(H193:H212)</f>
        <v>71711.740000000005</v>
      </c>
    </row>
    <row r="214" spans="1:8" x14ac:dyDescent="0.25">
      <c r="A214" s="8"/>
      <c r="B214" s="10"/>
      <c r="C214" s="10"/>
      <c r="D214" s="12"/>
      <c r="E214" s="21"/>
      <c r="F214" s="58"/>
      <c r="G214" s="58"/>
      <c r="H214" s="22"/>
    </row>
    <row r="215" spans="1:8" ht="18.75" x14ac:dyDescent="0.25">
      <c r="A215" s="48" t="s">
        <v>90</v>
      </c>
      <c r="B215" s="227" t="s">
        <v>91</v>
      </c>
      <c r="C215" s="227"/>
      <c r="D215" s="228"/>
      <c r="E215" s="49"/>
      <c r="F215" s="59"/>
      <c r="G215" s="59"/>
      <c r="H215" s="50"/>
    </row>
    <row r="216" spans="1:8" ht="18.75" x14ac:dyDescent="0.25">
      <c r="A216" s="23" t="s">
        <v>92</v>
      </c>
      <c r="B216" s="229" t="s">
        <v>93</v>
      </c>
      <c r="C216" s="229"/>
      <c r="D216" s="230"/>
      <c r="E216" s="21"/>
      <c r="F216" s="58"/>
      <c r="G216" s="58"/>
      <c r="H216" s="22"/>
    </row>
    <row r="217" spans="1:8" x14ac:dyDescent="0.25">
      <c r="A217" s="24" t="s">
        <v>94</v>
      </c>
      <c r="B217" s="210" t="s">
        <v>95</v>
      </c>
      <c r="C217" s="210"/>
      <c r="D217" s="211"/>
      <c r="E217" s="21"/>
      <c r="F217" s="58"/>
      <c r="G217" s="58"/>
      <c r="H217" s="22"/>
    </row>
    <row r="218" spans="1:8" x14ac:dyDescent="0.25">
      <c r="A218" s="8"/>
      <c r="B218" s="46" t="s">
        <v>10</v>
      </c>
      <c r="C218" s="10"/>
      <c r="D218" s="12"/>
      <c r="E218" s="21"/>
      <c r="F218" s="58"/>
      <c r="G218" s="58"/>
      <c r="H218" s="22"/>
    </row>
    <row r="219" spans="1:8" x14ac:dyDescent="0.25">
      <c r="A219" s="8"/>
      <c r="B219" s="25" t="s">
        <v>14</v>
      </c>
      <c r="C219" s="25" t="s">
        <v>11</v>
      </c>
      <c r="D219" s="26">
        <v>18</v>
      </c>
      <c r="E219" s="21"/>
      <c r="F219" s="58"/>
      <c r="G219" s="58"/>
      <c r="H219" s="22"/>
    </row>
    <row r="220" spans="1:8" x14ac:dyDescent="0.25">
      <c r="A220" s="8"/>
      <c r="B220" s="10"/>
      <c r="C220" s="10"/>
      <c r="D220" s="12"/>
      <c r="E220" s="21" t="s">
        <v>36</v>
      </c>
      <c r="F220" s="60">
        <f>D219</f>
        <v>18</v>
      </c>
      <c r="G220" s="58">
        <v>1445.14</v>
      </c>
      <c r="H220" s="27">
        <f>ROUND(F220*G220,2)</f>
        <v>26012.52</v>
      </c>
    </row>
    <row r="221" spans="1:8" x14ac:dyDescent="0.25">
      <c r="A221" s="8"/>
      <c r="B221" s="10"/>
      <c r="C221" s="10"/>
      <c r="D221" s="12"/>
      <c r="E221" s="21"/>
      <c r="F221" s="58"/>
      <c r="G221" s="58"/>
      <c r="H221" s="22"/>
    </row>
    <row r="222" spans="1:8" s="16" customFormat="1" ht="18.75" x14ac:dyDescent="0.25">
      <c r="A222" s="31"/>
      <c r="B222" s="216" t="s">
        <v>96</v>
      </c>
      <c r="C222" s="216"/>
      <c r="D222" s="217"/>
      <c r="E222" s="32"/>
      <c r="F222" s="63"/>
      <c r="G222" s="63"/>
      <c r="H222" s="33">
        <f>H220</f>
        <v>26012.52</v>
      </c>
    </row>
    <row r="223" spans="1:8" s="6" customFormat="1" x14ac:dyDescent="0.25">
      <c r="A223" s="8"/>
      <c r="B223" s="10"/>
      <c r="C223" s="10"/>
      <c r="D223" s="12"/>
      <c r="E223" s="21"/>
      <c r="F223" s="58"/>
      <c r="G223" s="58"/>
      <c r="H223" s="22"/>
    </row>
    <row r="224" spans="1:8" s="6" customFormat="1" ht="22.5" x14ac:dyDescent="0.25">
      <c r="A224" s="20"/>
      <c r="B224" s="225" t="s">
        <v>97</v>
      </c>
      <c r="C224" s="225"/>
      <c r="D224" s="226"/>
      <c r="E224" s="21"/>
      <c r="F224" s="58"/>
      <c r="G224" s="58"/>
      <c r="H224" s="22"/>
    </row>
    <row r="225" spans="1:8" s="6" customFormat="1" ht="18.75" x14ac:dyDescent="0.25">
      <c r="A225" s="48" t="s">
        <v>98</v>
      </c>
      <c r="B225" s="227" t="s">
        <v>99</v>
      </c>
      <c r="C225" s="227"/>
      <c r="D225" s="228"/>
      <c r="E225" s="49"/>
      <c r="F225" s="59"/>
      <c r="G225" s="59"/>
      <c r="H225" s="50"/>
    </row>
    <row r="226" spans="1:8" s="6" customFormat="1" x14ac:dyDescent="0.25">
      <c r="A226" s="24" t="s">
        <v>100</v>
      </c>
      <c r="B226" s="210" t="s">
        <v>101</v>
      </c>
      <c r="C226" s="210"/>
      <c r="D226" s="211"/>
      <c r="E226" s="21"/>
      <c r="F226" s="58"/>
      <c r="G226" s="58"/>
      <c r="H226" s="22"/>
    </row>
    <row r="227" spans="1:8" s="6" customFormat="1" x14ac:dyDescent="0.25">
      <c r="A227" s="8"/>
      <c r="B227" s="46" t="s">
        <v>10</v>
      </c>
      <c r="C227" s="10"/>
      <c r="D227" s="12"/>
      <c r="E227" s="21"/>
      <c r="F227" s="58"/>
      <c r="G227" s="58"/>
      <c r="H227" s="22"/>
    </row>
    <row r="228" spans="1:8" s="6" customFormat="1" x14ac:dyDescent="0.25">
      <c r="A228" s="8"/>
      <c r="B228" s="25" t="s">
        <v>123</v>
      </c>
      <c r="C228" s="25"/>
      <c r="D228" s="29">
        <f>135+139+5.7+115.7+48.3+18+25+41.7+25+37</f>
        <v>590.4</v>
      </c>
      <c r="E228" s="21"/>
      <c r="F228" s="58"/>
      <c r="G228" s="58"/>
      <c r="H228" s="22"/>
    </row>
    <row r="229" spans="1:8" s="6" customFormat="1" x14ac:dyDescent="0.25">
      <c r="A229" s="8"/>
      <c r="B229" s="51" t="s">
        <v>57</v>
      </c>
      <c r="C229" s="10"/>
      <c r="D229" s="12"/>
      <c r="E229" s="21"/>
      <c r="F229" s="58"/>
      <c r="G229" s="58"/>
      <c r="H229" s="22"/>
    </row>
    <row r="230" spans="1:8" s="6" customFormat="1" x14ac:dyDescent="0.25">
      <c r="A230" s="8"/>
      <c r="B230" s="72" t="s">
        <v>141</v>
      </c>
      <c r="C230" s="25"/>
      <c r="D230" s="73">
        <f>(10.9+6)</f>
        <v>16.899999999999999</v>
      </c>
      <c r="E230" s="21"/>
      <c r="F230" s="58"/>
      <c r="G230" s="58"/>
      <c r="H230" s="22"/>
    </row>
    <row r="231" spans="1:8" s="6" customFormat="1" ht="18" x14ac:dyDescent="0.25">
      <c r="A231" s="8"/>
      <c r="B231" s="25" t="s">
        <v>58</v>
      </c>
      <c r="C231" s="25"/>
      <c r="D231" s="73">
        <f>13.4</f>
        <v>13.4</v>
      </c>
      <c r="E231" s="21"/>
      <c r="F231" s="58"/>
      <c r="G231" s="58"/>
      <c r="H231" s="22"/>
    </row>
    <row r="232" spans="1:8" s="6" customFormat="1" x14ac:dyDescent="0.25">
      <c r="A232" s="8"/>
      <c r="B232" s="72" t="s">
        <v>142</v>
      </c>
      <c r="C232" s="25"/>
      <c r="D232" s="73">
        <f>6*2</f>
        <v>12</v>
      </c>
      <c r="E232" s="21"/>
      <c r="F232" s="58"/>
      <c r="G232" s="58"/>
      <c r="H232" s="22"/>
    </row>
    <row r="233" spans="1:8" s="6" customFormat="1" x14ac:dyDescent="0.25">
      <c r="A233" s="8"/>
      <c r="B233" s="72" t="s">
        <v>143</v>
      </c>
      <c r="C233" s="25"/>
      <c r="D233" s="73">
        <f>(20+12.5)-6</f>
        <v>26.5</v>
      </c>
      <c r="E233" s="21"/>
      <c r="F233" s="58"/>
      <c r="G233" s="58"/>
      <c r="H233" s="22"/>
    </row>
    <row r="234" spans="1:8" s="6" customFormat="1" x14ac:dyDescent="0.25">
      <c r="A234" s="8"/>
      <c r="B234" s="10"/>
      <c r="C234" s="10"/>
      <c r="D234" s="12"/>
      <c r="E234" s="21" t="s">
        <v>20</v>
      </c>
      <c r="F234" s="60">
        <f>SUM(D228:D233)</f>
        <v>659.19999999999993</v>
      </c>
      <c r="G234" s="127" t="s">
        <v>302</v>
      </c>
      <c r="H234" s="27"/>
    </row>
    <row r="235" spans="1:8" s="6" customFormat="1" x14ac:dyDescent="0.25">
      <c r="A235" s="43" t="s">
        <v>102</v>
      </c>
      <c r="B235" s="208" t="s">
        <v>103</v>
      </c>
      <c r="C235" s="208"/>
      <c r="D235" s="209"/>
      <c r="E235" s="44"/>
      <c r="F235" s="61"/>
      <c r="G235" s="128"/>
      <c r="H235" s="45"/>
    </row>
    <row r="236" spans="1:8" s="6" customFormat="1" x14ac:dyDescent="0.25">
      <c r="A236" s="8"/>
      <c r="B236" s="46" t="s">
        <v>10</v>
      </c>
      <c r="C236" s="10"/>
      <c r="D236" s="12"/>
      <c r="E236" s="21"/>
      <c r="F236" s="58"/>
      <c r="G236" s="127"/>
      <c r="H236" s="22"/>
    </row>
    <row r="237" spans="1:8" s="6" customFormat="1" x14ac:dyDescent="0.25">
      <c r="A237" s="8"/>
      <c r="B237" s="25" t="s">
        <v>120</v>
      </c>
      <c r="C237" s="25"/>
      <c r="D237" s="26">
        <v>17255.849999999999</v>
      </c>
      <c r="E237" s="21"/>
      <c r="F237" s="58"/>
      <c r="G237" s="127"/>
      <c r="H237" s="22"/>
    </row>
    <row r="238" spans="1:8" s="6" customFormat="1" x14ac:dyDescent="0.25">
      <c r="A238" s="8"/>
      <c r="B238" s="51" t="s">
        <v>57</v>
      </c>
      <c r="C238" s="10"/>
      <c r="D238" s="12"/>
      <c r="E238" s="21"/>
      <c r="F238" s="58"/>
      <c r="G238" s="127"/>
      <c r="H238" s="22"/>
    </row>
    <row r="239" spans="1:8" x14ac:dyDescent="0.25">
      <c r="A239" s="8"/>
      <c r="B239" s="72" t="s">
        <v>141</v>
      </c>
      <c r="C239" s="25"/>
      <c r="D239" s="26">
        <v>65.5</v>
      </c>
      <c r="E239" s="21"/>
      <c r="F239" s="58"/>
      <c r="G239" s="127"/>
      <c r="H239" s="22"/>
    </row>
    <row r="240" spans="1:8" ht="18" x14ac:dyDescent="0.25">
      <c r="A240" s="8"/>
      <c r="B240" s="25" t="s">
        <v>58</v>
      </c>
      <c r="C240" s="25"/>
      <c r="D240" s="26">
        <v>80.5</v>
      </c>
      <c r="E240" s="21"/>
      <c r="F240" s="58"/>
      <c r="G240" s="127"/>
      <c r="H240" s="22"/>
    </row>
    <row r="241" spans="1:8" x14ac:dyDescent="0.25">
      <c r="A241" s="8"/>
      <c r="B241" s="72" t="s">
        <v>142</v>
      </c>
      <c r="C241" s="25"/>
      <c r="D241" s="26">
        <v>36</v>
      </c>
      <c r="E241" s="21"/>
      <c r="F241" s="58"/>
      <c r="G241" s="127"/>
      <c r="H241" s="22"/>
    </row>
    <row r="242" spans="1:8" x14ac:dyDescent="0.25">
      <c r="A242" s="8"/>
      <c r="B242" s="72" t="s">
        <v>143</v>
      </c>
      <c r="C242" s="25"/>
      <c r="D242" s="26">
        <v>250</v>
      </c>
      <c r="E242" s="21"/>
      <c r="F242" s="58"/>
      <c r="G242" s="127"/>
      <c r="H242" s="22"/>
    </row>
    <row r="243" spans="1:8" x14ac:dyDescent="0.25">
      <c r="A243" s="8"/>
      <c r="B243" s="10"/>
      <c r="C243" s="10"/>
      <c r="D243" s="12"/>
      <c r="E243" s="21" t="s">
        <v>12</v>
      </c>
      <c r="F243" s="60">
        <f>SUM(D237:D242)</f>
        <v>17687.849999999999</v>
      </c>
      <c r="G243" s="127" t="s">
        <v>302</v>
      </c>
      <c r="H243" s="27"/>
    </row>
    <row r="244" spans="1:8" s="146" customFormat="1" ht="27" customHeight="1" x14ac:dyDescent="0.25">
      <c r="A244" s="139" t="s">
        <v>104</v>
      </c>
      <c r="B244" s="198" t="s">
        <v>275</v>
      </c>
      <c r="C244" s="198"/>
      <c r="D244" s="199"/>
      <c r="E244" s="140"/>
      <c r="F244" s="141"/>
      <c r="G244" s="141"/>
      <c r="H244" s="142"/>
    </row>
    <row r="245" spans="1:8" s="146" customFormat="1" x14ac:dyDescent="0.25">
      <c r="A245" s="144"/>
      <c r="B245" s="136" t="s">
        <v>10</v>
      </c>
      <c r="C245" s="137"/>
      <c r="D245" s="129"/>
      <c r="E245" s="130"/>
      <c r="F245" s="131"/>
      <c r="G245" s="131"/>
      <c r="H245" s="132"/>
    </row>
    <row r="246" spans="1:8" s="146" customFormat="1" x14ac:dyDescent="0.25">
      <c r="A246" s="144"/>
      <c r="B246" s="138" t="s">
        <v>14</v>
      </c>
      <c r="C246" s="138"/>
      <c r="D246" s="133">
        <v>1</v>
      </c>
      <c r="E246" s="130"/>
      <c r="F246" s="131"/>
      <c r="G246" s="131"/>
      <c r="H246" s="132"/>
    </row>
    <row r="247" spans="1:8" s="146" customFormat="1" x14ac:dyDescent="0.25">
      <c r="A247" s="144"/>
      <c r="B247" s="137"/>
      <c r="C247" s="137"/>
      <c r="D247" s="129"/>
      <c r="E247" s="130" t="s">
        <v>36</v>
      </c>
      <c r="F247" s="134">
        <f>D246</f>
        <v>1</v>
      </c>
      <c r="G247" s="131">
        <v>3427.2</v>
      </c>
      <c r="H247" s="135">
        <f>ROUND(F247*G247,2)</f>
        <v>3427.2</v>
      </c>
    </row>
    <row r="248" spans="1:8" s="146" customFormat="1" ht="27.75" customHeight="1" x14ac:dyDescent="0.25">
      <c r="A248" s="139" t="s">
        <v>274</v>
      </c>
      <c r="B248" s="198" t="s">
        <v>276</v>
      </c>
      <c r="C248" s="198"/>
      <c r="D248" s="199"/>
      <c r="E248" s="140"/>
      <c r="F248" s="141"/>
      <c r="G248" s="141"/>
      <c r="H248" s="142"/>
    </row>
    <row r="249" spans="1:8" s="146" customFormat="1" x14ac:dyDescent="0.25">
      <c r="A249" s="144"/>
      <c r="B249" s="136" t="s">
        <v>10</v>
      </c>
      <c r="C249" s="137"/>
      <c r="D249" s="129"/>
      <c r="E249" s="130"/>
      <c r="F249" s="131"/>
      <c r="G249" s="131"/>
      <c r="H249" s="132"/>
    </row>
    <row r="250" spans="1:8" s="146" customFormat="1" x14ac:dyDescent="0.25">
      <c r="A250" s="144"/>
      <c r="B250" s="138" t="s">
        <v>14</v>
      </c>
      <c r="C250" s="138"/>
      <c r="D250" s="133">
        <v>1</v>
      </c>
      <c r="E250" s="130"/>
      <c r="F250" s="131"/>
      <c r="G250" s="131"/>
      <c r="H250" s="132"/>
    </row>
    <row r="251" spans="1:8" s="146" customFormat="1" x14ac:dyDescent="0.25">
      <c r="A251" s="144"/>
      <c r="B251" s="137"/>
      <c r="C251" s="137"/>
      <c r="D251" s="129"/>
      <c r="E251" s="130" t="s">
        <v>36</v>
      </c>
      <c r="F251" s="134">
        <f>D250</f>
        <v>1</v>
      </c>
      <c r="G251" s="131">
        <v>2808.4</v>
      </c>
      <c r="H251" s="135">
        <f>ROUND(F251*G251,2)</f>
        <v>2808.4</v>
      </c>
    </row>
    <row r="252" spans="1:8" x14ac:dyDescent="0.25">
      <c r="A252" s="8"/>
      <c r="B252" s="10"/>
      <c r="C252" s="10"/>
      <c r="D252" s="12"/>
      <c r="E252" s="21"/>
      <c r="F252" s="58"/>
      <c r="G252" s="58"/>
      <c r="H252" s="22"/>
    </row>
    <row r="253" spans="1:8" s="16" customFormat="1" ht="18.75" x14ac:dyDescent="0.25">
      <c r="A253" s="31"/>
      <c r="B253" s="216" t="s">
        <v>105</v>
      </c>
      <c r="C253" s="216"/>
      <c r="D253" s="217"/>
      <c r="E253" s="32"/>
      <c r="F253" s="63"/>
      <c r="G253" s="63"/>
      <c r="H253" s="33">
        <f>SUM(H226:H252)</f>
        <v>6235.6</v>
      </c>
    </row>
    <row r="254" spans="1:8" s="16" customFormat="1" ht="18.75" x14ac:dyDescent="0.25">
      <c r="A254" s="31"/>
      <c r="B254" s="193"/>
      <c r="C254" s="193"/>
      <c r="D254" s="194"/>
      <c r="E254" s="32"/>
      <c r="F254" s="63"/>
      <c r="G254" s="63"/>
      <c r="H254" s="34"/>
    </row>
    <row r="255" spans="1:8" ht="18.75" x14ac:dyDescent="0.25">
      <c r="A255" s="53" t="s">
        <v>108</v>
      </c>
      <c r="B255" s="247" t="s">
        <v>106</v>
      </c>
      <c r="C255" s="227"/>
      <c r="D255" s="228"/>
      <c r="E255" s="49"/>
      <c r="F255" s="59"/>
      <c r="G255" s="65"/>
      <c r="H255" s="50"/>
    </row>
    <row r="256" spans="1:8" ht="26.25" customHeight="1" x14ac:dyDescent="0.25">
      <c r="A256" s="30" t="s">
        <v>109</v>
      </c>
      <c r="B256" s="241" t="s">
        <v>164</v>
      </c>
      <c r="C256" s="242"/>
      <c r="D256" s="243"/>
      <c r="E256" s="21"/>
      <c r="F256" s="58"/>
      <c r="G256" s="62"/>
      <c r="H256" s="22"/>
    </row>
    <row r="257" spans="1:8" x14ac:dyDescent="0.25">
      <c r="A257" s="8"/>
      <c r="B257" s="85" t="s">
        <v>10</v>
      </c>
      <c r="C257" s="86"/>
      <c r="D257" s="87"/>
      <c r="E257" s="21"/>
      <c r="F257" s="58"/>
      <c r="G257" s="62"/>
      <c r="H257" s="22"/>
    </row>
    <row r="258" spans="1:8" x14ac:dyDescent="0.25">
      <c r="A258" s="8"/>
      <c r="B258" s="88" t="s">
        <v>14</v>
      </c>
      <c r="C258" s="35" t="s">
        <v>162</v>
      </c>
      <c r="D258" s="89">
        <f>26*(3.75*2.75)</f>
        <v>268.125</v>
      </c>
      <c r="E258" s="21"/>
      <c r="F258" s="58"/>
      <c r="G258" s="62"/>
      <c r="H258" s="22"/>
    </row>
    <row r="259" spans="1:8" x14ac:dyDescent="0.25">
      <c r="A259" s="8"/>
      <c r="B259" s="90"/>
      <c r="C259" s="86"/>
      <c r="D259" s="87"/>
      <c r="E259" s="21" t="s">
        <v>70</v>
      </c>
      <c r="F259" s="60">
        <f>D258</f>
        <v>268.125</v>
      </c>
      <c r="G259" s="75">
        <v>44.55</v>
      </c>
      <c r="H259" s="27">
        <f>G259*F259</f>
        <v>11944.96875</v>
      </c>
    </row>
    <row r="260" spans="1:8" x14ac:dyDescent="0.25">
      <c r="A260" s="91" t="s">
        <v>161</v>
      </c>
      <c r="B260" s="244" t="s">
        <v>165</v>
      </c>
      <c r="C260" s="245"/>
      <c r="D260" s="246"/>
      <c r="E260" s="44"/>
      <c r="F260" s="61"/>
      <c r="G260" s="92"/>
      <c r="H260" s="45"/>
    </row>
    <row r="261" spans="1:8" x14ac:dyDescent="0.25">
      <c r="A261" s="8"/>
      <c r="B261" s="46" t="s">
        <v>10</v>
      </c>
      <c r="C261" s="10"/>
      <c r="D261" s="12"/>
      <c r="E261" s="21"/>
      <c r="F261" s="58"/>
      <c r="G261" s="62"/>
      <c r="H261" s="22"/>
    </row>
    <row r="262" spans="1:8" x14ac:dyDescent="0.25">
      <c r="A262" s="8"/>
      <c r="B262" s="25" t="s">
        <v>14</v>
      </c>
      <c r="C262" s="35" t="s">
        <v>163</v>
      </c>
      <c r="D262" s="29">
        <f>8*(3.75*2.75)</f>
        <v>82.5</v>
      </c>
      <c r="E262" s="21"/>
      <c r="F262" s="58"/>
      <c r="G262" s="62"/>
      <c r="H262" s="22"/>
    </row>
    <row r="263" spans="1:8" x14ac:dyDescent="0.25">
      <c r="A263" s="8"/>
      <c r="B263" s="42"/>
      <c r="C263" s="10"/>
      <c r="D263" s="12"/>
      <c r="E263" s="21" t="s">
        <v>70</v>
      </c>
      <c r="F263" s="60">
        <f>D262</f>
        <v>82.5</v>
      </c>
      <c r="G263" s="75">
        <v>20.47</v>
      </c>
      <c r="H263" s="27">
        <f>G263*F263</f>
        <v>1688.7749999999999</v>
      </c>
    </row>
    <row r="264" spans="1:8" x14ac:dyDescent="0.25">
      <c r="A264" s="8"/>
      <c r="B264" s="10"/>
      <c r="C264" s="10"/>
      <c r="D264" s="12"/>
      <c r="E264" s="21"/>
      <c r="F264" s="60"/>
      <c r="G264" s="62"/>
      <c r="H264" s="27"/>
    </row>
    <row r="265" spans="1:8" s="16" customFormat="1" ht="18.75" x14ac:dyDescent="0.25">
      <c r="A265" s="31"/>
      <c r="B265" s="216" t="s">
        <v>267</v>
      </c>
      <c r="C265" s="216"/>
      <c r="D265" s="217"/>
      <c r="E265" s="32"/>
      <c r="F265" s="63"/>
      <c r="G265" s="58"/>
      <c r="H265" s="33">
        <f>SUM(H259:H263)</f>
        <v>13633.74375</v>
      </c>
    </row>
    <row r="266" spans="1:8" x14ac:dyDescent="0.25">
      <c r="A266" s="8"/>
      <c r="B266" s="10"/>
      <c r="C266" s="10"/>
      <c r="D266" s="12"/>
      <c r="E266" s="21"/>
      <c r="F266" s="58"/>
      <c r="G266" s="58"/>
      <c r="H266" s="22"/>
    </row>
    <row r="267" spans="1:8" s="146" customFormat="1" ht="18.75" x14ac:dyDescent="0.25">
      <c r="A267" s="160" t="s">
        <v>257</v>
      </c>
      <c r="B267" s="200" t="s">
        <v>258</v>
      </c>
      <c r="C267" s="200"/>
      <c r="D267" s="201"/>
      <c r="E267" s="161"/>
      <c r="F267" s="162"/>
      <c r="G267" s="163"/>
      <c r="H267" s="164"/>
    </row>
    <row r="268" spans="1:8" s="146" customFormat="1" x14ac:dyDescent="0.25">
      <c r="A268" s="145" t="s">
        <v>259</v>
      </c>
      <c r="B268" s="202" t="s">
        <v>260</v>
      </c>
      <c r="C268" s="202"/>
      <c r="D268" s="203"/>
      <c r="E268" s="130"/>
      <c r="F268" s="131"/>
      <c r="G268" s="165"/>
      <c r="H268" s="132"/>
    </row>
    <row r="269" spans="1:8" s="146" customFormat="1" x14ac:dyDescent="0.25">
      <c r="A269" s="144"/>
      <c r="B269" s="166" t="s">
        <v>10</v>
      </c>
      <c r="C269" s="167"/>
      <c r="D269" s="168"/>
      <c r="E269" s="130"/>
      <c r="F269" s="131"/>
      <c r="G269" s="165"/>
      <c r="H269" s="132"/>
    </row>
    <row r="270" spans="1:8" s="146" customFormat="1" x14ac:dyDescent="0.25">
      <c r="A270" s="144"/>
      <c r="B270" s="169" t="s">
        <v>14</v>
      </c>
      <c r="C270" s="138"/>
      <c r="D270" s="170">
        <v>43</v>
      </c>
      <c r="E270" s="130"/>
      <c r="F270" s="131"/>
      <c r="G270" s="165"/>
      <c r="H270" s="132"/>
    </row>
    <row r="271" spans="1:8" s="146" customFormat="1" x14ac:dyDescent="0.25">
      <c r="A271" s="144"/>
      <c r="B271" s="90"/>
      <c r="C271" s="167"/>
      <c r="D271" s="168"/>
      <c r="E271" s="130" t="s">
        <v>1</v>
      </c>
      <c r="F271" s="134">
        <f>D270</f>
        <v>43</v>
      </c>
      <c r="G271" s="148">
        <v>63</v>
      </c>
      <c r="H271" s="135">
        <f>G271*F271</f>
        <v>2709</v>
      </c>
    </row>
    <row r="272" spans="1:8" s="146" customFormat="1" x14ac:dyDescent="0.25">
      <c r="A272" s="139" t="s">
        <v>261</v>
      </c>
      <c r="B272" s="253" t="s">
        <v>262</v>
      </c>
      <c r="C272" s="253"/>
      <c r="D272" s="254"/>
      <c r="E272" s="140"/>
      <c r="F272" s="141"/>
      <c r="G272" s="171"/>
      <c r="H272" s="142"/>
    </row>
    <row r="273" spans="1:8" s="146" customFormat="1" x14ac:dyDescent="0.25">
      <c r="A273" s="144"/>
      <c r="B273" s="166" t="s">
        <v>10</v>
      </c>
      <c r="C273" s="167"/>
      <c r="D273" s="168"/>
      <c r="E273" s="130"/>
      <c r="F273" s="131"/>
      <c r="G273" s="165"/>
      <c r="H273" s="132"/>
    </row>
    <row r="274" spans="1:8" s="146" customFormat="1" x14ac:dyDescent="0.25">
      <c r="A274" s="144"/>
      <c r="B274" s="169" t="s">
        <v>14</v>
      </c>
      <c r="C274" s="138" t="s">
        <v>269</v>
      </c>
      <c r="D274" s="170">
        <v>77</v>
      </c>
      <c r="E274" s="130"/>
      <c r="F274" s="131"/>
      <c r="G274" s="165"/>
      <c r="H274" s="132"/>
    </row>
    <row r="275" spans="1:8" s="146" customFormat="1" x14ac:dyDescent="0.25">
      <c r="A275" s="144"/>
      <c r="B275" s="169" t="s">
        <v>14</v>
      </c>
      <c r="C275" s="138" t="s">
        <v>270</v>
      </c>
      <c r="D275" s="170">
        <v>19</v>
      </c>
      <c r="E275" s="130"/>
      <c r="F275" s="131"/>
      <c r="G275" s="165"/>
      <c r="H275" s="132"/>
    </row>
    <row r="276" spans="1:8" s="146" customFormat="1" x14ac:dyDescent="0.25">
      <c r="A276" s="144"/>
      <c r="B276" s="90"/>
      <c r="C276" s="167"/>
      <c r="D276" s="168"/>
      <c r="E276" s="130" t="s">
        <v>1</v>
      </c>
      <c r="F276" s="134">
        <f>D274+D275</f>
        <v>96</v>
      </c>
      <c r="G276" s="148">
        <v>146</v>
      </c>
      <c r="H276" s="135">
        <f>G276*F276</f>
        <v>14016</v>
      </c>
    </row>
    <row r="277" spans="1:8" s="146" customFormat="1" x14ac:dyDescent="0.25">
      <c r="A277" s="139" t="s">
        <v>263</v>
      </c>
      <c r="B277" s="253" t="s">
        <v>264</v>
      </c>
      <c r="C277" s="253"/>
      <c r="D277" s="254"/>
      <c r="E277" s="140"/>
      <c r="F277" s="141"/>
      <c r="G277" s="171"/>
      <c r="H277" s="142"/>
    </row>
    <row r="278" spans="1:8" s="146" customFormat="1" x14ac:dyDescent="0.25">
      <c r="A278" s="144"/>
      <c r="B278" s="166" t="s">
        <v>10</v>
      </c>
      <c r="C278" s="167"/>
      <c r="D278" s="168"/>
      <c r="E278" s="130"/>
      <c r="F278" s="131"/>
      <c r="G278" s="165"/>
      <c r="H278" s="132"/>
    </row>
    <row r="279" spans="1:8" s="146" customFormat="1" x14ac:dyDescent="0.25">
      <c r="A279" s="144"/>
      <c r="B279" s="169" t="s">
        <v>14</v>
      </c>
      <c r="C279" s="138"/>
      <c r="D279" s="170">
        <v>4</v>
      </c>
      <c r="E279" s="130"/>
      <c r="F279" s="131"/>
      <c r="G279" s="172"/>
      <c r="H279" s="132"/>
    </row>
    <row r="280" spans="1:8" s="146" customFormat="1" x14ac:dyDescent="0.25">
      <c r="A280" s="144"/>
      <c r="B280" s="90"/>
      <c r="C280" s="167"/>
      <c r="D280" s="168"/>
      <c r="E280" s="130" t="s">
        <v>1</v>
      </c>
      <c r="F280" s="134">
        <f>D279</f>
        <v>4</v>
      </c>
      <c r="G280" s="148">
        <v>146</v>
      </c>
      <c r="H280" s="135">
        <f>G280*F280</f>
        <v>584</v>
      </c>
    </row>
    <row r="281" spans="1:8" s="146" customFormat="1" x14ac:dyDescent="0.25">
      <c r="A281" s="139" t="s">
        <v>265</v>
      </c>
      <c r="B281" s="253" t="s">
        <v>266</v>
      </c>
      <c r="C281" s="253"/>
      <c r="D281" s="254"/>
      <c r="E281" s="140"/>
      <c r="F281" s="141"/>
      <c r="G281" s="173"/>
      <c r="H281" s="142"/>
    </row>
    <row r="282" spans="1:8" s="146" customFormat="1" x14ac:dyDescent="0.25">
      <c r="A282" s="144"/>
      <c r="B282" s="166" t="s">
        <v>10</v>
      </c>
      <c r="C282" s="167"/>
      <c r="D282" s="168"/>
      <c r="E282" s="130"/>
      <c r="F282" s="131"/>
      <c r="G282" s="172"/>
      <c r="H282" s="132"/>
    </row>
    <row r="283" spans="1:8" s="146" customFormat="1" x14ac:dyDescent="0.25">
      <c r="A283" s="144"/>
      <c r="B283" s="169" t="s">
        <v>14</v>
      </c>
      <c r="C283" s="138" t="s">
        <v>153</v>
      </c>
      <c r="D283" s="170">
        <v>14</v>
      </c>
      <c r="E283" s="130"/>
      <c r="F283" s="131"/>
      <c r="G283" s="172"/>
      <c r="H283" s="132"/>
    </row>
    <row r="284" spans="1:8" s="146" customFormat="1" x14ac:dyDescent="0.25">
      <c r="A284" s="144"/>
      <c r="B284" s="90"/>
      <c r="C284" s="167"/>
      <c r="D284" s="168"/>
      <c r="E284" s="130" t="s">
        <v>1</v>
      </c>
      <c r="F284" s="134">
        <f>D283</f>
        <v>14</v>
      </c>
      <c r="G284" s="148">
        <v>126.2</v>
      </c>
      <c r="H284" s="135">
        <f>G284*F284</f>
        <v>1766.8</v>
      </c>
    </row>
    <row r="285" spans="1:8" s="146" customFormat="1" x14ac:dyDescent="0.25">
      <c r="A285" s="139" t="s">
        <v>272</v>
      </c>
      <c r="B285" s="253" t="s">
        <v>271</v>
      </c>
      <c r="C285" s="253"/>
      <c r="D285" s="254"/>
      <c r="E285" s="140"/>
      <c r="F285" s="141"/>
      <c r="G285" s="173"/>
      <c r="H285" s="142"/>
    </row>
    <row r="286" spans="1:8" s="146" customFormat="1" x14ac:dyDescent="0.25">
      <c r="A286" s="144"/>
      <c r="B286" s="166" t="s">
        <v>10</v>
      </c>
      <c r="C286" s="167"/>
      <c r="D286" s="168"/>
      <c r="E286" s="130"/>
      <c r="F286" s="131"/>
      <c r="G286" s="172"/>
      <c r="H286" s="132"/>
    </row>
    <row r="287" spans="1:8" s="146" customFormat="1" x14ac:dyDescent="0.25">
      <c r="A287" s="144"/>
      <c r="B287" s="169" t="s">
        <v>14</v>
      </c>
      <c r="C287" s="138" t="s">
        <v>153</v>
      </c>
      <c r="D287" s="170">
        <v>4</v>
      </c>
      <c r="E287" s="130"/>
      <c r="F287" s="131"/>
      <c r="G287" s="172"/>
      <c r="H287" s="132"/>
    </row>
    <row r="288" spans="1:8" s="146" customFormat="1" x14ac:dyDescent="0.25">
      <c r="A288" s="144"/>
      <c r="B288" s="90"/>
      <c r="C288" s="167"/>
      <c r="D288" s="168"/>
      <c r="E288" s="130" t="s">
        <v>1</v>
      </c>
      <c r="F288" s="134">
        <f>D287</f>
        <v>4</v>
      </c>
      <c r="G288" s="148">
        <v>126.2</v>
      </c>
      <c r="H288" s="135">
        <f>G288*F288</f>
        <v>504.8</v>
      </c>
    </row>
    <row r="289" spans="1:8" x14ac:dyDescent="0.25">
      <c r="A289" s="8"/>
      <c r="B289" s="10"/>
      <c r="C289" s="10"/>
      <c r="D289" s="12"/>
      <c r="E289" s="21"/>
      <c r="F289" s="60"/>
      <c r="G289" s="122"/>
      <c r="H289" s="27"/>
    </row>
    <row r="290" spans="1:8" s="16" customFormat="1" ht="18.75" x14ac:dyDescent="0.25">
      <c r="A290" s="31"/>
      <c r="B290" s="216" t="s">
        <v>268</v>
      </c>
      <c r="C290" s="216"/>
      <c r="D290" s="217"/>
      <c r="E290" s="32"/>
      <c r="F290" s="63"/>
      <c r="G290" s="58"/>
      <c r="H290" s="33">
        <f>SUM(H268:H289)</f>
        <v>19580.599999999999</v>
      </c>
    </row>
    <row r="291" spans="1:8" x14ac:dyDescent="0.25">
      <c r="A291" s="8"/>
      <c r="B291" s="10"/>
      <c r="C291" s="10"/>
      <c r="D291" s="12"/>
      <c r="E291" s="21"/>
      <c r="F291" s="58"/>
      <c r="G291" s="58"/>
      <c r="H291" s="22"/>
    </row>
    <row r="292" spans="1:8" s="146" customFormat="1" ht="18.75" x14ac:dyDescent="0.25">
      <c r="A292" s="160" t="s">
        <v>277</v>
      </c>
      <c r="B292" s="200" t="s">
        <v>278</v>
      </c>
      <c r="C292" s="200"/>
      <c r="D292" s="201"/>
      <c r="E292" s="161"/>
      <c r="F292" s="162"/>
      <c r="G292" s="163"/>
      <c r="H292" s="164"/>
    </row>
    <row r="293" spans="1:8" s="146" customFormat="1" x14ac:dyDescent="0.25">
      <c r="A293" s="145" t="s">
        <v>279</v>
      </c>
      <c r="B293" s="202" t="s">
        <v>280</v>
      </c>
      <c r="C293" s="202"/>
      <c r="D293" s="203"/>
      <c r="E293" s="130"/>
      <c r="F293" s="131"/>
      <c r="G293" s="165"/>
      <c r="H293" s="132"/>
    </row>
    <row r="294" spans="1:8" s="146" customFormat="1" x14ac:dyDescent="0.25">
      <c r="A294" s="144"/>
      <c r="B294" s="166" t="s">
        <v>10</v>
      </c>
      <c r="C294" s="167"/>
      <c r="D294" s="168"/>
      <c r="E294" s="130"/>
      <c r="F294" s="131"/>
      <c r="G294" s="165"/>
      <c r="H294" s="132"/>
    </row>
    <row r="295" spans="1:8" s="146" customFormat="1" x14ac:dyDescent="0.25">
      <c r="A295" s="144"/>
      <c r="B295" s="169" t="s">
        <v>14</v>
      </c>
      <c r="C295" s="138" t="s">
        <v>281</v>
      </c>
      <c r="D295" s="170">
        <v>1</v>
      </c>
      <c r="E295" s="130"/>
      <c r="F295" s="131"/>
      <c r="G295" s="165"/>
      <c r="H295" s="132"/>
    </row>
    <row r="296" spans="1:8" s="146" customFormat="1" x14ac:dyDescent="0.25">
      <c r="A296" s="144"/>
      <c r="B296" s="90"/>
      <c r="C296" s="167"/>
      <c r="D296" s="168"/>
      <c r="E296" s="130" t="s">
        <v>282</v>
      </c>
      <c r="F296" s="134">
        <f>D295</f>
        <v>1</v>
      </c>
      <c r="G296" s="148">
        <v>1094.8</v>
      </c>
      <c r="H296" s="135">
        <f>G296*F296</f>
        <v>1094.8</v>
      </c>
    </row>
    <row r="297" spans="1:8" s="146" customFormat="1" x14ac:dyDescent="0.25">
      <c r="A297" s="144"/>
      <c r="B297" s="137"/>
      <c r="C297" s="137"/>
      <c r="D297" s="129"/>
      <c r="E297" s="130"/>
      <c r="F297" s="134"/>
      <c r="G297" s="165"/>
      <c r="H297" s="135"/>
    </row>
    <row r="298" spans="1:8" s="16" customFormat="1" ht="18.75" x14ac:dyDescent="0.25">
      <c r="A298" s="31"/>
      <c r="B298" s="204" t="s">
        <v>283</v>
      </c>
      <c r="C298" s="204"/>
      <c r="D298" s="205"/>
      <c r="E298" s="32"/>
      <c r="F298" s="63"/>
      <c r="G298" s="131"/>
      <c r="H298" s="33">
        <f>H296</f>
        <v>1094.8</v>
      </c>
    </row>
    <row r="299" spans="1:8" s="146" customFormat="1" x14ac:dyDescent="0.25">
      <c r="A299" s="144"/>
      <c r="B299" s="137"/>
      <c r="C299" s="137"/>
      <c r="D299" s="129"/>
      <c r="E299" s="130"/>
      <c r="F299" s="131"/>
      <c r="G299" s="131"/>
      <c r="H299" s="132"/>
    </row>
    <row r="300" spans="1:8" s="146" customFormat="1" x14ac:dyDescent="0.25">
      <c r="A300" s="174"/>
      <c r="B300" s="175"/>
      <c r="C300" s="175"/>
      <c r="D300" s="176"/>
      <c r="E300" s="177"/>
      <c r="F300" s="178"/>
      <c r="G300" s="178"/>
      <c r="H300" s="179"/>
    </row>
    <row r="301" spans="1:8" s="146" customFormat="1" x14ac:dyDescent="0.25">
      <c r="A301" s="180"/>
      <c r="B301" s="180"/>
      <c r="C301" s="180"/>
      <c r="F301" s="181"/>
      <c r="G301" s="181"/>
    </row>
    <row r="302" spans="1:8" ht="28.5" customHeight="1" x14ac:dyDescent="0.25">
      <c r="B302" s="239" t="s">
        <v>116</v>
      </c>
      <c r="C302" s="240"/>
      <c r="D302" s="240"/>
      <c r="E302" s="240"/>
      <c r="F302" s="240"/>
      <c r="G302" s="240"/>
      <c r="H302" s="121">
        <f>H114+H156+H187+H213+H222+H253+H265+H290+H298</f>
        <v>905405.07374999998</v>
      </c>
    </row>
    <row r="303" spans="1:8" x14ac:dyDescent="0.25">
      <c r="B303" s="41" t="s">
        <v>115</v>
      </c>
      <c r="H303" s="40">
        <f>H302*20%</f>
        <v>181081.01475</v>
      </c>
    </row>
    <row r="304" spans="1:8" x14ac:dyDescent="0.25">
      <c r="B304" s="39" t="s">
        <v>107</v>
      </c>
      <c r="H304" s="40">
        <f>H302+H303</f>
        <v>1086486.0885000001</v>
      </c>
    </row>
    <row r="306" spans="1:8" x14ac:dyDescent="0.25">
      <c r="A306" s="252"/>
      <c r="B306" s="252"/>
      <c r="C306" s="252"/>
      <c r="D306" s="252"/>
      <c r="E306" s="252"/>
      <c r="F306" s="252"/>
      <c r="G306" s="252"/>
      <c r="H306" s="252"/>
    </row>
    <row r="307" spans="1:8" x14ac:dyDescent="0.25">
      <c r="A307" s="252"/>
      <c r="B307" s="252"/>
      <c r="C307" s="252"/>
      <c r="D307" s="252"/>
      <c r="E307" s="252"/>
      <c r="F307" s="252"/>
      <c r="G307" s="252"/>
      <c r="H307" s="252"/>
    </row>
  </sheetData>
  <mergeCells count="91">
    <mergeCell ref="A307:H307"/>
    <mergeCell ref="A306:H306"/>
    <mergeCell ref="B290:D290"/>
    <mergeCell ref="B285:D285"/>
    <mergeCell ref="B267:D267"/>
    <mergeCell ref="B268:D268"/>
    <mergeCell ref="B272:D272"/>
    <mergeCell ref="B277:D277"/>
    <mergeCell ref="B281:D281"/>
    <mergeCell ref="B181:D181"/>
    <mergeCell ref="B167:D167"/>
    <mergeCell ref="B106:D106"/>
    <mergeCell ref="B107:D107"/>
    <mergeCell ref="B114:D114"/>
    <mergeCell ref="B116:D116"/>
    <mergeCell ref="B117:D117"/>
    <mergeCell ref="B118:D118"/>
    <mergeCell ref="B179:D179"/>
    <mergeCell ref="B159:D159"/>
    <mergeCell ref="B172:D172"/>
    <mergeCell ref="B119:D119"/>
    <mergeCell ref="B255:D255"/>
    <mergeCell ref="B97:D97"/>
    <mergeCell ref="B98:D98"/>
    <mergeCell ref="B140:D140"/>
    <mergeCell ref="B141:D141"/>
    <mergeCell ref="B148:D148"/>
    <mergeCell ref="B134:D134"/>
    <mergeCell ref="B139:D139"/>
    <mergeCell ref="B126:D126"/>
    <mergeCell ref="B133:D133"/>
    <mergeCell ref="B156:D156"/>
    <mergeCell ref="B158:D158"/>
    <mergeCell ref="B171:D171"/>
    <mergeCell ref="B160:D160"/>
    <mergeCell ref="B102:D102"/>
    <mergeCell ref="B180:D180"/>
    <mergeCell ref="B206:D206"/>
    <mergeCell ref="B265:D265"/>
    <mergeCell ref="B302:G302"/>
    <mergeCell ref="B244:D244"/>
    <mergeCell ref="B213:D213"/>
    <mergeCell ref="B215:D215"/>
    <mergeCell ref="B216:D216"/>
    <mergeCell ref="B217:D217"/>
    <mergeCell ref="B222:D222"/>
    <mergeCell ref="B224:D224"/>
    <mergeCell ref="B225:D225"/>
    <mergeCell ref="B226:D226"/>
    <mergeCell ref="B235:D235"/>
    <mergeCell ref="B253:D253"/>
    <mergeCell ref="B256:D256"/>
    <mergeCell ref="B260:D260"/>
    <mergeCell ref="B192:D192"/>
    <mergeCell ref="B194:D194"/>
    <mergeCell ref="B201:D201"/>
    <mergeCell ref="B202:D202"/>
    <mergeCell ref="B193:D193"/>
    <mergeCell ref="B11:D11"/>
    <mergeCell ref="B15:D15"/>
    <mergeCell ref="B51:D51"/>
    <mergeCell ref="B52:D52"/>
    <mergeCell ref="B62:D62"/>
    <mergeCell ref="B47:D47"/>
    <mergeCell ref="B19:D19"/>
    <mergeCell ref="B20:D20"/>
    <mergeCell ref="B30:D30"/>
    <mergeCell ref="B37:D37"/>
    <mergeCell ref="B38:D38"/>
    <mergeCell ref="F4:H4"/>
    <mergeCell ref="B6:D6"/>
    <mergeCell ref="B8:D8"/>
    <mergeCell ref="B9:D9"/>
    <mergeCell ref="B10:D10"/>
    <mergeCell ref="G5:H5"/>
    <mergeCell ref="B248:D248"/>
    <mergeCell ref="B292:D292"/>
    <mergeCell ref="B293:D293"/>
    <mergeCell ref="B298:D298"/>
    <mergeCell ref="B50:D50"/>
    <mergeCell ref="B93:D93"/>
    <mergeCell ref="B63:D63"/>
    <mergeCell ref="B78:D78"/>
    <mergeCell ref="B87:D87"/>
    <mergeCell ref="B88:D88"/>
    <mergeCell ref="B89:D89"/>
    <mergeCell ref="B79:D79"/>
    <mergeCell ref="B83:D83"/>
    <mergeCell ref="B207:D207"/>
    <mergeCell ref="B187:D187"/>
    <mergeCell ref="B191:D191"/>
  </mergeCells>
  <pageMargins left="0.70866141732283472" right="0.70866141732283472" top="0.74803149606299213" bottom="0.74803149606299213" header="0.31496062992125984" footer="0.31496062992125984"/>
  <pageSetup paperSize="9" scale="87" fitToHeight="0" orientation="portrait" r:id="rId1"/>
  <headerFooter alignWithMargins="0">
    <oddHeader>&amp;R&amp;G</oddHeader>
    <oddFooter>&amp;R20/08/2014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0"/>
  <sheetViews>
    <sheetView zoomScaleNormal="100" workbookViewId="0">
      <selection activeCell="H180" sqref="A1:H180"/>
    </sheetView>
  </sheetViews>
  <sheetFormatPr baseColWidth="10" defaultColWidth="11.42578125" defaultRowHeight="12.75" x14ac:dyDescent="0.25"/>
  <cols>
    <col min="1" max="1" width="6.28515625" style="38" customWidth="1"/>
    <col min="2" max="3" width="20.28515625" style="38" customWidth="1"/>
    <col min="4" max="4" width="11.140625" style="7" customWidth="1"/>
    <col min="5" max="5" width="4.7109375" style="7" customWidth="1"/>
    <col min="6" max="7" width="10.7109375" style="66" customWidth="1"/>
    <col min="8" max="8" width="12.28515625" style="66" customWidth="1"/>
    <col min="9" max="16384" width="11.42578125" style="7"/>
  </cols>
  <sheetData>
    <row r="1" spans="1:8" ht="20.25" x14ac:dyDescent="0.25">
      <c r="A1" s="1"/>
      <c r="B1" s="4"/>
      <c r="C1" s="2" t="s">
        <v>166</v>
      </c>
      <c r="D1" s="4"/>
      <c r="E1" s="4"/>
      <c r="F1" s="55"/>
      <c r="G1" s="55"/>
      <c r="H1" s="97"/>
    </row>
    <row r="2" spans="1:8" x14ac:dyDescent="0.25">
      <c r="A2" s="8"/>
      <c r="B2" s="11"/>
      <c r="C2" s="9" t="s">
        <v>167</v>
      </c>
      <c r="D2" s="11"/>
      <c r="E2" s="11"/>
      <c r="F2" s="56"/>
      <c r="G2" s="56"/>
      <c r="H2" s="98"/>
    </row>
    <row r="3" spans="1:8" ht="13.5" x14ac:dyDescent="0.25">
      <c r="A3" s="8"/>
      <c r="B3" s="11"/>
      <c r="C3" s="13" t="s">
        <v>168</v>
      </c>
      <c r="D3" s="11"/>
      <c r="E3" s="11"/>
      <c r="F3" s="56"/>
      <c r="G3" s="56"/>
      <c r="H3" s="98"/>
    </row>
    <row r="4" spans="1:8" ht="16.5" x14ac:dyDescent="0.25">
      <c r="A4" s="8"/>
      <c r="B4" s="10"/>
      <c r="C4" s="14" t="s">
        <v>169</v>
      </c>
      <c r="D4" s="11"/>
      <c r="E4" s="11"/>
      <c r="F4" s="260"/>
      <c r="G4" s="261"/>
      <c r="H4" s="262"/>
    </row>
    <row r="5" spans="1:8" ht="16.5" x14ac:dyDescent="0.25">
      <c r="A5" s="8"/>
      <c r="B5" s="10"/>
      <c r="C5" s="192" t="s">
        <v>313</v>
      </c>
      <c r="D5" s="11"/>
      <c r="E5" s="11"/>
      <c r="F5" s="197"/>
      <c r="G5" s="231"/>
      <c r="H5" s="232"/>
    </row>
    <row r="6" spans="1:8" s="16" customFormat="1" x14ac:dyDescent="0.25">
      <c r="A6" s="15"/>
      <c r="B6" s="223"/>
      <c r="C6" s="223"/>
      <c r="D6" s="224"/>
      <c r="E6" s="77" t="s">
        <v>1</v>
      </c>
      <c r="F6" s="78" t="s">
        <v>2</v>
      </c>
      <c r="G6" s="78" t="s">
        <v>3</v>
      </c>
      <c r="H6" s="99" t="s">
        <v>4</v>
      </c>
    </row>
    <row r="7" spans="1:8" x14ac:dyDescent="0.25">
      <c r="A7" s="1"/>
      <c r="B7" s="3"/>
      <c r="C7" s="3"/>
      <c r="D7" s="17"/>
      <c r="E7" s="18"/>
      <c r="F7" s="57"/>
      <c r="G7" s="57"/>
      <c r="H7" s="100"/>
    </row>
    <row r="8" spans="1:8" ht="22.5" x14ac:dyDescent="0.25">
      <c r="A8" s="20"/>
      <c r="B8" s="225" t="s">
        <v>170</v>
      </c>
      <c r="C8" s="225"/>
      <c r="D8" s="226"/>
      <c r="E8" s="21"/>
      <c r="F8" s="58"/>
      <c r="G8" s="58"/>
      <c r="H8" s="93"/>
    </row>
    <row r="9" spans="1:8" ht="18.75" x14ac:dyDescent="0.25">
      <c r="A9" s="48" t="s">
        <v>6</v>
      </c>
      <c r="B9" s="227" t="s">
        <v>171</v>
      </c>
      <c r="C9" s="227"/>
      <c r="D9" s="228"/>
      <c r="E9" s="101"/>
      <c r="F9" s="102"/>
      <c r="G9" s="102"/>
      <c r="H9" s="103"/>
    </row>
    <row r="10" spans="1:8" ht="37.5" customHeight="1" x14ac:dyDescent="0.25">
      <c r="A10" s="23" t="s">
        <v>8</v>
      </c>
      <c r="B10" s="250" t="s">
        <v>172</v>
      </c>
      <c r="C10" s="250"/>
      <c r="D10" s="251"/>
      <c r="E10" s="21"/>
      <c r="F10" s="58"/>
      <c r="G10" s="58"/>
      <c r="H10" s="93"/>
    </row>
    <row r="11" spans="1:8" ht="30" customHeight="1" x14ac:dyDescent="0.25">
      <c r="A11" s="24" t="s">
        <v>9</v>
      </c>
      <c r="B11" s="233" t="s">
        <v>308</v>
      </c>
      <c r="C11" s="233"/>
      <c r="D11" s="234"/>
      <c r="E11" s="21"/>
      <c r="F11" s="58"/>
      <c r="G11" s="58"/>
      <c r="H11" s="93"/>
    </row>
    <row r="12" spans="1:8" x14ac:dyDescent="0.25">
      <c r="A12" s="8"/>
      <c r="B12" s="25" t="s">
        <v>10</v>
      </c>
      <c r="C12" s="10"/>
      <c r="D12" s="12"/>
      <c r="E12" s="21"/>
      <c r="F12" s="58"/>
      <c r="G12" s="58"/>
      <c r="H12" s="93"/>
    </row>
    <row r="13" spans="1:8" x14ac:dyDescent="0.25">
      <c r="A13" s="8"/>
      <c r="B13" s="25" t="s">
        <v>174</v>
      </c>
      <c r="C13" s="25" t="s">
        <v>19</v>
      </c>
      <c r="D13" s="29">
        <v>388.93149999999997</v>
      </c>
      <c r="E13" s="21"/>
      <c r="F13" s="58"/>
      <c r="G13" s="58"/>
      <c r="H13" s="93"/>
    </row>
    <row r="14" spans="1:8" x14ac:dyDescent="0.25">
      <c r="A14" s="8"/>
      <c r="B14" s="25" t="s">
        <v>175</v>
      </c>
      <c r="C14" s="25" t="s">
        <v>19</v>
      </c>
      <c r="D14" s="29">
        <v>325.52000000000004</v>
      </c>
      <c r="E14" s="21"/>
      <c r="F14" s="58"/>
      <c r="G14" s="58"/>
      <c r="H14" s="93"/>
    </row>
    <row r="15" spans="1:8" x14ac:dyDescent="0.25">
      <c r="A15" s="8"/>
      <c r="B15" s="25" t="s">
        <v>125</v>
      </c>
      <c r="C15" s="25" t="s">
        <v>19</v>
      </c>
      <c r="D15" s="29">
        <v>262.10849999999999</v>
      </c>
      <c r="E15" s="21"/>
      <c r="F15" s="58"/>
      <c r="G15" s="58"/>
      <c r="H15" s="93"/>
    </row>
    <row r="16" spans="1:8" x14ac:dyDescent="0.25">
      <c r="A16" s="8"/>
      <c r="B16" s="25" t="s">
        <v>176</v>
      </c>
      <c r="C16" s="10"/>
      <c r="D16" s="104">
        <v>305</v>
      </c>
      <c r="E16" s="21"/>
      <c r="F16" s="58"/>
      <c r="G16" s="58"/>
      <c r="H16" s="94"/>
    </row>
    <row r="17" spans="1:8" x14ac:dyDescent="0.25">
      <c r="A17" s="8"/>
      <c r="B17" s="25" t="s">
        <v>177</v>
      </c>
      <c r="C17" s="25" t="s">
        <v>19</v>
      </c>
      <c r="D17" s="29">
        <v>14.439999999999989</v>
      </c>
      <c r="E17" s="21"/>
      <c r="F17" s="58"/>
      <c r="G17" s="58"/>
      <c r="H17" s="94"/>
    </row>
    <row r="18" spans="1:8" x14ac:dyDescent="0.25">
      <c r="A18" s="8"/>
      <c r="B18" s="25" t="s">
        <v>178</v>
      </c>
      <c r="C18" s="10"/>
      <c r="D18" s="105">
        <v>149.57999999999998</v>
      </c>
      <c r="E18" s="21"/>
      <c r="F18" s="58"/>
      <c r="G18" s="58"/>
      <c r="H18" s="94"/>
    </row>
    <row r="19" spans="1:8" ht="18" x14ac:dyDescent="0.25">
      <c r="A19" s="8"/>
      <c r="B19" s="25" t="s">
        <v>179</v>
      </c>
      <c r="C19" s="25" t="s">
        <v>19</v>
      </c>
      <c r="D19" s="29">
        <v>91.760999999999996</v>
      </c>
      <c r="E19" s="21"/>
      <c r="F19" s="58"/>
      <c r="G19" s="58"/>
      <c r="H19" s="93"/>
    </row>
    <row r="20" spans="1:8" x14ac:dyDescent="0.25">
      <c r="A20" s="8"/>
      <c r="B20" s="25" t="s">
        <v>180</v>
      </c>
      <c r="C20" s="25" t="s">
        <v>19</v>
      </c>
      <c r="D20" s="29">
        <v>195.494</v>
      </c>
      <c r="E20" s="21"/>
      <c r="F20" s="58"/>
      <c r="G20" s="58"/>
      <c r="H20" s="93"/>
    </row>
    <row r="21" spans="1:8" x14ac:dyDescent="0.25">
      <c r="A21" s="8"/>
      <c r="B21" s="25" t="s">
        <v>181</v>
      </c>
      <c r="C21" s="25" t="s">
        <v>19</v>
      </c>
      <c r="D21" s="29">
        <v>133.94000000000003</v>
      </c>
      <c r="E21" s="21"/>
      <c r="F21" s="58"/>
      <c r="G21" s="58"/>
      <c r="H21" s="94"/>
    </row>
    <row r="22" spans="1:8" x14ac:dyDescent="0.25">
      <c r="A22" s="8"/>
      <c r="B22" s="10"/>
      <c r="C22" s="10"/>
      <c r="D22" s="12"/>
      <c r="E22" s="21" t="s">
        <v>12</v>
      </c>
      <c r="F22" s="60">
        <f>SUM(D13:D21)</f>
        <v>1866.7749999999999</v>
      </c>
      <c r="G22" s="58">
        <v>36.94</v>
      </c>
      <c r="H22" s="94">
        <f>ROUND(F22*G22,2)</f>
        <v>68958.67</v>
      </c>
    </row>
    <row r="23" spans="1:8" ht="24.6" customHeight="1" x14ac:dyDescent="0.25">
      <c r="A23" s="106" t="s">
        <v>25</v>
      </c>
      <c r="B23" s="259" t="s">
        <v>182</v>
      </c>
      <c r="C23" s="206"/>
      <c r="D23" s="207"/>
      <c r="E23" s="44"/>
      <c r="F23" s="61"/>
      <c r="G23" s="61"/>
      <c r="H23" s="95"/>
    </row>
    <row r="24" spans="1:8" ht="54.75" customHeight="1" x14ac:dyDescent="0.25">
      <c r="A24" s="30" t="s">
        <v>183</v>
      </c>
      <c r="B24" s="233" t="s">
        <v>309</v>
      </c>
      <c r="C24" s="233"/>
      <c r="D24" s="234"/>
      <c r="E24" s="21"/>
      <c r="F24" s="58"/>
      <c r="G24" s="58"/>
      <c r="H24" s="93"/>
    </row>
    <row r="25" spans="1:8" x14ac:dyDescent="0.25">
      <c r="A25" s="8"/>
      <c r="B25" s="138" t="s">
        <v>10</v>
      </c>
      <c r="C25" s="137"/>
      <c r="D25" s="129"/>
      <c r="E25" s="21"/>
      <c r="F25" s="58"/>
      <c r="G25" s="58"/>
      <c r="H25" s="93"/>
    </row>
    <row r="26" spans="1:8" x14ac:dyDescent="0.25">
      <c r="A26" s="8"/>
      <c r="B26" s="137"/>
      <c r="C26" s="138" t="s">
        <v>162</v>
      </c>
      <c r="D26" s="182">
        <v>847</v>
      </c>
      <c r="E26" s="21"/>
      <c r="F26" s="58"/>
      <c r="G26" s="58"/>
      <c r="H26" s="93"/>
    </row>
    <row r="27" spans="1:8" ht="12" customHeight="1" x14ac:dyDescent="0.25">
      <c r="A27" s="8"/>
      <c r="B27" s="137"/>
      <c r="C27" s="137"/>
      <c r="D27" s="129"/>
      <c r="E27" s="21" t="s">
        <v>12</v>
      </c>
      <c r="F27" s="60">
        <f>D26</f>
        <v>847</v>
      </c>
      <c r="G27" s="75">
        <v>34.270000000000003</v>
      </c>
      <c r="H27" s="94">
        <f>ROUND(F27*G27,2)</f>
        <v>29026.69</v>
      </c>
    </row>
    <row r="28" spans="1:8" ht="39.75" customHeight="1" x14ac:dyDescent="0.25">
      <c r="A28" s="91" t="s">
        <v>184</v>
      </c>
      <c r="B28" s="198" t="s">
        <v>310</v>
      </c>
      <c r="C28" s="198"/>
      <c r="D28" s="199"/>
      <c r="E28" s="44"/>
      <c r="F28" s="61"/>
      <c r="G28" s="61"/>
      <c r="H28" s="95"/>
    </row>
    <row r="29" spans="1:8" x14ac:dyDescent="0.25">
      <c r="A29" s="8"/>
      <c r="B29" s="25" t="s">
        <v>10</v>
      </c>
      <c r="C29" s="10"/>
      <c r="D29" s="12"/>
      <c r="E29" s="21"/>
      <c r="F29" s="58"/>
      <c r="G29" s="58"/>
      <c r="H29" s="93"/>
    </row>
    <row r="30" spans="1:8" x14ac:dyDescent="0.25">
      <c r="A30" s="144"/>
      <c r="B30" s="137"/>
      <c r="C30" s="138" t="s">
        <v>163</v>
      </c>
      <c r="D30" s="182">
        <v>140</v>
      </c>
      <c r="E30" s="130"/>
      <c r="F30" s="131"/>
      <c r="G30" s="131"/>
      <c r="H30" s="93"/>
    </row>
    <row r="31" spans="1:8" ht="12" customHeight="1" x14ac:dyDescent="0.25">
      <c r="A31" s="144"/>
      <c r="B31" s="137"/>
      <c r="C31" s="137"/>
      <c r="D31" s="129"/>
      <c r="E31" s="130" t="s">
        <v>12</v>
      </c>
      <c r="F31" s="134">
        <f>D30</f>
        <v>140</v>
      </c>
      <c r="G31" s="183">
        <v>27.32</v>
      </c>
      <c r="H31" s="94">
        <f>ROUND(F31*G31,2)</f>
        <v>3824.8</v>
      </c>
    </row>
    <row r="32" spans="1:8" ht="30.75" customHeight="1" x14ac:dyDescent="0.25">
      <c r="A32" s="139" t="s">
        <v>289</v>
      </c>
      <c r="B32" s="198" t="s">
        <v>290</v>
      </c>
      <c r="C32" s="198"/>
      <c r="D32" s="199"/>
      <c r="E32" s="140"/>
      <c r="F32" s="141"/>
      <c r="G32" s="141"/>
      <c r="H32" s="95"/>
    </row>
    <row r="33" spans="1:8" x14ac:dyDescent="0.25">
      <c r="A33" s="144"/>
      <c r="B33" s="138" t="s">
        <v>10</v>
      </c>
      <c r="C33" s="137"/>
      <c r="D33" s="129"/>
      <c r="E33" s="130"/>
      <c r="F33" s="131"/>
      <c r="G33" s="131"/>
      <c r="H33" s="93"/>
    </row>
    <row r="34" spans="1:8" x14ac:dyDescent="0.25">
      <c r="A34" s="144"/>
      <c r="B34" s="137"/>
      <c r="C34" s="138" t="s">
        <v>162</v>
      </c>
      <c r="D34" s="182">
        <f>26*(2.25*2.25)</f>
        <v>131.625</v>
      </c>
      <c r="E34" s="130"/>
      <c r="F34" s="131"/>
      <c r="G34" s="131"/>
      <c r="H34" s="93"/>
    </row>
    <row r="35" spans="1:8" ht="12" customHeight="1" x14ac:dyDescent="0.25">
      <c r="A35" s="8"/>
      <c r="B35" s="10"/>
      <c r="C35" s="10"/>
      <c r="D35" s="12"/>
      <c r="E35" s="21" t="s">
        <v>12</v>
      </c>
      <c r="F35" s="96">
        <f>D34</f>
        <v>131.625</v>
      </c>
      <c r="G35" s="75">
        <v>53.31</v>
      </c>
      <c r="H35" s="119">
        <f>G35*F35</f>
        <v>7016.92875</v>
      </c>
    </row>
    <row r="36" spans="1:8" x14ac:dyDescent="0.25">
      <c r="A36" s="8"/>
      <c r="B36" s="10"/>
      <c r="C36" s="10"/>
      <c r="D36" s="12"/>
      <c r="E36" s="21"/>
      <c r="F36" s="58"/>
      <c r="G36" s="58"/>
      <c r="H36" s="93"/>
    </row>
    <row r="37" spans="1:8" s="16" customFormat="1" ht="18.75" x14ac:dyDescent="0.25">
      <c r="A37" s="31"/>
      <c r="B37" s="216" t="s">
        <v>185</v>
      </c>
      <c r="C37" s="216"/>
      <c r="D37" s="217"/>
      <c r="E37" s="32"/>
      <c r="F37" s="63"/>
      <c r="G37" s="63"/>
      <c r="H37" s="108">
        <f>SUM(H11:H36)</f>
        <v>108827.08875000001</v>
      </c>
    </row>
    <row r="38" spans="1:8" x14ac:dyDescent="0.25">
      <c r="A38" s="8"/>
      <c r="B38" s="10"/>
      <c r="C38" s="10"/>
      <c r="D38" s="12"/>
      <c r="E38" s="21"/>
      <c r="F38" s="58"/>
      <c r="G38" s="58"/>
      <c r="H38" s="93"/>
    </row>
    <row r="39" spans="1:8" ht="18.75" x14ac:dyDescent="0.25">
      <c r="A39" s="48" t="s">
        <v>39</v>
      </c>
      <c r="B39" s="227" t="s">
        <v>186</v>
      </c>
      <c r="C39" s="227"/>
      <c r="D39" s="228"/>
      <c r="E39" s="101"/>
      <c r="F39" s="102"/>
      <c r="G39" s="102"/>
      <c r="H39" s="103"/>
    </row>
    <row r="40" spans="1:8" ht="18.75" x14ac:dyDescent="0.25">
      <c r="A40" s="23" t="s">
        <v>52</v>
      </c>
      <c r="B40" s="250" t="s">
        <v>187</v>
      </c>
      <c r="C40" s="250"/>
      <c r="D40" s="251"/>
      <c r="E40" s="21"/>
      <c r="F40" s="58"/>
      <c r="G40" s="58"/>
      <c r="H40" s="93"/>
    </row>
    <row r="41" spans="1:8" ht="42" customHeight="1" x14ac:dyDescent="0.25">
      <c r="A41" s="24" t="s">
        <v>188</v>
      </c>
      <c r="B41" s="233" t="s">
        <v>311</v>
      </c>
      <c r="C41" s="233"/>
      <c r="D41" s="234"/>
      <c r="E41" s="21"/>
      <c r="F41" s="58"/>
      <c r="G41" s="58"/>
      <c r="H41" s="93"/>
    </row>
    <row r="42" spans="1:8" x14ac:dyDescent="0.25">
      <c r="A42" s="8"/>
      <c r="B42" s="25" t="s">
        <v>10</v>
      </c>
      <c r="C42" s="10"/>
      <c r="D42" s="12"/>
      <c r="E42" s="21"/>
      <c r="F42" s="58"/>
      <c r="G42" s="58"/>
      <c r="H42" s="93"/>
    </row>
    <row r="43" spans="1:8" x14ac:dyDescent="0.25">
      <c r="A43" s="8"/>
      <c r="B43" s="25" t="s">
        <v>189</v>
      </c>
      <c r="C43" s="25" t="s">
        <v>19</v>
      </c>
      <c r="D43" s="29">
        <v>789.26400000000001</v>
      </c>
      <c r="E43" s="21"/>
      <c r="F43" s="58"/>
      <c r="G43" s="58"/>
      <c r="H43" s="93"/>
    </row>
    <row r="44" spans="1:8" x14ac:dyDescent="0.25">
      <c r="A44" s="8"/>
      <c r="B44" s="25" t="s">
        <v>190</v>
      </c>
      <c r="C44" s="25" t="s">
        <v>19</v>
      </c>
      <c r="D44" s="29">
        <v>131.32500000000002</v>
      </c>
      <c r="E44" s="21"/>
      <c r="F44" s="58"/>
      <c r="G44" s="58"/>
      <c r="H44" s="93"/>
    </row>
    <row r="45" spans="1:8" x14ac:dyDescent="0.25">
      <c r="A45" s="8"/>
      <c r="B45" s="25" t="s">
        <v>191</v>
      </c>
      <c r="C45" s="25" t="s">
        <v>19</v>
      </c>
      <c r="D45" s="29">
        <v>545.22500000000002</v>
      </c>
      <c r="E45" s="21"/>
      <c r="F45" s="58"/>
      <c r="G45" s="58"/>
      <c r="H45" s="93"/>
    </row>
    <row r="46" spans="1:8" x14ac:dyDescent="0.25">
      <c r="A46" s="8"/>
      <c r="B46" s="25" t="s">
        <v>192</v>
      </c>
      <c r="C46" s="25" t="s">
        <v>19</v>
      </c>
      <c r="D46" s="29">
        <v>466.09499999999997</v>
      </c>
      <c r="E46" s="21"/>
      <c r="F46" s="58"/>
      <c r="G46" s="58"/>
      <c r="H46" s="94"/>
    </row>
    <row r="47" spans="1:8" ht="18" x14ac:dyDescent="0.25">
      <c r="A47" s="8"/>
      <c r="B47" s="25" t="s">
        <v>193</v>
      </c>
      <c r="C47" s="25" t="s">
        <v>19</v>
      </c>
      <c r="D47" s="29">
        <v>128.24850000000001</v>
      </c>
      <c r="E47" s="21"/>
      <c r="F47" s="58"/>
      <c r="G47" s="58"/>
      <c r="H47" s="94"/>
    </row>
    <row r="48" spans="1:8" x14ac:dyDescent="0.25">
      <c r="A48" s="8"/>
      <c r="B48" s="25" t="s">
        <v>194</v>
      </c>
      <c r="C48" s="25" t="s">
        <v>19</v>
      </c>
      <c r="D48" s="29">
        <v>627.89100000000008</v>
      </c>
      <c r="E48" s="21"/>
      <c r="F48" s="58"/>
      <c r="G48" s="58"/>
      <c r="H48" s="94"/>
    </row>
    <row r="49" spans="1:11" x14ac:dyDescent="0.25">
      <c r="A49" s="8"/>
      <c r="B49" s="25" t="s">
        <v>195</v>
      </c>
      <c r="C49" s="10"/>
      <c r="D49" s="105">
        <v>398.54499999999996</v>
      </c>
      <c r="E49" s="21"/>
      <c r="F49" s="58"/>
      <c r="G49" s="58"/>
      <c r="H49" s="94"/>
    </row>
    <row r="50" spans="1:11" x14ac:dyDescent="0.25">
      <c r="A50" s="8"/>
      <c r="B50" s="25" t="s">
        <v>196</v>
      </c>
      <c r="C50" s="25" t="s">
        <v>19</v>
      </c>
      <c r="D50" s="29">
        <v>91.615000000000009</v>
      </c>
      <c r="E50" s="21"/>
      <c r="F50" s="58"/>
      <c r="G50" s="58"/>
      <c r="H50" s="94"/>
    </row>
    <row r="51" spans="1:11" x14ac:dyDescent="0.25">
      <c r="A51" s="8"/>
      <c r="B51" s="25" t="s">
        <v>197</v>
      </c>
      <c r="C51" s="25" t="s">
        <v>19</v>
      </c>
      <c r="D51" s="29">
        <v>211.90000000000003</v>
      </c>
      <c r="E51" s="21"/>
      <c r="F51" s="58"/>
      <c r="G51" s="58"/>
      <c r="H51" s="94"/>
    </row>
    <row r="52" spans="1:11" x14ac:dyDescent="0.25">
      <c r="A52" s="8"/>
      <c r="B52" s="25" t="s">
        <v>198</v>
      </c>
      <c r="C52" s="25" t="s">
        <v>19</v>
      </c>
      <c r="D52" s="29">
        <v>269.23750000000001</v>
      </c>
      <c r="E52" s="21"/>
      <c r="F52" s="58"/>
      <c r="G52" s="58"/>
      <c r="H52" s="93"/>
    </row>
    <row r="53" spans="1:11" x14ac:dyDescent="0.25">
      <c r="A53" s="8"/>
      <c r="B53" s="25" t="s">
        <v>199</v>
      </c>
      <c r="C53" s="10"/>
      <c r="D53" s="104">
        <v>286</v>
      </c>
      <c r="E53" s="21"/>
      <c r="F53" s="58"/>
      <c r="G53" s="58"/>
      <c r="H53" s="94"/>
    </row>
    <row r="54" spans="1:11" x14ac:dyDescent="0.25">
      <c r="A54" s="8"/>
      <c r="B54" s="25" t="s">
        <v>200</v>
      </c>
      <c r="C54" s="25" t="s">
        <v>19</v>
      </c>
      <c r="D54" s="29">
        <v>55.476500000000001</v>
      </c>
      <c r="E54" s="21"/>
      <c r="F54" s="58"/>
      <c r="G54" s="58"/>
      <c r="H54" s="94"/>
    </row>
    <row r="55" spans="1:11" s="6" customFormat="1" x14ac:dyDescent="0.25">
      <c r="A55" s="24"/>
      <c r="B55" s="10"/>
      <c r="C55" s="10"/>
      <c r="D55" s="12"/>
      <c r="E55" s="21" t="s">
        <v>12</v>
      </c>
      <c r="F55" s="60">
        <f>SUM(D43:D54)</f>
        <v>4000.8225000000011</v>
      </c>
      <c r="G55" s="58">
        <v>34.270000000000003</v>
      </c>
      <c r="H55" s="94">
        <f>ROUND(F55*G55,2)</f>
        <v>137108.19</v>
      </c>
    </row>
    <row r="56" spans="1:11" s="146" customFormat="1" ht="30" customHeight="1" x14ac:dyDescent="0.25">
      <c r="A56" s="139" t="s">
        <v>284</v>
      </c>
      <c r="B56" s="198" t="s">
        <v>285</v>
      </c>
      <c r="C56" s="198"/>
      <c r="D56" s="199"/>
      <c r="E56" s="140"/>
      <c r="F56" s="141"/>
      <c r="G56" s="141"/>
      <c r="H56" s="184"/>
    </row>
    <row r="57" spans="1:11" s="146" customFormat="1" x14ac:dyDescent="0.25">
      <c r="A57" s="144"/>
      <c r="B57" s="138" t="s">
        <v>10</v>
      </c>
      <c r="C57" s="137"/>
      <c r="D57" s="129"/>
      <c r="E57" s="130"/>
      <c r="F57" s="131"/>
      <c r="G57" s="131"/>
      <c r="H57" s="185"/>
    </row>
    <row r="58" spans="1:11" s="146" customFormat="1" x14ac:dyDescent="0.25">
      <c r="A58" s="144"/>
      <c r="B58" s="138" t="s">
        <v>173</v>
      </c>
      <c r="C58" s="137"/>
      <c r="D58" s="104">
        <v>372</v>
      </c>
      <c r="E58" s="130"/>
      <c r="F58" s="131"/>
      <c r="G58" s="131"/>
      <c r="H58" s="186"/>
    </row>
    <row r="59" spans="1:11" s="146" customFormat="1" x14ac:dyDescent="0.25">
      <c r="A59" s="144"/>
      <c r="B59" s="138"/>
      <c r="C59" s="137"/>
      <c r="D59" s="104"/>
      <c r="E59" s="130" t="s">
        <v>70</v>
      </c>
      <c r="F59" s="131">
        <f>D58</f>
        <v>372</v>
      </c>
      <c r="G59" s="131">
        <v>25.7</v>
      </c>
      <c r="H59" s="186">
        <f>F59*G59</f>
        <v>9560.4</v>
      </c>
    </row>
    <row r="60" spans="1:11" s="6" customFormat="1" x14ac:dyDescent="0.25">
      <c r="A60" s="8"/>
      <c r="B60" s="10"/>
      <c r="C60" s="10"/>
      <c r="D60" s="12"/>
      <c r="E60" s="21"/>
      <c r="F60" s="58"/>
      <c r="G60" s="58"/>
      <c r="H60" s="93"/>
      <c r="I60" s="7"/>
      <c r="J60" s="7"/>
      <c r="K60" s="7"/>
    </row>
    <row r="61" spans="1:11" s="16" customFormat="1" ht="18.75" x14ac:dyDescent="0.25">
      <c r="A61" s="31"/>
      <c r="B61" s="216" t="s">
        <v>201</v>
      </c>
      <c r="C61" s="216"/>
      <c r="D61" s="217"/>
      <c r="E61" s="32"/>
      <c r="F61" s="63"/>
      <c r="G61" s="63"/>
      <c r="H61" s="108">
        <f>SUM(H40:H60)</f>
        <v>146668.59</v>
      </c>
    </row>
    <row r="62" spans="1:11" x14ac:dyDescent="0.25">
      <c r="A62" s="8"/>
      <c r="B62" s="10"/>
      <c r="C62" s="10"/>
      <c r="D62" s="12"/>
      <c r="E62" s="21"/>
      <c r="F62" s="58"/>
      <c r="G62" s="58"/>
      <c r="H62" s="93"/>
    </row>
    <row r="63" spans="1:11" ht="37.5" customHeight="1" x14ac:dyDescent="0.25">
      <c r="A63" s="48" t="s">
        <v>44</v>
      </c>
      <c r="B63" s="227" t="s">
        <v>202</v>
      </c>
      <c r="C63" s="227"/>
      <c r="D63" s="228"/>
      <c r="E63" s="101"/>
      <c r="F63" s="102"/>
      <c r="G63" s="102"/>
      <c r="H63" s="103"/>
    </row>
    <row r="64" spans="1:11" ht="18.75" x14ac:dyDescent="0.25">
      <c r="A64" s="23" t="s">
        <v>81</v>
      </c>
      <c r="B64" s="250" t="s">
        <v>203</v>
      </c>
      <c r="C64" s="250"/>
      <c r="D64" s="251"/>
      <c r="E64" s="21"/>
      <c r="F64" s="58"/>
      <c r="G64" s="58"/>
      <c r="H64" s="93"/>
    </row>
    <row r="65" spans="1:8" x14ac:dyDescent="0.25">
      <c r="A65" s="24" t="s">
        <v>82</v>
      </c>
      <c r="B65" s="210" t="s">
        <v>204</v>
      </c>
      <c r="C65" s="210"/>
      <c r="D65" s="211"/>
      <c r="E65" s="21"/>
      <c r="F65" s="58"/>
      <c r="G65" s="58"/>
      <c r="H65" s="93"/>
    </row>
    <row r="66" spans="1:8" s="6" customFormat="1" x14ac:dyDescent="0.25">
      <c r="A66" s="8"/>
      <c r="B66" s="25" t="s">
        <v>10</v>
      </c>
      <c r="C66" s="10"/>
      <c r="D66" s="12"/>
      <c r="E66" s="21"/>
      <c r="F66" s="58"/>
      <c r="G66" s="58"/>
      <c r="H66" s="93"/>
    </row>
    <row r="67" spans="1:8" x14ac:dyDescent="0.25">
      <c r="A67" s="8"/>
      <c r="B67" s="25" t="s">
        <v>111</v>
      </c>
      <c r="C67" s="25" t="s">
        <v>19</v>
      </c>
      <c r="D67" s="29">
        <v>135.12</v>
      </c>
      <c r="E67" s="21"/>
      <c r="F67" s="58"/>
      <c r="G67" s="58"/>
      <c r="H67" s="93"/>
    </row>
    <row r="68" spans="1:8" x14ac:dyDescent="0.25">
      <c r="A68" s="8"/>
      <c r="B68" s="25" t="s">
        <v>134</v>
      </c>
      <c r="C68" s="25" t="s">
        <v>19</v>
      </c>
      <c r="D68" s="29">
        <v>97.8</v>
      </c>
      <c r="E68" s="21"/>
      <c r="F68" s="58"/>
      <c r="G68" s="58"/>
      <c r="H68" s="93"/>
    </row>
    <row r="69" spans="1:8" x14ac:dyDescent="0.25">
      <c r="A69" s="8"/>
      <c r="B69" s="25" t="s">
        <v>192</v>
      </c>
      <c r="C69" s="25" t="s">
        <v>19</v>
      </c>
      <c r="D69" s="29">
        <v>48.3</v>
      </c>
      <c r="E69" s="21"/>
      <c r="F69" s="58"/>
      <c r="G69" s="58"/>
      <c r="H69" s="93"/>
    </row>
    <row r="70" spans="1:8" x14ac:dyDescent="0.25">
      <c r="A70" s="8"/>
      <c r="B70" s="25" t="s">
        <v>133</v>
      </c>
      <c r="C70" s="25" t="s">
        <v>19</v>
      </c>
      <c r="D70" s="29">
        <v>115.6</v>
      </c>
      <c r="E70" s="21"/>
      <c r="F70" s="58"/>
      <c r="G70" s="58"/>
      <c r="H70" s="94"/>
    </row>
    <row r="71" spans="1:8" x14ac:dyDescent="0.25">
      <c r="A71" s="8"/>
      <c r="B71" s="25" t="s">
        <v>195</v>
      </c>
      <c r="C71" s="25" t="s">
        <v>19</v>
      </c>
      <c r="D71" s="29">
        <v>41.3</v>
      </c>
      <c r="E71" s="21"/>
      <c r="F71" s="58"/>
      <c r="G71" s="58"/>
      <c r="H71" s="94"/>
    </row>
    <row r="72" spans="1:8" x14ac:dyDescent="0.25">
      <c r="A72" s="8"/>
      <c r="B72" s="25" t="s">
        <v>124</v>
      </c>
      <c r="C72" s="25" t="s">
        <v>19</v>
      </c>
      <c r="D72" s="29">
        <v>112.9</v>
      </c>
      <c r="E72" s="21"/>
      <c r="F72" s="58"/>
      <c r="G72" s="58"/>
      <c r="H72" s="94"/>
    </row>
    <row r="73" spans="1:8" x14ac:dyDescent="0.25">
      <c r="A73" s="8"/>
      <c r="B73" s="25" t="s">
        <v>125</v>
      </c>
      <c r="C73" s="10"/>
      <c r="D73" s="105">
        <v>109.6</v>
      </c>
      <c r="E73" s="21"/>
      <c r="F73" s="58"/>
      <c r="G73" s="58"/>
      <c r="H73" s="94"/>
    </row>
    <row r="74" spans="1:8" ht="27" x14ac:dyDescent="0.25">
      <c r="A74" s="8"/>
      <c r="B74" s="25" t="s">
        <v>205</v>
      </c>
      <c r="C74" s="25" t="s">
        <v>19</v>
      </c>
      <c r="D74" s="29">
        <v>97.7</v>
      </c>
      <c r="E74" s="21"/>
      <c r="F74" s="58"/>
      <c r="G74" s="58"/>
      <c r="H74" s="94"/>
    </row>
    <row r="75" spans="1:8" x14ac:dyDescent="0.25">
      <c r="A75" s="8"/>
      <c r="B75" s="25" t="s">
        <v>206</v>
      </c>
      <c r="C75" s="25" t="s">
        <v>19</v>
      </c>
      <c r="D75" s="29">
        <v>15.2</v>
      </c>
      <c r="E75" s="21"/>
      <c r="F75" s="58"/>
      <c r="G75" s="58"/>
      <c r="H75" s="94"/>
    </row>
    <row r="76" spans="1:8" x14ac:dyDescent="0.25">
      <c r="A76" s="8"/>
      <c r="B76" s="25" t="s">
        <v>196</v>
      </c>
      <c r="C76" s="25" t="s">
        <v>19</v>
      </c>
      <c r="D76" s="29">
        <v>25.1</v>
      </c>
      <c r="E76" s="21"/>
      <c r="F76" s="58"/>
      <c r="G76" s="58"/>
      <c r="H76" s="93"/>
    </row>
    <row r="77" spans="1:8" x14ac:dyDescent="0.25">
      <c r="A77" s="8"/>
      <c r="B77" s="25" t="s">
        <v>197</v>
      </c>
      <c r="C77" s="10"/>
      <c r="D77" s="104">
        <v>25.1</v>
      </c>
      <c r="E77" s="21"/>
      <c r="F77" s="58"/>
      <c r="G77" s="58"/>
      <c r="H77" s="94"/>
    </row>
    <row r="78" spans="1:8" s="6" customFormat="1" x14ac:dyDescent="0.25">
      <c r="A78" s="8"/>
      <c r="B78" s="10"/>
      <c r="C78" s="10"/>
      <c r="D78" s="12"/>
      <c r="E78" s="21" t="s">
        <v>20</v>
      </c>
      <c r="F78" s="60">
        <f>SUM(D67:D77)</f>
        <v>823.72000000000025</v>
      </c>
      <c r="G78" s="58">
        <v>23.13</v>
      </c>
      <c r="H78" s="94">
        <f>ROUND(F78*G78,2)</f>
        <v>19052.64</v>
      </c>
    </row>
    <row r="79" spans="1:8" s="6" customFormat="1" ht="13.15" customHeight="1" x14ac:dyDescent="0.25">
      <c r="A79" s="43" t="s">
        <v>207</v>
      </c>
      <c r="B79" s="208" t="s">
        <v>208</v>
      </c>
      <c r="C79" s="208"/>
      <c r="D79" s="209"/>
      <c r="E79" s="44"/>
      <c r="F79" s="61"/>
      <c r="G79" s="61"/>
      <c r="H79" s="95"/>
    </row>
    <row r="80" spans="1:8" s="6" customFormat="1" x14ac:dyDescent="0.25">
      <c r="A80" s="8"/>
      <c r="B80" s="25" t="s">
        <v>10</v>
      </c>
      <c r="C80" s="10"/>
      <c r="D80" s="12"/>
      <c r="E80" s="21"/>
      <c r="F80" s="58"/>
      <c r="G80" s="58"/>
      <c r="H80" s="93"/>
    </row>
    <row r="81" spans="1:8" s="6" customFormat="1" x14ac:dyDescent="0.25">
      <c r="A81" s="8"/>
      <c r="B81" s="25" t="s">
        <v>18</v>
      </c>
      <c r="C81" s="25" t="s">
        <v>126</v>
      </c>
      <c r="D81" s="26">
        <v>38</v>
      </c>
      <c r="E81" s="21"/>
      <c r="F81" s="58"/>
      <c r="G81" s="58"/>
      <c r="H81" s="93"/>
    </row>
    <row r="82" spans="1:8" s="6" customFormat="1" x14ac:dyDescent="0.25">
      <c r="A82" s="8"/>
      <c r="B82" s="10"/>
      <c r="C82" s="25" t="s">
        <v>209</v>
      </c>
      <c r="D82" s="26">
        <v>87</v>
      </c>
      <c r="E82" s="21"/>
      <c r="F82" s="58"/>
      <c r="G82" s="58"/>
      <c r="H82" s="93"/>
    </row>
    <row r="83" spans="1:8" s="6" customFormat="1" x14ac:dyDescent="0.25">
      <c r="A83" s="8"/>
      <c r="B83" s="10"/>
      <c r="C83" s="25" t="s">
        <v>210</v>
      </c>
      <c r="D83" s="26">
        <v>87</v>
      </c>
      <c r="E83" s="21"/>
      <c r="F83" s="58"/>
      <c r="G83" s="58"/>
      <c r="H83" s="93"/>
    </row>
    <row r="84" spans="1:8" s="6" customFormat="1" x14ac:dyDescent="0.25">
      <c r="A84" s="8"/>
      <c r="B84" s="10"/>
      <c r="C84" s="25" t="s">
        <v>211</v>
      </c>
      <c r="D84" s="26">
        <v>110</v>
      </c>
      <c r="E84" s="21"/>
      <c r="F84" s="58"/>
      <c r="G84" s="58"/>
      <c r="H84" s="93"/>
    </row>
    <row r="85" spans="1:8" s="6" customFormat="1" x14ac:dyDescent="0.25">
      <c r="A85" s="8"/>
      <c r="B85" s="10"/>
      <c r="C85" s="10"/>
      <c r="D85" s="12"/>
      <c r="E85" s="21" t="s">
        <v>20</v>
      </c>
      <c r="F85" s="60">
        <f>SUM(D81:D84)</f>
        <v>322</v>
      </c>
      <c r="G85" s="58">
        <v>26.94</v>
      </c>
      <c r="H85" s="94">
        <f>ROUND(F85*G85,2)</f>
        <v>8674.68</v>
      </c>
    </row>
    <row r="86" spans="1:8" s="143" customFormat="1" ht="27" customHeight="1" x14ac:dyDescent="0.25">
      <c r="A86" s="139" t="s">
        <v>288</v>
      </c>
      <c r="B86" s="198" t="s">
        <v>286</v>
      </c>
      <c r="C86" s="198"/>
      <c r="D86" s="199"/>
      <c r="E86" s="140"/>
      <c r="F86" s="141"/>
      <c r="G86" s="141"/>
      <c r="H86" s="184"/>
    </row>
    <row r="87" spans="1:8" s="143" customFormat="1" x14ac:dyDescent="0.25">
      <c r="A87" s="144"/>
      <c r="B87" s="138" t="s">
        <v>10</v>
      </c>
      <c r="C87" s="137"/>
      <c r="D87" s="129"/>
      <c r="E87" s="130"/>
      <c r="F87" s="131"/>
      <c r="G87" s="131"/>
      <c r="H87" s="185"/>
    </row>
    <row r="88" spans="1:8" s="143" customFormat="1" x14ac:dyDescent="0.25">
      <c r="A88" s="144"/>
      <c r="B88" s="138" t="s">
        <v>18</v>
      </c>
      <c r="C88" s="138" t="s">
        <v>287</v>
      </c>
      <c r="D88" s="182">
        <v>97</v>
      </c>
      <c r="E88" s="130"/>
      <c r="F88" s="131"/>
      <c r="G88" s="131"/>
      <c r="H88" s="185"/>
    </row>
    <row r="89" spans="1:8" s="143" customFormat="1" x14ac:dyDescent="0.25">
      <c r="A89" s="144"/>
      <c r="B89" s="138"/>
      <c r="C89" s="138"/>
      <c r="D89" s="133"/>
      <c r="E89" s="130" t="s">
        <v>20</v>
      </c>
      <c r="F89" s="131">
        <f>D88</f>
        <v>97</v>
      </c>
      <c r="G89" s="131">
        <v>34.61</v>
      </c>
      <c r="H89" s="185">
        <f>G89*F89</f>
        <v>3357.17</v>
      </c>
    </row>
    <row r="90" spans="1:8" s="6" customFormat="1" ht="24" customHeight="1" x14ac:dyDescent="0.25">
      <c r="A90" s="43" t="s">
        <v>212</v>
      </c>
      <c r="B90" s="208" t="s">
        <v>213</v>
      </c>
      <c r="C90" s="208"/>
      <c r="D90" s="209"/>
      <c r="E90" s="44"/>
      <c r="F90" s="61"/>
      <c r="G90" s="61"/>
      <c r="H90" s="95"/>
    </row>
    <row r="91" spans="1:8" s="6" customFormat="1" x14ac:dyDescent="0.25">
      <c r="A91" s="8"/>
      <c r="B91" s="25" t="s">
        <v>10</v>
      </c>
      <c r="C91" s="10"/>
      <c r="D91" s="12"/>
      <c r="E91" s="21"/>
      <c r="F91" s="58"/>
      <c r="G91" s="58"/>
      <c r="H91" s="93"/>
    </row>
    <row r="92" spans="1:8" s="6" customFormat="1" x14ac:dyDescent="0.2">
      <c r="A92" s="8"/>
      <c r="B92" s="109" t="s">
        <v>214</v>
      </c>
      <c r="C92" s="25" t="s">
        <v>19</v>
      </c>
      <c r="D92" s="110">
        <v>4.8</v>
      </c>
      <c r="E92" s="21"/>
      <c r="F92" s="58"/>
      <c r="G92" s="58"/>
      <c r="H92" s="93"/>
    </row>
    <row r="93" spans="1:8" s="6" customFormat="1" x14ac:dyDescent="0.2">
      <c r="A93" s="8"/>
      <c r="B93" s="109" t="s">
        <v>215</v>
      </c>
      <c r="C93" s="25" t="s">
        <v>19</v>
      </c>
      <c r="D93" s="111">
        <v>9.65</v>
      </c>
      <c r="E93" s="21"/>
      <c r="F93" s="58"/>
      <c r="G93" s="58"/>
      <c r="H93" s="93"/>
    </row>
    <row r="94" spans="1:8" s="6" customFormat="1" ht="12" customHeight="1" x14ac:dyDescent="0.2">
      <c r="A94" s="8"/>
      <c r="B94" s="109" t="s">
        <v>216</v>
      </c>
      <c r="C94" s="25" t="s">
        <v>19</v>
      </c>
      <c r="D94" s="112">
        <v>9.65</v>
      </c>
      <c r="E94" s="21"/>
      <c r="F94" s="58"/>
      <c r="G94" s="58"/>
      <c r="H94" s="93"/>
    </row>
    <row r="95" spans="1:8" s="6" customFormat="1" x14ac:dyDescent="0.2">
      <c r="A95" s="8"/>
      <c r="B95" s="109" t="s">
        <v>217</v>
      </c>
      <c r="C95" s="25" t="s">
        <v>19</v>
      </c>
      <c r="D95" s="111">
        <v>4.8</v>
      </c>
      <c r="E95" s="21"/>
      <c r="F95" s="58"/>
      <c r="G95" s="58"/>
      <c r="H95" s="93"/>
    </row>
    <row r="96" spans="1:8" s="6" customFormat="1" x14ac:dyDescent="0.2">
      <c r="A96" s="8"/>
      <c r="B96" s="109" t="s">
        <v>218</v>
      </c>
      <c r="C96" s="10"/>
      <c r="D96" s="104">
        <v>9.65</v>
      </c>
      <c r="E96" s="21"/>
      <c r="F96" s="58"/>
      <c r="G96" s="58"/>
      <c r="H96" s="93"/>
    </row>
    <row r="97" spans="1:8" s="6" customFormat="1" x14ac:dyDescent="0.2">
      <c r="A97" s="8"/>
      <c r="B97" s="109" t="s">
        <v>219</v>
      </c>
      <c r="C97" s="25"/>
      <c r="D97" s="110">
        <v>6</v>
      </c>
      <c r="E97" s="21"/>
      <c r="F97" s="58"/>
      <c r="G97" s="58"/>
      <c r="H97" s="93"/>
    </row>
    <row r="98" spans="1:8" s="6" customFormat="1" x14ac:dyDescent="0.2">
      <c r="A98" s="8"/>
      <c r="B98" s="109" t="s">
        <v>220</v>
      </c>
      <c r="C98" s="25"/>
      <c r="D98" s="110">
        <v>7.2</v>
      </c>
      <c r="E98" s="21"/>
      <c r="F98" s="58"/>
      <c r="G98" s="58"/>
      <c r="H98" s="93"/>
    </row>
    <row r="99" spans="1:8" s="6" customFormat="1" ht="18" customHeight="1" x14ac:dyDescent="0.2">
      <c r="A99" s="8"/>
      <c r="B99" s="109" t="s">
        <v>221</v>
      </c>
      <c r="C99" s="25"/>
      <c r="D99" s="110">
        <v>7.2</v>
      </c>
      <c r="E99" s="21"/>
      <c r="F99" s="58"/>
      <c r="G99" s="58"/>
      <c r="H99" s="93"/>
    </row>
    <row r="100" spans="1:8" s="6" customFormat="1" x14ac:dyDescent="0.2">
      <c r="A100" s="8"/>
      <c r="B100" s="109" t="s">
        <v>222</v>
      </c>
      <c r="C100" s="10"/>
      <c r="D100" s="104">
        <v>7.2</v>
      </c>
      <c r="E100" s="21"/>
      <c r="F100" s="58"/>
      <c r="G100" s="58"/>
      <c r="H100" s="93"/>
    </row>
    <row r="101" spans="1:8" s="6" customFormat="1" x14ac:dyDescent="0.2">
      <c r="A101" s="8"/>
      <c r="B101" s="109" t="s">
        <v>222</v>
      </c>
      <c r="C101" s="25" t="s">
        <v>19</v>
      </c>
      <c r="D101" s="110">
        <v>21.6</v>
      </c>
      <c r="E101" s="21"/>
      <c r="F101" s="58"/>
      <c r="G101" s="58"/>
      <c r="H101" s="93"/>
    </row>
    <row r="102" spans="1:8" s="6" customFormat="1" x14ac:dyDescent="0.2">
      <c r="A102" s="8"/>
      <c r="B102" s="109" t="s">
        <v>223</v>
      </c>
      <c r="C102" s="25" t="s">
        <v>19</v>
      </c>
      <c r="D102" s="110">
        <v>6</v>
      </c>
      <c r="E102" s="21"/>
      <c r="F102" s="58"/>
      <c r="G102" s="58"/>
      <c r="H102" s="93"/>
    </row>
    <row r="103" spans="1:8" s="6" customFormat="1" x14ac:dyDescent="0.2">
      <c r="A103" s="8"/>
      <c r="B103" s="109" t="s">
        <v>224</v>
      </c>
      <c r="C103" s="25" t="s">
        <v>19</v>
      </c>
      <c r="D103" s="110">
        <v>9.65</v>
      </c>
      <c r="E103" s="21"/>
      <c r="F103" s="58"/>
      <c r="G103" s="58"/>
      <c r="H103" s="93"/>
    </row>
    <row r="104" spans="1:8" s="6" customFormat="1" x14ac:dyDescent="0.2">
      <c r="A104" s="8"/>
      <c r="B104" s="109" t="s">
        <v>225</v>
      </c>
      <c r="C104" s="25"/>
      <c r="D104" s="110">
        <v>9.65</v>
      </c>
      <c r="E104" s="21"/>
      <c r="F104" s="58"/>
      <c r="G104" s="58"/>
      <c r="H104" s="93"/>
    </row>
    <row r="105" spans="1:8" s="6" customFormat="1" x14ac:dyDescent="0.2">
      <c r="A105" s="8"/>
      <c r="B105" s="109" t="s">
        <v>226</v>
      </c>
      <c r="C105" s="25" t="s">
        <v>19</v>
      </c>
      <c r="D105" s="110">
        <v>4.8</v>
      </c>
      <c r="E105" s="21"/>
      <c r="F105" s="58"/>
      <c r="G105" s="58"/>
      <c r="H105" s="93"/>
    </row>
    <row r="106" spans="1:8" s="6" customFormat="1" x14ac:dyDescent="0.2">
      <c r="A106" s="8"/>
      <c r="B106" s="109" t="s">
        <v>225</v>
      </c>
      <c r="C106" s="25" t="s">
        <v>19</v>
      </c>
      <c r="D106" s="111">
        <v>4.8</v>
      </c>
      <c r="E106" s="21"/>
      <c r="F106" s="58"/>
      <c r="G106" s="58"/>
      <c r="H106" s="93"/>
    </row>
    <row r="107" spans="1:8" s="6" customFormat="1" ht="12" customHeight="1" x14ac:dyDescent="0.2">
      <c r="A107" s="8"/>
      <c r="B107" s="109" t="s">
        <v>227</v>
      </c>
      <c r="C107" s="25" t="s">
        <v>19</v>
      </c>
      <c r="D107" s="112">
        <v>2.5499999999999998</v>
      </c>
      <c r="E107" s="21"/>
      <c r="F107" s="58"/>
      <c r="G107" s="58"/>
      <c r="H107" s="93"/>
    </row>
    <row r="108" spans="1:8" s="6" customFormat="1" x14ac:dyDescent="0.2">
      <c r="A108" s="8"/>
      <c r="B108" s="109" t="s">
        <v>228</v>
      </c>
      <c r="C108" s="25" t="s">
        <v>19</v>
      </c>
      <c r="D108" s="111">
        <v>71.25</v>
      </c>
      <c r="E108" s="21"/>
      <c r="F108" s="58"/>
      <c r="G108" s="58"/>
      <c r="H108" s="93"/>
    </row>
    <row r="109" spans="1:8" s="6" customFormat="1" x14ac:dyDescent="0.2">
      <c r="A109" s="8"/>
      <c r="B109" s="109" t="s">
        <v>229</v>
      </c>
      <c r="C109" s="10"/>
      <c r="D109" s="104">
        <v>12.600000000000001</v>
      </c>
      <c r="E109" s="21"/>
      <c r="F109" s="58"/>
      <c r="G109" s="58"/>
      <c r="H109" s="93"/>
    </row>
    <row r="110" spans="1:8" s="6" customFormat="1" x14ac:dyDescent="0.2">
      <c r="A110" s="8"/>
      <c r="B110" s="109" t="s">
        <v>230</v>
      </c>
      <c r="C110" s="25"/>
      <c r="D110" s="110">
        <v>16.8</v>
      </c>
      <c r="E110" s="21"/>
      <c r="F110" s="58"/>
      <c r="G110" s="58"/>
      <c r="H110" s="93"/>
    </row>
    <row r="111" spans="1:8" s="6" customFormat="1" x14ac:dyDescent="0.2">
      <c r="A111" s="8"/>
      <c r="B111" s="109" t="s">
        <v>231</v>
      </c>
      <c r="C111" s="25"/>
      <c r="D111" s="110">
        <v>12.600000000000001</v>
      </c>
      <c r="E111" s="21"/>
      <c r="F111" s="58"/>
      <c r="G111" s="58"/>
      <c r="H111" s="93"/>
    </row>
    <row r="112" spans="1:8" s="6" customFormat="1" ht="18" customHeight="1" x14ac:dyDescent="0.2">
      <c r="A112" s="8"/>
      <c r="B112" s="109" t="s">
        <v>232</v>
      </c>
      <c r="C112" s="25"/>
      <c r="D112" s="110">
        <v>22.2</v>
      </c>
      <c r="E112" s="21"/>
      <c r="F112" s="58"/>
      <c r="G112" s="58"/>
      <c r="H112" s="93"/>
    </row>
    <row r="113" spans="1:8" s="6" customFormat="1" x14ac:dyDescent="0.2">
      <c r="A113" s="8"/>
      <c r="B113" s="109" t="s">
        <v>233</v>
      </c>
      <c r="C113" s="10"/>
      <c r="D113" s="104">
        <v>9</v>
      </c>
      <c r="E113" s="21"/>
      <c r="F113" s="58"/>
      <c r="G113" s="58"/>
      <c r="H113" s="93"/>
    </row>
    <row r="114" spans="1:8" s="6" customFormat="1" x14ac:dyDescent="0.2">
      <c r="A114" s="8"/>
      <c r="B114" s="109" t="s">
        <v>234</v>
      </c>
      <c r="C114" s="25" t="s">
        <v>19</v>
      </c>
      <c r="D114" s="110">
        <v>4.2</v>
      </c>
      <c r="E114" s="21"/>
      <c r="F114" s="58"/>
      <c r="G114" s="58"/>
      <c r="H114" s="93"/>
    </row>
    <row r="115" spans="1:8" s="6" customFormat="1" x14ac:dyDescent="0.25">
      <c r="A115" s="8"/>
      <c r="B115" s="10"/>
      <c r="C115" s="10"/>
      <c r="D115" s="12"/>
      <c r="E115" s="21" t="s">
        <v>20</v>
      </c>
      <c r="F115" s="60">
        <v>100</v>
      </c>
      <c r="G115" s="58">
        <v>19.71</v>
      </c>
      <c r="H115" s="94">
        <f>ROUND(F115*G115,2)</f>
        <v>1971</v>
      </c>
    </row>
    <row r="116" spans="1:8" s="6" customFormat="1" x14ac:dyDescent="0.25">
      <c r="A116" s="43" t="s">
        <v>235</v>
      </c>
      <c r="B116" s="208" t="s">
        <v>236</v>
      </c>
      <c r="C116" s="208"/>
      <c r="D116" s="209"/>
      <c r="E116" s="44"/>
      <c r="F116" s="61"/>
      <c r="G116" s="61"/>
      <c r="H116" s="95"/>
    </row>
    <row r="117" spans="1:8" s="6" customFormat="1" x14ac:dyDescent="0.25">
      <c r="A117" s="8"/>
      <c r="B117" s="25" t="s">
        <v>10</v>
      </c>
      <c r="C117" s="10"/>
      <c r="D117" s="12"/>
      <c r="E117" s="21"/>
      <c r="F117" s="58"/>
      <c r="G117" s="58"/>
      <c r="H117" s="93"/>
    </row>
    <row r="118" spans="1:8" s="6" customFormat="1" x14ac:dyDescent="0.25">
      <c r="A118" s="8"/>
      <c r="B118" s="25" t="s">
        <v>111</v>
      </c>
      <c r="C118" s="25"/>
      <c r="D118" s="110">
        <v>135.12</v>
      </c>
      <c r="E118" s="21"/>
      <c r="F118" s="58"/>
      <c r="G118" s="58"/>
      <c r="H118" s="93"/>
    </row>
    <row r="119" spans="1:8" s="6" customFormat="1" x14ac:dyDescent="0.25">
      <c r="A119" s="8"/>
      <c r="B119" s="25" t="s">
        <v>134</v>
      </c>
      <c r="C119" s="25" t="s">
        <v>19</v>
      </c>
      <c r="D119" s="110">
        <v>97.8</v>
      </c>
      <c r="E119" s="21"/>
      <c r="F119" s="58"/>
      <c r="G119" s="58"/>
      <c r="H119" s="93"/>
    </row>
    <row r="120" spans="1:8" s="6" customFormat="1" x14ac:dyDescent="0.25">
      <c r="A120" s="8"/>
      <c r="B120" s="25" t="s">
        <v>192</v>
      </c>
      <c r="C120" s="25" t="s">
        <v>19</v>
      </c>
      <c r="D120" s="110">
        <v>48.3</v>
      </c>
      <c r="E120" s="21"/>
      <c r="F120" s="58"/>
      <c r="G120" s="58"/>
      <c r="H120" s="93"/>
    </row>
    <row r="121" spans="1:8" s="6" customFormat="1" x14ac:dyDescent="0.25">
      <c r="A121" s="8"/>
      <c r="B121" s="25" t="s">
        <v>133</v>
      </c>
      <c r="C121" s="25" t="s">
        <v>19</v>
      </c>
      <c r="D121" s="107">
        <v>115.6</v>
      </c>
      <c r="E121" s="21"/>
      <c r="F121" s="58"/>
      <c r="G121" s="58"/>
      <c r="H121" s="93"/>
    </row>
    <row r="122" spans="1:8" s="6" customFormat="1" x14ac:dyDescent="0.25">
      <c r="A122" s="8"/>
      <c r="B122" s="25" t="s">
        <v>195</v>
      </c>
      <c r="C122" s="25" t="s">
        <v>19</v>
      </c>
      <c r="D122" s="110">
        <v>41.3</v>
      </c>
      <c r="E122" s="21"/>
      <c r="F122" s="58"/>
      <c r="G122" s="58"/>
      <c r="H122" s="93"/>
    </row>
    <row r="123" spans="1:8" s="6" customFormat="1" x14ac:dyDescent="0.25">
      <c r="A123" s="8"/>
      <c r="B123" s="25" t="s">
        <v>124</v>
      </c>
      <c r="C123" s="10"/>
      <c r="D123" s="104">
        <v>112.9</v>
      </c>
      <c r="E123" s="21"/>
      <c r="F123" s="58"/>
      <c r="G123" s="58"/>
      <c r="H123" s="93"/>
    </row>
    <row r="124" spans="1:8" s="6" customFormat="1" x14ac:dyDescent="0.25">
      <c r="A124" s="8"/>
      <c r="B124" s="25" t="s">
        <v>125</v>
      </c>
      <c r="C124" s="25"/>
      <c r="D124" s="110">
        <v>109.6</v>
      </c>
      <c r="E124" s="21"/>
      <c r="F124" s="58"/>
      <c r="G124" s="58"/>
      <c r="H124" s="93"/>
    </row>
    <row r="125" spans="1:8" s="6" customFormat="1" x14ac:dyDescent="0.25">
      <c r="A125" s="8"/>
      <c r="B125" s="25" t="s">
        <v>176</v>
      </c>
      <c r="C125" s="25"/>
      <c r="D125" s="110">
        <v>97.7</v>
      </c>
      <c r="E125" s="21"/>
      <c r="F125" s="58"/>
      <c r="G125" s="58"/>
      <c r="H125" s="93"/>
    </row>
    <row r="126" spans="1:8" s="6" customFormat="1" x14ac:dyDescent="0.25">
      <c r="A126" s="8"/>
      <c r="B126" s="25" t="s">
        <v>206</v>
      </c>
      <c r="C126" s="25"/>
      <c r="D126" s="110">
        <v>15.2</v>
      </c>
      <c r="E126" s="21"/>
      <c r="F126" s="58"/>
      <c r="G126" s="58"/>
      <c r="H126" s="93"/>
    </row>
    <row r="127" spans="1:8" s="6" customFormat="1" x14ac:dyDescent="0.25">
      <c r="A127" s="8"/>
      <c r="B127" s="25" t="s">
        <v>196</v>
      </c>
      <c r="C127" s="10"/>
      <c r="D127" s="104">
        <v>25.1</v>
      </c>
      <c r="E127" s="21"/>
      <c r="F127" s="58"/>
      <c r="G127" s="58"/>
      <c r="H127" s="93"/>
    </row>
    <row r="128" spans="1:8" s="6" customFormat="1" x14ac:dyDescent="0.25">
      <c r="A128" s="8"/>
      <c r="B128" s="25" t="s">
        <v>197</v>
      </c>
      <c r="C128" s="10"/>
      <c r="D128" s="104">
        <v>25.1</v>
      </c>
      <c r="E128" s="21"/>
      <c r="F128" s="58"/>
      <c r="G128" s="58"/>
      <c r="H128" s="93"/>
    </row>
    <row r="129" spans="1:8" s="6" customFormat="1" x14ac:dyDescent="0.25">
      <c r="A129" s="8"/>
      <c r="B129" s="25" t="s">
        <v>198</v>
      </c>
      <c r="C129" s="25" t="s">
        <v>19</v>
      </c>
      <c r="D129" s="111">
        <v>29.75</v>
      </c>
      <c r="E129" s="21"/>
      <c r="F129" s="58"/>
      <c r="G129" s="58"/>
      <c r="H129" s="93"/>
    </row>
    <row r="130" spans="1:8" s="6" customFormat="1" x14ac:dyDescent="0.25">
      <c r="A130" s="8"/>
      <c r="B130" s="25" t="s">
        <v>199</v>
      </c>
      <c r="C130" s="25" t="s">
        <v>19</v>
      </c>
      <c r="D130" s="110">
        <v>31.65</v>
      </c>
      <c r="E130" s="21"/>
      <c r="F130" s="58"/>
      <c r="G130" s="58"/>
      <c r="H130" s="93"/>
    </row>
    <row r="131" spans="1:8" s="6" customFormat="1" x14ac:dyDescent="0.25">
      <c r="A131" s="8"/>
      <c r="B131" s="25" t="s">
        <v>181</v>
      </c>
      <c r="C131" s="25" t="s">
        <v>19</v>
      </c>
      <c r="D131" s="110">
        <v>14.8</v>
      </c>
      <c r="E131" s="21"/>
      <c r="F131" s="58"/>
      <c r="G131" s="58"/>
      <c r="H131" s="93"/>
    </row>
    <row r="132" spans="1:8" s="6" customFormat="1" x14ac:dyDescent="0.25">
      <c r="A132" s="8"/>
      <c r="B132" s="10"/>
      <c r="C132" s="10"/>
      <c r="D132" s="12"/>
      <c r="E132" s="21" t="s">
        <v>20</v>
      </c>
      <c r="F132" s="60">
        <f>SUM(D118:D131)</f>
        <v>899.92000000000019</v>
      </c>
      <c r="G132" s="58">
        <v>8.76</v>
      </c>
      <c r="H132" s="94">
        <f>ROUND(F132*G132,2)</f>
        <v>7883.3</v>
      </c>
    </row>
    <row r="133" spans="1:8" s="6" customFormat="1" ht="24" customHeight="1" x14ac:dyDescent="0.25">
      <c r="A133" s="43" t="s">
        <v>237</v>
      </c>
      <c r="B133" s="208" t="s">
        <v>238</v>
      </c>
      <c r="C133" s="208"/>
      <c r="D133" s="209"/>
      <c r="E133" s="44"/>
      <c r="F133" s="61"/>
      <c r="G133" s="61"/>
      <c r="H133" s="95"/>
    </row>
    <row r="134" spans="1:8" s="6" customFormat="1" x14ac:dyDescent="0.25">
      <c r="A134" s="8"/>
      <c r="B134" s="25" t="s">
        <v>10</v>
      </c>
      <c r="C134" s="10"/>
      <c r="D134" s="12"/>
      <c r="E134" s="21"/>
      <c r="F134" s="58"/>
      <c r="G134" s="58"/>
      <c r="H134" s="93"/>
    </row>
    <row r="135" spans="1:8" s="6" customFormat="1" x14ac:dyDescent="0.25">
      <c r="A135" s="8"/>
      <c r="B135" s="25" t="s">
        <v>111</v>
      </c>
      <c r="C135" s="25"/>
      <c r="D135" s="26">
        <v>124</v>
      </c>
      <c r="E135" s="21"/>
      <c r="F135" s="58"/>
      <c r="G135" s="58"/>
      <c r="H135" s="93"/>
    </row>
    <row r="136" spans="1:8" s="6" customFormat="1" x14ac:dyDescent="0.25">
      <c r="A136" s="8"/>
      <c r="B136" s="25" t="s">
        <v>134</v>
      </c>
      <c r="C136" s="25" t="s">
        <v>19</v>
      </c>
      <c r="D136" s="26">
        <v>15.4</v>
      </c>
      <c r="E136" s="21"/>
      <c r="F136" s="58"/>
      <c r="G136" s="58"/>
      <c r="H136" s="93"/>
    </row>
    <row r="137" spans="1:8" s="6" customFormat="1" x14ac:dyDescent="0.25">
      <c r="A137" s="8"/>
      <c r="B137" s="25" t="s">
        <v>133</v>
      </c>
      <c r="C137" s="25" t="s">
        <v>19</v>
      </c>
      <c r="D137" s="29">
        <v>32</v>
      </c>
      <c r="E137" s="21"/>
      <c r="F137" s="58"/>
      <c r="G137" s="58"/>
      <c r="H137" s="93"/>
    </row>
    <row r="138" spans="1:8" s="6" customFormat="1" x14ac:dyDescent="0.25">
      <c r="A138" s="8"/>
      <c r="B138" s="25" t="s">
        <v>195</v>
      </c>
      <c r="C138" s="25" t="s">
        <v>19</v>
      </c>
      <c r="D138" s="26">
        <v>4.2</v>
      </c>
      <c r="E138" s="21"/>
      <c r="F138" s="58"/>
      <c r="G138" s="58"/>
      <c r="H138" s="93"/>
    </row>
    <row r="139" spans="1:8" s="6" customFormat="1" x14ac:dyDescent="0.25">
      <c r="A139" s="8"/>
      <c r="B139" s="25" t="s">
        <v>196</v>
      </c>
      <c r="C139" s="25" t="s">
        <v>19</v>
      </c>
      <c r="D139" s="26">
        <f>2.1*2*2+2*2+2*2</f>
        <v>16.399999999999999</v>
      </c>
      <c r="E139" s="21"/>
      <c r="F139" s="58"/>
      <c r="G139" s="58"/>
      <c r="H139" s="93"/>
    </row>
    <row r="140" spans="1:8" s="6" customFormat="1" x14ac:dyDescent="0.25">
      <c r="A140" s="8"/>
      <c r="B140" s="25" t="s">
        <v>197</v>
      </c>
      <c r="C140" s="10"/>
      <c r="D140" s="113">
        <f>2*3.5+2*2.1</f>
        <v>11.2</v>
      </c>
      <c r="E140" s="21"/>
      <c r="F140" s="58"/>
      <c r="G140" s="58"/>
      <c r="H140" s="93"/>
    </row>
    <row r="141" spans="1:8" s="6" customFormat="1" x14ac:dyDescent="0.25">
      <c r="A141" s="8"/>
      <c r="B141" s="25" t="s">
        <v>198</v>
      </c>
      <c r="C141" s="25" t="s">
        <v>19</v>
      </c>
      <c r="D141" s="26">
        <f>2*2.1+2*5</f>
        <v>14.2</v>
      </c>
      <c r="E141" s="21"/>
      <c r="F141" s="58"/>
      <c r="G141" s="58"/>
      <c r="H141" s="93"/>
    </row>
    <row r="142" spans="1:8" s="6" customFormat="1" x14ac:dyDescent="0.25">
      <c r="A142" s="8"/>
      <c r="B142" s="25" t="s">
        <v>199</v>
      </c>
      <c r="C142" s="25" t="s">
        <v>19</v>
      </c>
      <c r="D142" s="26">
        <v>14.2</v>
      </c>
      <c r="E142" s="21"/>
      <c r="F142" s="58"/>
      <c r="G142" s="58"/>
      <c r="H142" s="93"/>
    </row>
    <row r="143" spans="1:8" s="6" customFormat="1" x14ac:dyDescent="0.25">
      <c r="A143" s="8"/>
      <c r="B143" s="25" t="s">
        <v>181</v>
      </c>
      <c r="C143" s="25" t="s">
        <v>19</v>
      </c>
      <c r="D143" s="114">
        <f>13</f>
        <v>13</v>
      </c>
      <c r="E143" s="21"/>
      <c r="F143" s="58"/>
      <c r="G143" s="58"/>
      <c r="H143" s="93"/>
    </row>
    <row r="144" spans="1:8" s="6" customFormat="1" x14ac:dyDescent="0.25">
      <c r="A144" s="8"/>
      <c r="B144" s="10"/>
      <c r="C144" s="10"/>
      <c r="D144" s="12"/>
      <c r="E144" s="21" t="s">
        <v>20</v>
      </c>
      <c r="F144" s="60">
        <f>SUM(D135:D143)</f>
        <v>244.59999999999997</v>
      </c>
      <c r="G144" s="75">
        <v>19.71</v>
      </c>
      <c r="H144" s="94">
        <f>ROUND(F144*G144,2)</f>
        <v>4821.07</v>
      </c>
    </row>
    <row r="145" spans="1:11" s="6" customFormat="1" ht="24" customHeight="1" x14ac:dyDescent="0.25">
      <c r="A145" s="43" t="s">
        <v>239</v>
      </c>
      <c r="B145" s="208" t="s">
        <v>240</v>
      </c>
      <c r="C145" s="208"/>
      <c r="D145" s="209"/>
      <c r="E145" s="44"/>
      <c r="F145" s="61"/>
      <c r="G145" s="61"/>
      <c r="H145" s="95"/>
    </row>
    <row r="146" spans="1:11" s="6" customFormat="1" x14ac:dyDescent="0.25">
      <c r="A146" s="8"/>
      <c r="B146" s="25" t="s">
        <v>10</v>
      </c>
      <c r="C146" s="10"/>
      <c r="D146" s="12"/>
      <c r="E146" s="21"/>
      <c r="F146" s="58"/>
      <c r="G146" s="58"/>
      <c r="H146" s="93"/>
    </row>
    <row r="147" spans="1:11" s="6" customFormat="1" x14ac:dyDescent="0.25">
      <c r="A147" s="8"/>
      <c r="B147" s="25" t="s">
        <v>111</v>
      </c>
      <c r="C147" s="10"/>
      <c r="D147" s="104">
        <f>18*2*2+4*3*2</f>
        <v>96</v>
      </c>
      <c r="E147" s="21"/>
      <c r="F147" s="58"/>
      <c r="G147" s="58"/>
      <c r="H147" s="93"/>
      <c r="I147" s="7"/>
      <c r="J147" s="7"/>
      <c r="K147" s="7"/>
    </row>
    <row r="148" spans="1:11" s="6" customFormat="1" x14ac:dyDescent="0.25">
      <c r="A148" s="8"/>
      <c r="B148" s="25" t="s">
        <v>134</v>
      </c>
      <c r="C148" s="25" t="s">
        <v>19</v>
      </c>
      <c r="D148" s="110">
        <v>4</v>
      </c>
      <c r="E148" s="21"/>
      <c r="F148" s="58"/>
      <c r="G148" s="58"/>
      <c r="H148" s="93"/>
      <c r="I148" s="7"/>
      <c r="J148" s="7"/>
      <c r="K148" s="7"/>
    </row>
    <row r="149" spans="1:11" x14ac:dyDescent="0.25">
      <c r="A149" s="8"/>
      <c r="B149" s="25" t="s">
        <v>133</v>
      </c>
      <c r="C149" s="25" t="s">
        <v>19</v>
      </c>
      <c r="D149" s="110">
        <v>17</v>
      </c>
      <c r="E149" s="21"/>
      <c r="F149" s="58"/>
      <c r="G149" s="58"/>
      <c r="H149" s="93"/>
    </row>
    <row r="150" spans="1:11" x14ac:dyDescent="0.25">
      <c r="A150" s="8"/>
      <c r="B150" s="25" t="s">
        <v>195</v>
      </c>
      <c r="C150" s="25" t="s">
        <v>19</v>
      </c>
      <c r="D150" s="110">
        <v>1</v>
      </c>
      <c r="E150" s="21"/>
      <c r="F150" s="58"/>
      <c r="G150" s="58"/>
      <c r="H150" s="93"/>
    </row>
    <row r="151" spans="1:11" s="6" customFormat="1" x14ac:dyDescent="0.25">
      <c r="A151" s="8"/>
      <c r="B151" s="25" t="s">
        <v>196</v>
      </c>
      <c r="C151" s="25" t="s">
        <v>19</v>
      </c>
      <c r="D151" s="110">
        <v>8</v>
      </c>
      <c r="E151" s="21"/>
      <c r="F151" s="58"/>
      <c r="G151" s="58"/>
      <c r="H151" s="93"/>
    </row>
    <row r="152" spans="1:11" s="6" customFormat="1" x14ac:dyDescent="0.25">
      <c r="A152" s="8"/>
      <c r="B152" s="25" t="s">
        <v>197</v>
      </c>
      <c r="C152" s="10"/>
      <c r="D152" s="104">
        <v>3</v>
      </c>
      <c r="E152" s="21"/>
      <c r="F152" s="58"/>
      <c r="G152" s="58"/>
      <c r="H152" s="93"/>
      <c r="I152" s="7"/>
      <c r="J152" s="7"/>
      <c r="K152" s="7"/>
    </row>
    <row r="153" spans="1:11" s="6" customFormat="1" x14ac:dyDescent="0.25">
      <c r="A153" s="8"/>
      <c r="B153" s="25" t="s">
        <v>198</v>
      </c>
      <c r="C153" s="25" t="s">
        <v>19</v>
      </c>
      <c r="D153" s="110">
        <v>6</v>
      </c>
      <c r="E153" s="21"/>
      <c r="F153" s="58"/>
      <c r="G153" s="58"/>
      <c r="H153" s="93"/>
      <c r="I153" s="7"/>
      <c r="J153" s="7"/>
      <c r="K153" s="7"/>
    </row>
    <row r="154" spans="1:11" x14ac:dyDescent="0.25">
      <c r="A154" s="8"/>
      <c r="B154" s="25" t="s">
        <v>199</v>
      </c>
      <c r="C154" s="25" t="s">
        <v>19</v>
      </c>
      <c r="D154" s="110">
        <v>6</v>
      </c>
      <c r="E154" s="21"/>
      <c r="F154" s="58"/>
      <c r="G154" s="58"/>
      <c r="H154" s="93"/>
    </row>
    <row r="155" spans="1:11" s="6" customFormat="1" x14ac:dyDescent="0.25">
      <c r="A155" s="8"/>
      <c r="B155" s="25" t="s">
        <v>181</v>
      </c>
      <c r="C155" s="25" t="s">
        <v>19</v>
      </c>
      <c r="D155" s="110">
        <v>6</v>
      </c>
      <c r="E155" s="21"/>
      <c r="F155" s="58"/>
      <c r="G155" s="58"/>
      <c r="H155" s="93"/>
    </row>
    <row r="156" spans="1:11" x14ac:dyDescent="0.25">
      <c r="A156" s="8"/>
      <c r="B156" s="10"/>
      <c r="C156" s="10"/>
      <c r="D156" s="12"/>
      <c r="E156" s="21" t="s">
        <v>20</v>
      </c>
      <c r="F156" s="60">
        <f>SUM(D147:D155)</f>
        <v>147</v>
      </c>
      <c r="G156" s="75">
        <v>24.75</v>
      </c>
      <c r="H156" s="94">
        <f>ROUND(F156*G156,2)</f>
        <v>3638.25</v>
      </c>
    </row>
    <row r="157" spans="1:11" x14ac:dyDescent="0.25">
      <c r="A157" s="8"/>
      <c r="B157" s="10"/>
      <c r="C157" s="10"/>
      <c r="D157" s="12"/>
      <c r="E157" s="21"/>
      <c r="F157" s="58"/>
      <c r="G157" s="58"/>
      <c r="H157" s="93"/>
    </row>
    <row r="158" spans="1:11" s="16" customFormat="1" ht="37.5" customHeight="1" x14ac:dyDescent="0.25">
      <c r="A158" s="31"/>
      <c r="B158" s="216" t="s">
        <v>241</v>
      </c>
      <c r="C158" s="216"/>
      <c r="D158" s="217"/>
      <c r="E158" s="32"/>
      <c r="F158" s="63"/>
      <c r="G158" s="63"/>
      <c r="H158" s="108">
        <f>SUM(H65:H156)</f>
        <v>49398.11</v>
      </c>
    </row>
    <row r="159" spans="1:11" x14ac:dyDescent="0.25">
      <c r="A159" s="8"/>
      <c r="B159" s="10"/>
      <c r="C159" s="10"/>
      <c r="D159" s="12"/>
      <c r="E159" s="21"/>
      <c r="F159" s="58"/>
      <c r="G159" s="58"/>
      <c r="H159" s="93"/>
    </row>
    <row r="160" spans="1:11" ht="18.75" x14ac:dyDescent="0.25">
      <c r="A160" s="48" t="s">
        <v>90</v>
      </c>
      <c r="B160" s="227" t="s">
        <v>242</v>
      </c>
      <c r="C160" s="227"/>
      <c r="D160" s="228"/>
      <c r="E160" s="101"/>
      <c r="F160" s="102"/>
      <c r="G160" s="102"/>
      <c r="H160" s="103"/>
    </row>
    <row r="161" spans="1:8" ht="38.25" customHeight="1" x14ac:dyDescent="0.25">
      <c r="A161" s="115" t="s">
        <v>243</v>
      </c>
      <c r="B161" s="255" t="s">
        <v>244</v>
      </c>
      <c r="C161" s="255"/>
      <c r="D161" s="256"/>
      <c r="E161" s="21"/>
      <c r="F161" s="58"/>
      <c r="G161" s="58"/>
      <c r="H161" s="93"/>
    </row>
    <row r="162" spans="1:8" x14ac:dyDescent="0.25">
      <c r="A162" s="8"/>
      <c r="B162" s="25" t="s">
        <v>10</v>
      </c>
      <c r="C162" s="10"/>
      <c r="D162" s="12"/>
      <c r="E162" s="21"/>
      <c r="F162" s="58"/>
      <c r="G162" s="58"/>
      <c r="H162" s="93"/>
    </row>
    <row r="163" spans="1:8" x14ac:dyDescent="0.25">
      <c r="A163" s="8"/>
      <c r="B163" s="25" t="s">
        <v>14</v>
      </c>
      <c r="C163" s="25" t="s">
        <v>11</v>
      </c>
      <c r="D163" s="26">
        <v>435.8</v>
      </c>
      <c r="E163" s="21"/>
      <c r="F163" s="58"/>
      <c r="G163" s="58"/>
      <c r="H163" s="93"/>
    </row>
    <row r="164" spans="1:8" x14ac:dyDescent="0.25">
      <c r="A164" s="8"/>
      <c r="B164" s="10"/>
      <c r="C164" s="10"/>
      <c r="D164" s="12"/>
      <c r="E164" s="21" t="s">
        <v>12</v>
      </c>
      <c r="F164" s="60">
        <v>435.8</v>
      </c>
      <c r="G164" s="58">
        <v>15.9</v>
      </c>
      <c r="H164" s="94">
        <f>ROUND(F164*G164,2)</f>
        <v>6929.22</v>
      </c>
    </row>
    <row r="165" spans="1:8" x14ac:dyDescent="0.25">
      <c r="A165" s="8"/>
      <c r="B165" s="10"/>
      <c r="C165" s="10"/>
      <c r="D165" s="12"/>
      <c r="E165" s="21"/>
      <c r="F165" s="58"/>
      <c r="G165" s="58"/>
      <c r="H165" s="93"/>
    </row>
    <row r="166" spans="1:8" s="16" customFormat="1" ht="18.75" x14ac:dyDescent="0.25">
      <c r="A166" s="31"/>
      <c r="B166" s="216" t="s">
        <v>245</v>
      </c>
      <c r="C166" s="216"/>
      <c r="D166" s="217"/>
      <c r="E166" s="32"/>
      <c r="F166" s="63"/>
      <c r="G166" s="63"/>
      <c r="H166" s="108">
        <f>SUM(H161:H165)</f>
        <v>6929.22</v>
      </c>
    </row>
    <row r="167" spans="1:8" x14ac:dyDescent="0.25">
      <c r="A167" s="8"/>
      <c r="B167" s="10"/>
      <c r="C167" s="10"/>
      <c r="D167" s="12"/>
      <c r="E167" s="21"/>
      <c r="F167" s="58"/>
      <c r="G167" s="58"/>
      <c r="H167" s="93"/>
    </row>
    <row r="168" spans="1:8" s="146" customFormat="1" ht="18.75" x14ac:dyDescent="0.25">
      <c r="A168" s="160" t="s">
        <v>98</v>
      </c>
      <c r="B168" s="200" t="s">
        <v>278</v>
      </c>
      <c r="C168" s="200"/>
      <c r="D168" s="201"/>
      <c r="E168" s="187"/>
      <c r="F168" s="188"/>
      <c r="G168" s="188"/>
      <c r="H168" s="189"/>
    </row>
    <row r="169" spans="1:8" s="146" customFormat="1" ht="27.75" customHeight="1" x14ac:dyDescent="0.25">
      <c r="A169" s="190" t="s">
        <v>100</v>
      </c>
      <c r="B169" s="257" t="s">
        <v>293</v>
      </c>
      <c r="C169" s="257"/>
      <c r="D169" s="258"/>
      <c r="E169" s="130"/>
      <c r="F169" s="131"/>
      <c r="G169" s="131"/>
      <c r="H169" s="185"/>
    </row>
    <row r="170" spans="1:8" s="146" customFormat="1" x14ac:dyDescent="0.25">
      <c r="A170" s="144"/>
      <c r="B170" s="138" t="s">
        <v>10</v>
      </c>
      <c r="C170" s="137"/>
      <c r="D170" s="129"/>
      <c r="E170" s="130"/>
      <c r="F170" s="131"/>
      <c r="G170" s="131"/>
      <c r="H170" s="185"/>
    </row>
    <row r="171" spans="1:8" s="146" customFormat="1" x14ac:dyDescent="0.25">
      <c r="A171" s="144"/>
      <c r="B171" s="138" t="s">
        <v>291</v>
      </c>
      <c r="C171" s="138" t="s">
        <v>292</v>
      </c>
      <c r="D171" s="133">
        <v>23</v>
      </c>
      <c r="E171" s="130"/>
      <c r="F171" s="131"/>
      <c r="G171" s="131"/>
      <c r="H171" s="185"/>
    </row>
    <row r="172" spans="1:8" s="146" customFormat="1" x14ac:dyDescent="0.25">
      <c r="A172" s="144"/>
      <c r="B172" s="137"/>
      <c r="C172" s="137"/>
      <c r="D172" s="129"/>
      <c r="E172" s="130" t="s">
        <v>1</v>
      </c>
      <c r="F172" s="134">
        <f>D171</f>
        <v>23</v>
      </c>
      <c r="G172" s="131">
        <v>2937</v>
      </c>
      <c r="H172" s="186">
        <f>ROUND(F172*G172,2)</f>
        <v>67551</v>
      </c>
    </row>
    <row r="173" spans="1:8" s="146" customFormat="1" x14ac:dyDescent="0.25">
      <c r="A173" s="144"/>
      <c r="B173" s="137"/>
      <c r="C173" s="137"/>
      <c r="D173" s="129"/>
      <c r="E173" s="130"/>
      <c r="F173" s="131"/>
      <c r="G173" s="131"/>
      <c r="H173" s="185"/>
    </row>
    <row r="174" spans="1:8" s="16" customFormat="1" ht="18.75" x14ac:dyDescent="0.25">
      <c r="A174" s="31"/>
      <c r="B174" s="204" t="s">
        <v>283</v>
      </c>
      <c r="C174" s="204"/>
      <c r="D174" s="205"/>
      <c r="E174" s="32"/>
      <c r="F174" s="63"/>
      <c r="G174" s="63"/>
      <c r="H174" s="108">
        <f>SUM(H169:H173)</f>
        <v>67551</v>
      </c>
    </row>
    <row r="175" spans="1:8" s="146" customFormat="1" x14ac:dyDescent="0.25">
      <c r="A175" s="144"/>
      <c r="B175" s="137"/>
      <c r="C175" s="137"/>
      <c r="D175" s="129"/>
      <c r="E175" s="130"/>
      <c r="F175" s="131"/>
      <c r="G175" s="131"/>
      <c r="H175" s="185"/>
    </row>
    <row r="176" spans="1:8" s="146" customFormat="1" x14ac:dyDescent="0.25">
      <c r="A176" s="174"/>
      <c r="B176" s="175"/>
      <c r="C176" s="175"/>
      <c r="D176" s="176"/>
      <c r="E176" s="177"/>
      <c r="F176" s="178"/>
      <c r="G176" s="178"/>
      <c r="H176" s="191"/>
    </row>
    <row r="178" spans="1:8" ht="31.5" customHeight="1" x14ac:dyDescent="0.25">
      <c r="B178" s="239" t="s">
        <v>312</v>
      </c>
      <c r="C178" s="240"/>
      <c r="D178" s="240"/>
      <c r="E178" s="240"/>
      <c r="F178" s="240"/>
      <c r="G178" s="240"/>
      <c r="H178" s="120">
        <f>SUM(H37,H61,H158,H166)+H174</f>
        <v>379374.00874999998</v>
      </c>
    </row>
    <row r="179" spans="1:8" s="6" customFormat="1" x14ac:dyDescent="0.25">
      <c r="A179" s="38"/>
      <c r="B179" s="41" t="s">
        <v>115</v>
      </c>
      <c r="C179" s="38"/>
      <c r="D179" s="7"/>
      <c r="E179" s="7"/>
      <c r="F179" s="66"/>
      <c r="G179" s="66"/>
      <c r="H179" s="116">
        <f>H178*20%</f>
        <v>75874.801749999999</v>
      </c>
    </row>
    <row r="180" spans="1:8" s="6" customFormat="1" x14ac:dyDescent="0.25">
      <c r="A180" s="38"/>
      <c r="B180" s="39" t="s">
        <v>107</v>
      </c>
      <c r="C180" s="38"/>
      <c r="D180" s="7"/>
      <c r="E180" s="7"/>
      <c r="F180" s="66"/>
      <c r="G180" s="66"/>
      <c r="H180" s="116">
        <f>H178+H179</f>
        <v>455248.81049999996</v>
      </c>
    </row>
  </sheetData>
  <mergeCells count="34">
    <mergeCell ref="B23:D23"/>
    <mergeCell ref="F4:H4"/>
    <mergeCell ref="B6:D6"/>
    <mergeCell ref="B8:D8"/>
    <mergeCell ref="B9:D9"/>
    <mergeCell ref="B10:D10"/>
    <mergeCell ref="B11:D11"/>
    <mergeCell ref="G5:H5"/>
    <mergeCell ref="B178:G178"/>
    <mergeCell ref="B116:D116"/>
    <mergeCell ref="B133:D133"/>
    <mergeCell ref="B145:D145"/>
    <mergeCell ref="B158:D158"/>
    <mergeCell ref="B160:D160"/>
    <mergeCell ref="B161:D161"/>
    <mergeCell ref="B166:D166"/>
    <mergeCell ref="B168:D168"/>
    <mergeCell ref="B169:D169"/>
    <mergeCell ref="B174:D174"/>
    <mergeCell ref="B90:D90"/>
    <mergeCell ref="B24:D24"/>
    <mergeCell ref="B28:D28"/>
    <mergeCell ref="B37:D37"/>
    <mergeCell ref="B39:D39"/>
    <mergeCell ref="B40:D40"/>
    <mergeCell ref="B41:D41"/>
    <mergeCell ref="B61:D61"/>
    <mergeCell ref="B63:D63"/>
    <mergeCell ref="B64:D64"/>
    <mergeCell ref="B65:D65"/>
    <mergeCell ref="B79:D79"/>
    <mergeCell ref="B56:D56"/>
    <mergeCell ref="B86:D86"/>
    <mergeCell ref="B32:D32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 alignWithMargins="0">
    <oddHeader>&amp;R&amp;G</oddHeader>
    <oddFooter>&amp;R20/08/2014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view="pageLayout" zoomScaleNormal="100" workbookViewId="0">
      <selection activeCell="B9" sqref="B9"/>
    </sheetView>
  </sheetViews>
  <sheetFormatPr baseColWidth="10" defaultRowHeight="15" x14ac:dyDescent="0.25"/>
  <cols>
    <col min="1" max="1" width="15.28515625" customWidth="1"/>
    <col min="2" max="2" width="16.42578125" customWidth="1"/>
  </cols>
  <sheetData>
    <row r="1" spans="1:2" x14ac:dyDescent="0.25">
      <c r="A1" s="263" t="s">
        <v>294</v>
      </c>
      <c r="B1" s="263"/>
    </row>
    <row r="3" spans="1:2" x14ac:dyDescent="0.25">
      <c r="A3" s="123" t="s">
        <v>120</v>
      </c>
      <c r="B3" s="124">
        <f>'Lot N°330 COUVERTURE - ETANCHE'!H302</f>
        <v>905405.07374999998</v>
      </c>
    </row>
    <row r="4" spans="1:2" x14ac:dyDescent="0.25">
      <c r="A4" s="123" t="s">
        <v>246</v>
      </c>
      <c r="B4" s="124">
        <f>'Lot N°331 BARDAGES'!H178</f>
        <v>379374.00874999998</v>
      </c>
    </row>
    <row r="5" spans="1:2" x14ac:dyDescent="0.25">
      <c r="A5" s="125" t="s">
        <v>247</v>
      </c>
      <c r="B5" s="126">
        <f>B3+B4</f>
        <v>1284779.0825</v>
      </c>
    </row>
    <row r="6" spans="1:2" x14ac:dyDescent="0.25">
      <c r="A6" s="117"/>
    </row>
    <row r="7" spans="1:2" x14ac:dyDescent="0.25">
      <c r="A7" s="117"/>
    </row>
    <row r="8" spans="1:2" x14ac:dyDescent="0.25">
      <c r="A8" s="117"/>
    </row>
  </sheetData>
  <mergeCells count="1">
    <mergeCell ref="A1:B1"/>
  </mergeCells>
  <pageMargins left="0.7" right="0.7" top="0.75" bottom="0.75" header="0.3" footer="0.3"/>
  <pageSetup paperSize="9" fitToHeight="0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Lot N°330 COUVERTURE - ETANCHE</vt:lpstr>
      <vt:lpstr>Lot N°331 BARDAGES</vt:lpstr>
      <vt:lpstr>RECAP</vt:lpstr>
      <vt:lpstr>'Lot N°330 COUVERTURE - ETANCHE'!Print_Area</vt:lpstr>
      <vt:lpstr>'Lot N°331 BARDAGES'!Print_Area</vt:lpstr>
      <vt:lpstr>'Lot N°330 COUVERTURE - ETANCHE'!Print_Titles</vt:lpstr>
      <vt:lpstr>'Lot N°331 BARDAGES'!Print_Titles</vt:lpstr>
    </vt:vector>
  </TitlesOfParts>
  <Company>GSE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fartaud</dc:creator>
  <cp:lastModifiedBy>Audrey PARSONS</cp:lastModifiedBy>
  <cp:lastPrinted>2014-09-15T15:37:15Z</cp:lastPrinted>
  <dcterms:created xsi:type="dcterms:W3CDTF">2011-04-04T09:03:54Z</dcterms:created>
  <dcterms:modified xsi:type="dcterms:W3CDTF">2014-09-15T15:37:23Z</dcterms:modified>
</cp:coreProperties>
</file>