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7"/>
  <workbookPr defaultThemeVersion="166925"/>
  <mc:AlternateContent xmlns:mc="http://schemas.openxmlformats.org/markup-compatibility/2006">
    <mc:Choice Requires="x15">
      <x15ac:absPath xmlns:x15ac="http://schemas.microsoft.com/office/spreadsheetml/2010/11/ac" url="D:\Jottacloud\PDtremor_syst-review\"/>
    </mc:Choice>
  </mc:AlternateContent>
  <xr:revisionPtr revIDLastSave="0" documentId="13_ncr:1_{E39F0FF9-B839-4849-84EE-E5D1FE845B9F}" xr6:coauthVersionLast="36" xr6:coauthVersionMax="36" xr10:uidLastSave="{00000000-0000-0000-0000-000000000000}"/>
  <bookViews>
    <workbookView xWindow="0" yWindow="0" windowWidth="16380" windowHeight="8190" tabRatio="500" firstSheet="63" activeTab="67" xr2:uid="{00000000-000D-0000-FFFF-FFFF00000000}"/>
  </bookViews>
  <sheets>
    <sheet name="Altmann2011" sheetId="1" r:id="rId1"/>
    <sheet name="Anderson1992" sheetId="2" r:id="rId2"/>
    <sheet name="Arnold2005" sheetId="3" r:id="rId3"/>
    <sheet name="Bara-Jimenez2003" sheetId="4" r:id="rId4"/>
    <sheet name="Barbagallo2018" sheetId="5" r:id="rId5"/>
    <sheet name="Binder2008" sheetId="6" r:id="rId6"/>
    <sheet name="Bonuccelli1997" sheetId="7" r:id="rId7"/>
    <sheet name="Brannan1995" sheetId="8" r:id="rId8"/>
    <sheet name="Brooks1998" sheetId="9" r:id="rId9"/>
    <sheet name="Bullock2021" sheetId="10" r:id="rId10"/>
    <sheet name="Cattaneo2016" sheetId="11" r:id="rId11"/>
    <sheet name="Choi2000" sheetId="12" r:id="rId12"/>
    <sheet name="Cinar2013" sheetId="13" r:id="rId13"/>
    <sheet name="Craig2006" sheetId="14" r:id="rId14"/>
    <sheet name="Dirkx2019" sheetId="15" r:id="rId15"/>
    <sheet name="Eggert2010" sheetId="16" r:id="rId16"/>
    <sheet name="Elmer2013" sheetId="17" r:id="rId17"/>
    <sheet name="Evidente2003" sheetId="18" r:id="rId18"/>
    <sheet name="Fischer1990" sheetId="19" r:id="rId19"/>
    <sheet name="Frazitta2013" sheetId="20" r:id="rId20"/>
    <sheet name="Friedman1997" sheetId="21" r:id="rId21"/>
    <sheet name="Friedmann1999" sheetId="22" r:id="rId22"/>
    <sheet name="Glass2003" sheetId="23" r:id="rId23"/>
    <sheet name="Goetz2000" sheetId="24" r:id="rId24"/>
    <sheet name="Haas2006" sheetId="25" r:id="rId25"/>
    <sheet name="Hartelt2020" sheetId="26" r:id="rId26"/>
    <sheet name="Hattori2019" sheetId="120" r:id="rId27"/>
    <sheet name="Heinonen1989" sheetId="27" r:id="rId28"/>
    <sheet name="Hellmann2008" sheetId="28" r:id="rId29"/>
    <sheet name="Hiremath2012" sheetId="29" r:id="rId30"/>
    <sheet name="Hughes1990" sheetId="30" r:id="rId31"/>
    <sheet name="Ikeda_2015" sheetId="31" r:id="rId32"/>
    <sheet name="Jankovic2014" sheetId="32" r:id="rId33"/>
    <sheet name="Jansen1994" sheetId="33" r:id="rId34"/>
    <sheet name="Jitkritsadakul 2015" sheetId="34" r:id="rId35"/>
    <sheet name="Jost2008" sheetId="35" r:id="rId36"/>
    <sheet name="Kadkhodaie2019" sheetId="36" r:id="rId37"/>
    <sheet name="Kaut2011" sheetId="37" r:id="rId38"/>
    <sheet name="King_2009" sheetId="38" r:id="rId39"/>
    <sheet name="Koller_1987.1" sheetId="39" r:id="rId40"/>
    <sheet name="Koller_1987.2" sheetId="40" r:id="rId41"/>
    <sheet name="Koller_1987.3" sheetId="41" r:id="rId42"/>
    <sheet name="Kulisevsky2002" sheetId="42" r:id="rId43"/>
    <sheet name="Laihinen1992" sheetId="43" r:id="rId44"/>
    <sheet name="Levin2010" sheetId="44" r:id="rId45"/>
    <sheet name="Lew_2013.1" sheetId="45" r:id="rId46"/>
    <sheet name="Lew_2013.2" sheetId="46" r:id="rId47"/>
    <sheet name="Li_2018" sheetId="47" r:id="rId48"/>
    <sheet name="Liebermann1997" sheetId="48" r:id="rId49"/>
    <sheet name="Lotan_2014" sheetId="49" r:id="rId50"/>
    <sheet name="Macht2000" sheetId="50" r:id="rId51"/>
    <sheet name="Maeda_2015" sheetId="51" r:id="rId52"/>
    <sheet name="Mailland2004" sheetId="52" r:id="rId53"/>
    <sheet name="Malsch2001" sheetId="53" r:id="rId54"/>
    <sheet name="Mark1989" sheetId="54" r:id="rId55"/>
    <sheet name="Mentenopoulos1989" sheetId="55" r:id="rId56"/>
    <sheet name="Mizuno_1995a" sheetId="56" r:id="rId57"/>
    <sheet name="Mizuno_1995b" sheetId="57" r:id="rId58"/>
    <sheet name="Mizuno2017" sheetId="58" r:id="rId59"/>
    <sheet name="Moeller2005" sheetId="59" r:id="rId60"/>
    <sheet name="Montastruc1999" sheetId="60" r:id="rId61"/>
    <sheet name="Müller2003a" sheetId="61" r:id="rId62"/>
    <sheet name="Müller2003b" sheetId="62" r:id="rId63"/>
    <sheet name="Nakanishi1991" sheetId="63" r:id="rId64"/>
    <sheet name="Navan-Pithiva2003a.1" sheetId="64" r:id="rId65"/>
    <sheet name="Navan-Pithiva2003a.2" sheetId="65" r:id="rId66"/>
    <sheet name="Navan-Pithiva2003b" sheetId="66" r:id="rId67"/>
    <sheet name="Nigro2019" sheetId="67" r:id="rId68"/>
    <sheet name="Nomoto2018.1" sheetId="68" r:id="rId69"/>
    <sheet name="Nomoto2018.2" sheetId="69" r:id="rId70"/>
    <sheet name="Nutt2007" sheetId="70" r:id="rId71"/>
    <sheet name="Olanow1989" sheetId="71" r:id="rId72"/>
    <sheet name="Olson1997" sheetId="72" r:id="rId73"/>
    <sheet name="ParkinsonStudyGroup2007" sheetId="73" r:id="rId74"/>
    <sheet name="Petramfar2020" sheetId="74" r:id="rId75"/>
    <sheet name="Pogarell2002" sheetId="75" r:id="rId76"/>
    <sheet name="Pollok2009" sheetId="76" r:id="rId77"/>
    <sheet name="Przuntek2002" sheetId="77" r:id="rId78"/>
    <sheet name="Rabey1992" sheetId="78" r:id="rId79"/>
    <sheet name="Rahimi2015" sheetId="79" r:id="rId80"/>
    <sheet name="Rascol1988" sheetId="80" r:id="rId81"/>
    <sheet name="Reichmann2002" sheetId="81" r:id="rId82"/>
    <sheet name="Reichmann2003" sheetId="82" r:id="rId83"/>
    <sheet name="Reichmann2005" sheetId="83" r:id="rId84"/>
    <sheet name="Reichmann2010" sheetId="84" r:id="rId85"/>
    <sheet name="Ridgel2012" sheetId="85" r:id="rId86"/>
    <sheet name="Rondot1992" sheetId="86" r:id="rId87"/>
    <sheet name="Saavedra2000" sheetId="87" r:id="rId88"/>
    <sheet name="Sahoo2020" sheetId="88" r:id="rId89"/>
    <sheet name="Samotus2017" sheetId="89" r:id="rId90"/>
    <sheet name="Samotus2020" sheetId="90" r:id="rId91"/>
    <sheet name="Schlesinger2009.1" sheetId="91" r:id="rId92"/>
    <sheet name="Schlesinger2009.2" sheetId="92" r:id="rId93"/>
    <sheet name="Schlesinger2009.3" sheetId="93" r:id="rId94"/>
    <sheet name="Schmitz2006" sheetId="94" r:id="rId95"/>
    <sheet name="Schneider1998" sheetId="95" r:id="rId96"/>
    <sheet name="Schrag1999" sheetId="96" r:id="rId97"/>
    <sheet name="Schrag2002.1" sheetId="97" r:id="rId98"/>
    <sheet name="Schrag2002.2" sheetId="98" r:id="rId99"/>
    <sheet name="Schrag2002.3" sheetId="99" r:id="rId100"/>
    <sheet name="Sivertsen1989" sheetId="100" r:id="rId101"/>
    <sheet name="Spieker1995" sheetId="101" r:id="rId102"/>
    <sheet name="Spieker1999" sheetId="102" r:id="rId103"/>
    <sheet name="Su2004" sheetId="103" r:id="rId104"/>
    <sheet name="Takahashi2008" sheetId="104" r:id="rId105"/>
    <sheet name="Tedeschi1990" sheetId="105" r:id="rId106"/>
    <sheet name="Trosch1994" sheetId="106" r:id="rId107"/>
    <sheet name="VanLaar1998" sheetId="107" r:id="rId108"/>
    <sheet name="Vorasoot2020" sheetId="108" r:id="rId109"/>
    <sheet name="Weiner1989" sheetId="109" r:id="rId110"/>
    <sheet name="Wilken2019" sheetId="110" r:id="rId111"/>
    <sheet name="Yoshii1996" sheetId="111" r:id="rId112"/>
    <sheet name="Zach2017" sheetId="112" r:id="rId113"/>
    <sheet name="Zach2020" sheetId="113" r:id="rId114"/>
    <sheet name="Zhang2013" sheetId="114" r:id="rId115"/>
    <sheet name="Zhang2018" sheetId="115" r:id="rId116"/>
    <sheet name="Zhao2015" sheetId="116" r:id="rId117"/>
    <sheet name="Zhou2019" sheetId="117" r:id="rId118"/>
    <sheet name="Ziegler1999" sheetId="118" r:id="rId119"/>
    <sheet name="Ziegler2003" sheetId="119" r:id="rId120"/>
  </sheets>
  <definedNames>
    <definedName name="A">Samotus2017!$WUI$22</definedName>
  </definedName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J46" i="90" l="1"/>
  <c r="F24" i="120" l="1"/>
  <c r="F23" i="120"/>
  <c r="F26" i="120" s="1"/>
  <c r="D65" i="120"/>
  <c r="F25" i="120" l="1"/>
  <c r="F27" i="120"/>
  <c r="F30" i="120"/>
  <c r="F31" i="120" s="1"/>
  <c r="E71" i="73"/>
  <c r="F31" i="73"/>
  <c r="E72" i="73"/>
  <c r="I37" i="69" l="1"/>
  <c r="D53" i="106"/>
  <c r="E38" i="4" l="1"/>
  <c r="E37" i="4"/>
  <c r="D65" i="119" l="1"/>
  <c r="E47" i="118"/>
  <c r="E46" i="118"/>
  <c r="D27" i="118"/>
  <c r="D25" i="118"/>
  <c r="E65" i="117"/>
  <c r="D65" i="117"/>
  <c r="F31" i="117"/>
  <c r="F30" i="117"/>
  <c r="F27" i="117"/>
  <c r="F26" i="117"/>
  <c r="F25" i="117"/>
  <c r="E25" i="117"/>
  <c r="D25" i="117"/>
  <c r="F24" i="117"/>
  <c r="E24" i="117"/>
  <c r="D24" i="117"/>
  <c r="F23" i="117"/>
  <c r="F22" i="117"/>
  <c r="F30" i="116"/>
  <c r="F31" i="116" s="1"/>
  <c r="F26" i="116"/>
  <c r="F27" i="116" s="1"/>
  <c r="F25" i="116"/>
  <c r="E25" i="116"/>
  <c r="D25" i="116"/>
  <c r="F23" i="116"/>
  <c r="D65" i="115"/>
  <c r="D27" i="115"/>
  <c r="D26" i="115"/>
  <c r="D65" i="114"/>
  <c r="F26" i="114"/>
  <c r="E25" i="114"/>
  <c r="D25" i="114"/>
  <c r="F25" i="114" s="1"/>
  <c r="F23" i="114"/>
  <c r="F30" i="114" s="1"/>
  <c r="F31" i="114" s="1"/>
  <c r="F22" i="114"/>
  <c r="E74" i="113"/>
  <c r="E73" i="113"/>
  <c r="E72" i="113"/>
  <c r="E71" i="113"/>
  <c r="D65" i="113"/>
  <c r="E38" i="113"/>
  <c r="E37" i="113"/>
  <c r="D25" i="113"/>
  <c r="E74" i="112"/>
  <c r="E73" i="112"/>
  <c r="D65" i="112"/>
  <c r="E47" i="112"/>
  <c r="E46" i="112"/>
  <c r="D65" i="111"/>
  <c r="D25" i="111"/>
  <c r="D65" i="110"/>
  <c r="E38" i="109"/>
  <c r="E37" i="109"/>
  <c r="D65" i="108"/>
  <c r="E40" i="108"/>
  <c r="D40" i="108"/>
  <c r="E39" i="108"/>
  <c r="D39" i="108"/>
  <c r="E38" i="108"/>
  <c r="D38" i="108"/>
  <c r="E37" i="108"/>
  <c r="D37" i="108"/>
  <c r="F30" i="108"/>
  <c r="F31" i="108" s="1"/>
  <c r="F26" i="108"/>
  <c r="F27" i="108" s="1"/>
  <c r="F25" i="108"/>
  <c r="E25" i="108"/>
  <c r="D25" i="108"/>
  <c r="F23" i="108"/>
  <c r="D65" i="107"/>
  <c r="D65" i="106"/>
  <c r="D27" i="106"/>
  <c r="D28" i="105"/>
  <c r="D27" i="105"/>
  <c r="D26" i="105"/>
  <c r="K76" i="104"/>
  <c r="D76" i="104"/>
  <c r="K75" i="104"/>
  <c r="D75" i="104"/>
  <c r="D65" i="104"/>
  <c r="D25" i="104"/>
  <c r="D24" i="104"/>
  <c r="K82" i="103"/>
  <c r="D82" i="103"/>
  <c r="K81" i="103"/>
  <c r="D81" i="103"/>
  <c r="K80" i="103"/>
  <c r="D80" i="103"/>
  <c r="K79" i="103"/>
  <c r="D79" i="103"/>
  <c r="D66" i="103"/>
  <c r="F27" i="103"/>
  <c r="F26" i="103"/>
  <c r="F25" i="103"/>
  <c r="E25" i="103"/>
  <c r="D25" i="103"/>
  <c r="F24" i="103"/>
  <c r="F23" i="103"/>
  <c r="F30" i="103" s="1"/>
  <c r="F31" i="103" s="1"/>
  <c r="D65" i="102"/>
  <c r="F25" i="102"/>
  <c r="E25" i="102"/>
  <c r="D25" i="102"/>
  <c r="F23" i="102"/>
  <c r="F26" i="102" s="1"/>
  <c r="F22" i="102"/>
  <c r="D25" i="101"/>
  <c r="D65" i="100"/>
  <c r="F25" i="100"/>
  <c r="F23" i="100"/>
  <c r="K80" i="99"/>
  <c r="J80" i="99"/>
  <c r="D80" i="99"/>
  <c r="K79" i="99"/>
  <c r="J79" i="99"/>
  <c r="D79" i="99"/>
  <c r="F30" i="99"/>
  <c r="F26" i="99"/>
  <c r="F27" i="99" s="1"/>
  <c r="F25" i="99"/>
  <c r="F24" i="99"/>
  <c r="E24" i="99"/>
  <c r="D24" i="99"/>
  <c r="F23" i="99"/>
  <c r="F22" i="99"/>
  <c r="F31" i="99" s="1"/>
  <c r="K80" i="98"/>
  <c r="J80" i="98"/>
  <c r="D80" i="98"/>
  <c r="K79" i="98"/>
  <c r="J79" i="98"/>
  <c r="D79" i="98"/>
  <c r="F30" i="98"/>
  <c r="F26" i="98"/>
  <c r="F27" i="98" s="1"/>
  <c r="F25" i="98"/>
  <c r="F24" i="98"/>
  <c r="E24" i="98"/>
  <c r="D24" i="98"/>
  <c r="F23" i="98"/>
  <c r="F22" i="98"/>
  <c r="F31" i="98" s="1"/>
  <c r="K80" i="97"/>
  <c r="J80" i="97"/>
  <c r="D80" i="97"/>
  <c r="K79" i="97"/>
  <c r="J79" i="97"/>
  <c r="D79" i="97"/>
  <c r="F30" i="97"/>
  <c r="F26" i="97"/>
  <c r="F27" i="97" s="1"/>
  <c r="F25" i="97"/>
  <c r="E25" i="97"/>
  <c r="D25" i="97"/>
  <c r="E24" i="97"/>
  <c r="D24" i="97"/>
  <c r="F23" i="97"/>
  <c r="F24" i="97" s="1"/>
  <c r="D65" i="96"/>
  <c r="D40" i="96"/>
  <c r="D39" i="96"/>
  <c r="D38" i="96"/>
  <c r="D37" i="96"/>
  <c r="D65" i="95"/>
  <c r="F30" i="95"/>
  <c r="F31" i="95" s="1"/>
  <c r="F27" i="95"/>
  <c r="F26" i="95"/>
  <c r="F25" i="95"/>
  <c r="E25" i="95"/>
  <c r="D25" i="95"/>
  <c r="F23" i="95"/>
  <c r="D65" i="94"/>
  <c r="F27" i="94"/>
  <c r="E25" i="94"/>
  <c r="D25" i="94"/>
  <c r="E24" i="94"/>
  <c r="D24" i="94"/>
  <c r="F24" i="94" s="1"/>
  <c r="F23" i="94"/>
  <c r="F26" i="94" s="1"/>
  <c r="F22" i="94"/>
  <c r="F30" i="94" s="1"/>
  <c r="F31" i="94" s="1"/>
  <c r="D65" i="93"/>
  <c r="D25" i="93"/>
  <c r="D65" i="92"/>
  <c r="D25" i="92"/>
  <c r="D65" i="91"/>
  <c r="D25" i="91"/>
  <c r="D65" i="90"/>
  <c r="D46" i="90"/>
  <c r="F27" i="90"/>
  <c r="E25" i="90"/>
  <c r="D25" i="90"/>
  <c r="F24" i="90"/>
  <c r="F23" i="90"/>
  <c r="F22" i="90"/>
  <c r="K84" i="89"/>
  <c r="D84" i="89"/>
  <c r="K83" i="89"/>
  <c r="D83" i="89"/>
  <c r="D65" i="89"/>
  <c r="E24" i="89"/>
  <c r="E23" i="89"/>
  <c r="E22" i="89"/>
  <c r="E21" i="89"/>
  <c r="D65" i="88"/>
  <c r="D25" i="88"/>
  <c r="D25" i="87"/>
  <c r="K78" i="86"/>
  <c r="E78" i="86"/>
  <c r="D78" i="86"/>
  <c r="K77" i="86"/>
  <c r="D77" i="86"/>
  <c r="E76" i="86"/>
  <c r="E75" i="86"/>
  <c r="E74" i="86"/>
  <c r="E73" i="86"/>
  <c r="E77" i="86" s="1"/>
  <c r="E72" i="86"/>
  <c r="E71" i="86"/>
  <c r="E47" i="86"/>
  <c r="E46" i="86"/>
  <c r="D27" i="86"/>
  <c r="D25" i="86"/>
  <c r="D65" i="85"/>
  <c r="D65" i="84"/>
  <c r="F25" i="84"/>
  <c r="E25" i="84"/>
  <c r="D25" i="84"/>
  <c r="F23" i="84"/>
  <c r="F22" i="84"/>
  <c r="D65" i="83"/>
  <c r="D25" i="83"/>
  <c r="E49" i="80"/>
  <c r="E48" i="80"/>
  <c r="E47" i="80"/>
  <c r="E46" i="80"/>
  <c r="K76" i="79"/>
  <c r="D76" i="79"/>
  <c r="K75" i="79"/>
  <c r="D75" i="79"/>
  <c r="D65" i="79"/>
  <c r="D65" i="77"/>
  <c r="E47" i="77"/>
  <c r="E46" i="77"/>
  <c r="D65" i="76"/>
  <c r="E47" i="76"/>
  <c r="E46" i="76"/>
  <c r="D65" i="75"/>
  <c r="F25" i="75"/>
  <c r="E25" i="75"/>
  <c r="D25" i="75"/>
  <c r="D65" i="74"/>
  <c r="D31" i="74"/>
  <c r="D30" i="74"/>
  <c r="D27" i="74"/>
  <c r="D26" i="74"/>
  <c r="D72" i="73"/>
  <c r="D71" i="73"/>
  <c r="F30" i="73"/>
  <c r="F26" i="73"/>
  <c r="F27" i="73" s="1"/>
  <c r="F25" i="73"/>
  <c r="E25" i="73"/>
  <c r="D25" i="73"/>
  <c r="F24" i="73"/>
  <c r="F23" i="73"/>
  <c r="F22" i="73"/>
  <c r="D25" i="70"/>
  <c r="E31" i="69"/>
  <c r="D31" i="69"/>
  <c r="E27" i="69"/>
  <c r="D27" i="69"/>
  <c r="E23" i="69"/>
  <c r="E30" i="69" s="1"/>
  <c r="D23" i="69"/>
  <c r="D30" i="69" s="1"/>
  <c r="F30" i="69" s="1"/>
  <c r="E31" i="68"/>
  <c r="D31" i="68"/>
  <c r="E30" i="68"/>
  <c r="D30" i="68"/>
  <c r="F30" i="68" s="1"/>
  <c r="F31" i="68" s="1"/>
  <c r="E27" i="68"/>
  <c r="D27" i="68"/>
  <c r="E26" i="68"/>
  <c r="D26" i="68"/>
  <c r="F26" i="68" s="1"/>
  <c r="F27" i="68" s="1"/>
  <c r="E25" i="68"/>
  <c r="D25" i="68"/>
  <c r="F24" i="68"/>
  <c r="F23" i="68"/>
  <c r="F25" i="68" s="1"/>
  <c r="D65" i="67"/>
  <c r="E51" i="66"/>
  <c r="D51" i="66"/>
  <c r="E50" i="66"/>
  <c r="D50" i="66"/>
  <c r="E49" i="66"/>
  <c r="D49" i="66"/>
  <c r="E48" i="66"/>
  <c r="D48" i="66"/>
  <c r="E47" i="66"/>
  <c r="D47" i="66"/>
  <c r="E46" i="66"/>
  <c r="D46" i="66"/>
  <c r="G30" i="66"/>
  <c r="G26" i="66"/>
  <c r="G25" i="66"/>
  <c r="F25" i="66"/>
  <c r="E25" i="66"/>
  <c r="D25" i="66"/>
  <c r="G23" i="66"/>
  <c r="G22" i="66"/>
  <c r="D65" i="63"/>
  <c r="D27" i="63"/>
  <c r="D26" i="63"/>
  <c r="D23" i="63"/>
  <c r="D22" i="63"/>
  <c r="D65" i="61"/>
  <c r="K88" i="60"/>
  <c r="D88" i="60"/>
  <c r="K87" i="60"/>
  <c r="D87" i="60"/>
  <c r="K86" i="60"/>
  <c r="D86" i="60"/>
  <c r="K85" i="60"/>
  <c r="D85" i="60"/>
  <c r="K84" i="60"/>
  <c r="D84" i="60"/>
  <c r="K83" i="60"/>
  <c r="D83" i="60"/>
  <c r="G25" i="60"/>
  <c r="F25" i="60"/>
  <c r="E25" i="60"/>
  <c r="D25" i="60"/>
  <c r="G24" i="60"/>
  <c r="G23" i="60"/>
  <c r="G26" i="60" s="1"/>
  <c r="G27" i="60" s="1"/>
  <c r="D65" i="59"/>
  <c r="E25" i="59"/>
  <c r="D25" i="59"/>
  <c r="F24" i="59"/>
  <c r="F23" i="59"/>
  <c r="F22" i="59"/>
  <c r="F25" i="59" s="1"/>
  <c r="D65" i="58"/>
  <c r="E40" i="58"/>
  <c r="E39" i="58"/>
  <c r="F31" i="58"/>
  <c r="F30" i="58"/>
  <c r="F26" i="58"/>
  <c r="F27" i="58" s="1"/>
  <c r="F25" i="58"/>
  <c r="E25" i="58"/>
  <c r="D25" i="58"/>
  <c r="F24" i="58"/>
  <c r="E24" i="58"/>
  <c r="D24" i="58"/>
  <c r="F23" i="58"/>
  <c r="F22" i="58"/>
  <c r="H29" i="57"/>
  <c r="H23" i="57"/>
  <c r="H22" i="57"/>
  <c r="D65" i="56"/>
  <c r="F24" i="56"/>
  <c r="F23" i="56"/>
  <c r="F22" i="56"/>
  <c r="F21" i="56"/>
  <c r="F29" i="56" s="1"/>
  <c r="E73" i="55"/>
  <c r="E72" i="55"/>
  <c r="E71" i="55"/>
  <c r="E47" i="55"/>
  <c r="E46" i="55"/>
  <c r="D25" i="55"/>
  <c r="D65" i="54"/>
  <c r="D37" i="54"/>
  <c r="D65" i="53"/>
  <c r="E47" i="53"/>
  <c r="E46" i="53"/>
  <c r="F24" i="53"/>
  <c r="F23" i="53"/>
  <c r="F22" i="53"/>
  <c r="F21" i="53"/>
  <c r="F26" i="53" s="1"/>
  <c r="D65" i="51"/>
  <c r="E49" i="50"/>
  <c r="D49" i="50"/>
  <c r="E48" i="50"/>
  <c r="D48" i="50"/>
  <c r="E47" i="50"/>
  <c r="D47" i="50"/>
  <c r="E46" i="50"/>
  <c r="D46" i="50"/>
  <c r="D25" i="50"/>
  <c r="D65" i="49"/>
  <c r="D25" i="49"/>
  <c r="D65" i="48"/>
  <c r="F25" i="48"/>
  <c r="E25" i="48"/>
  <c r="D25" i="48"/>
  <c r="F24" i="48"/>
  <c r="F23" i="48"/>
  <c r="E23" i="48"/>
  <c r="D23" i="48"/>
  <c r="F22" i="48"/>
  <c r="F21" i="48"/>
  <c r="F26" i="48" s="1"/>
  <c r="D65" i="47"/>
  <c r="F25" i="47"/>
  <c r="E25" i="47"/>
  <c r="D25" i="47"/>
  <c r="G25" i="47" s="1"/>
  <c r="G23" i="47"/>
  <c r="D65" i="45"/>
  <c r="E38" i="45"/>
  <c r="E37" i="45"/>
  <c r="E31" i="45"/>
  <c r="F30" i="45"/>
  <c r="F31" i="45" s="1"/>
  <c r="E30" i="45"/>
  <c r="E29" i="45"/>
  <c r="E26" i="45"/>
  <c r="F24" i="45"/>
  <c r="F23" i="45"/>
  <c r="F26" i="45" s="1"/>
  <c r="F27" i="45" s="1"/>
  <c r="D65" i="44"/>
  <c r="D25" i="44"/>
  <c r="D25" i="42"/>
  <c r="J93" i="41"/>
  <c r="E93" i="41"/>
  <c r="D93" i="41"/>
  <c r="J92" i="41"/>
  <c r="E92" i="41"/>
  <c r="D92" i="41"/>
  <c r="J93" i="40"/>
  <c r="E93" i="40"/>
  <c r="D93" i="40"/>
  <c r="J92" i="40"/>
  <c r="E92" i="40"/>
  <c r="D92" i="40"/>
  <c r="K93" i="39"/>
  <c r="E93" i="39"/>
  <c r="D93" i="39"/>
  <c r="K92" i="39"/>
  <c r="E92" i="39"/>
  <c r="D92" i="39"/>
  <c r="D65" i="38"/>
  <c r="F40" i="37"/>
  <c r="E40" i="37" s="1"/>
  <c r="F39" i="37"/>
  <c r="E39" i="37"/>
  <c r="F38" i="37"/>
  <c r="E38" i="37"/>
  <c r="D38" i="37"/>
  <c r="F37" i="37"/>
  <c r="E37" i="37"/>
  <c r="F27" i="37"/>
  <c r="F26" i="37"/>
  <c r="F25" i="37"/>
  <c r="E25" i="37"/>
  <c r="D25" i="37"/>
  <c r="F25" i="36"/>
  <c r="E25" i="36"/>
  <c r="D25" i="36"/>
  <c r="F24" i="36"/>
  <c r="F23" i="36"/>
  <c r="F26" i="36" s="1"/>
  <c r="F27" i="36" s="1"/>
  <c r="F22" i="36"/>
  <c r="F21" i="36"/>
  <c r="D65" i="35"/>
  <c r="D25" i="35"/>
  <c r="D25" i="34"/>
  <c r="D65" i="33"/>
  <c r="D25" i="33"/>
  <c r="D65" i="32"/>
  <c r="E38" i="32"/>
  <c r="E37" i="32"/>
  <c r="E29" i="32"/>
  <c r="E26" i="32"/>
  <c r="E25" i="32"/>
  <c r="F25" i="32" s="1"/>
  <c r="F24" i="32"/>
  <c r="E24" i="32"/>
  <c r="D24" i="32"/>
  <c r="F23" i="32"/>
  <c r="F22" i="32"/>
  <c r="F26" i="32" s="1"/>
  <c r="D29" i="31"/>
  <c r="D25" i="31"/>
  <c r="D65" i="30"/>
  <c r="D50" i="30"/>
  <c r="D65" i="26"/>
  <c r="D25" i="26"/>
  <c r="D65" i="25"/>
  <c r="E38" i="25"/>
  <c r="E37" i="25"/>
  <c r="D25" i="25"/>
  <c r="D65" i="24"/>
  <c r="D25" i="24"/>
  <c r="K83" i="23"/>
  <c r="E83" i="23"/>
  <c r="D83" i="23"/>
  <c r="K82" i="23"/>
  <c r="E82" i="23"/>
  <c r="D82" i="23"/>
  <c r="E76" i="23"/>
  <c r="D65" i="23"/>
  <c r="D31" i="23"/>
  <c r="D25" i="23"/>
  <c r="D65" i="22"/>
  <c r="E38" i="22"/>
  <c r="E37" i="22"/>
  <c r="F26" i="22"/>
  <c r="F27" i="22" s="1"/>
  <c r="F25" i="22"/>
  <c r="E25" i="22"/>
  <c r="D25" i="22"/>
  <c r="F24" i="22"/>
  <c r="F23" i="22"/>
  <c r="F22" i="22"/>
  <c r="F21" i="22"/>
  <c r="F30" i="22" s="1"/>
  <c r="F31" i="22" s="1"/>
  <c r="E78" i="21"/>
  <c r="E77" i="21"/>
  <c r="E76" i="21"/>
  <c r="E74" i="21"/>
  <c r="E73" i="21"/>
  <c r="E72" i="21"/>
  <c r="E71" i="21"/>
  <c r="D65" i="21"/>
  <c r="E40" i="21"/>
  <c r="E39" i="21"/>
  <c r="E38" i="21"/>
  <c r="E37" i="21"/>
  <c r="E31" i="21"/>
  <c r="D31" i="21"/>
  <c r="F31" i="21" s="1"/>
  <c r="F30" i="21"/>
  <c r="F26" i="21"/>
  <c r="F25" i="21"/>
  <c r="E25" i="21"/>
  <c r="D25" i="21"/>
  <c r="F24" i="21"/>
  <c r="F23" i="21"/>
  <c r="F22" i="21"/>
  <c r="D65" i="20"/>
  <c r="F31" i="20"/>
  <c r="F30" i="20"/>
  <c r="F26" i="20"/>
  <c r="F27" i="20" s="1"/>
  <c r="F22" i="20"/>
  <c r="D65" i="19"/>
  <c r="D29" i="19"/>
  <c r="D28" i="19"/>
  <c r="K78" i="18"/>
  <c r="E78" i="18"/>
  <c r="D78" i="18"/>
  <c r="K77" i="18"/>
  <c r="E77" i="18"/>
  <c r="D77" i="18"/>
  <c r="E38" i="17"/>
  <c r="E37" i="17"/>
  <c r="F31" i="17"/>
  <c r="F30" i="17"/>
  <c r="F26" i="17"/>
  <c r="F27" i="17" s="1"/>
  <c r="F25" i="17"/>
  <c r="D65" i="16"/>
  <c r="E40" i="16"/>
  <c r="E39" i="16"/>
  <c r="E38" i="16"/>
  <c r="E37" i="16"/>
  <c r="F26" i="16"/>
  <c r="F27" i="16" s="1"/>
  <c r="F25" i="16"/>
  <c r="F24" i="16"/>
  <c r="F23" i="16"/>
  <c r="F22" i="16"/>
  <c r="F30" i="16" s="1"/>
  <c r="F31" i="16" s="1"/>
  <c r="F21" i="16"/>
  <c r="F29" i="16" s="1"/>
  <c r="D65" i="15"/>
  <c r="F30" i="15"/>
  <c r="F31" i="15" s="1"/>
  <c r="F25" i="15"/>
  <c r="E25" i="15"/>
  <c r="D25" i="15"/>
  <c r="F23" i="15"/>
  <c r="F22" i="15"/>
  <c r="F21" i="15"/>
  <c r="F26" i="15" s="1"/>
  <c r="F27" i="15" s="1"/>
  <c r="E65" i="14"/>
  <c r="D65" i="14"/>
  <c r="F31" i="14"/>
  <c r="F30" i="14"/>
  <c r="F27" i="14"/>
  <c r="F26" i="14"/>
  <c r="F25" i="14"/>
  <c r="E25" i="14"/>
  <c r="D25" i="14"/>
  <c r="D65" i="13"/>
  <c r="D25" i="13"/>
  <c r="D25" i="12"/>
  <c r="D65" i="11"/>
  <c r="E38" i="11"/>
  <c r="E37" i="11"/>
  <c r="E26" i="11"/>
  <c r="D26" i="11"/>
  <c r="E25" i="11"/>
  <c r="D25" i="11"/>
  <c r="F23" i="11"/>
  <c r="E22" i="11"/>
  <c r="E24" i="11" s="1"/>
  <c r="D22" i="11"/>
  <c r="F22" i="11" s="1"/>
  <c r="E38" i="10"/>
  <c r="E37" i="10"/>
  <c r="D65" i="9"/>
  <c r="F26" i="9"/>
  <c r="F25" i="9"/>
  <c r="F24" i="9"/>
  <c r="E24" i="9"/>
  <c r="D24" i="9"/>
  <c r="F23" i="9"/>
  <c r="F22" i="9"/>
  <c r="D65" i="8"/>
  <c r="F23" i="8"/>
  <c r="F26" i="8" s="1"/>
  <c r="F27" i="8" s="1"/>
  <c r="F21" i="8"/>
  <c r="D65" i="7"/>
  <c r="E40" i="7"/>
  <c r="E39" i="7"/>
  <c r="E38" i="7"/>
  <c r="E37" i="7"/>
  <c r="D78" i="6"/>
  <c r="D76" i="6"/>
  <c r="D72" i="6"/>
  <c r="D64" i="5"/>
  <c r="D25" i="5"/>
  <c r="E31" i="4"/>
  <c r="D31" i="4"/>
  <c r="D65" i="2"/>
  <c r="D25" i="2"/>
  <c r="D25" i="1"/>
  <c r="E27" i="32" l="1"/>
  <c r="F27" i="32" s="1"/>
  <c r="F23" i="69"/>
  <c r="F25" i="69" s="1"/>
  <c r="D25" i="69"/>
  <c r="F25" i="90"/>
  <c r="F31" i="69"/>
  <c r="G26" i="47"/>
  <c r="G27" i="47" s="1"/>
  <c r="F25" i="53"/>
  <c r="E25" i="69"/>
  <c r="F26" i="90"/>
  <c r="F31" i="97"/>
  <c r="E75" i="21"/>
  <c r="G30" i="47"/>
  <c r="G31" i="47" s="1"/>
  <c r="D26" i="69"/>
  <c r="F26" i="69" s="1"/>
  <c r="F27" i="69" s="1"/>
  <c r="F25" i="94"/>
  <c r="E26" i="69"/>
  <c r="F24" i="114"/>
  <c r="D24" i="11"/>
  <c r="F24" i="11" s="1"/>
  <c r="F27" i="114"/>
</calcChain>
</file>

<file path=xl/sharedStrings.xml><?xml version="1.0" encoding="utf-8"?>
<sst xmlns="http://schemas.openxmlformats.org/spreadsheetml/2006/main" count="9417" uniqueCount="1816">
  <si>
    <t>Category</t>
  </si>
  <si>
    <t>adenosine_antagonists</t>
  </si>
  <si>
    <t>General</t>
  </si>
  <si>
    <t>Altman, R. D., Lang, A. E., &amp; Postuma, R. B.</t>
  </si>
  <si>
    <t>Abbreviation</t>
  </si>
  <si>
    <t>Movement disorders, 26(13), 2427-2431.</t>
  </si>
  <si>
    <t>Year</t>
  </si>
  <si>
    <t>Title</t>
  </si>
  <si>
    <t xml:space="preserve">Caffeine in Parkinson's disease: a pilot open‐label, dose‐escalation study. </t>
  </si>
  <si>
    <t>Journal</t>
  </si>
  <si>
    <t>Mov. Disord.</t>
  </si>
  <si>
    <t>Language</t>
  </si>
  <si>
    <t>English</t>
  </si>
  <si>
    <t>Study characteristics</t>
  </si>
  <si>
    <t>Aims/Objectives</t>
  </si>
  <si>
    <t>To establish the optimal tolerated caffeine dose in iPS-patients and to assess potential motor and nonmotor benefits in a pilot study</t>
  </si>
  <si>
    <t>Study Design</t>
  </si>
  <si>
    <t>Quasi-experimental study</t>
  </si>
  <si>
    <t>pre-post design</t>
  </si>
  <si>
    <t>Start date</t>
  </si>
  <si>
    <t>NA</t>
  </si>
  <si>
    <t>End date</t>
  </si>
  <si>
    <t>Recruitment procedure</t>
  </si>
  <si>
    <t>iPS-patient from outpatient clinics</t>
  </si>
  <si>
    <t>Setting</t>
  </si>
  <si>
    <t>Country</t>
  </si>
  <si>
    <t>Canada</t>
  </si>
  <si>
    <t>Institution</t>
  </si>
  <si>
    <t>Movement Disorders Clinic at the McGill University Health Center</t>
  </si>
  <si>
    <t>Eligibility</t>
  </si>
  <si>
    <t>Inclusion criteria</t>
  </si>
  <si>
    <t>iPS according to unknown clinical criteria</t>
  </si>
  <si>
    <t>Exclusion criteria</t>
  </si>
  <si>
    <t>consumption of caffeine of more than 200 mg daily calculated from standardized nutrition charts; dementia with Mini Mental State Examination of less than 26 and activities of daily living impairment secondary to cognitive loss; active peptic ulcer disease; severe intolerance or allergy to caffeine; recent changes to antiparkinsonian medication during four weeks before entering the trial; supraventricular cardiac arrhythmia; uncontrolled hypertension; current use of prescribed alerting agents; intake of lithium or clozapine; premenopausal women not using effective methods of birth control.</t>
  </si>
  <si>
    <t>Sample/Participant characteristics</t>
  </si>
  <si>
    <t>total</t>
  </si>
  <si>
    <t>Number of participants eligible</t>
  </si>
  <si>
    <t>Number of participants enrolled</t>
  </si>
  <si>
    <t>Number of participants included in analysis</t>
  </si>
  <si>
    <t>Number of withdrawals, exclusions, lost to follow-up</t>
  </si>
  <si>
    <t>Gender (% female of sample size)</t>
  </si>
  <si>
    <t>Age (Mean)</t>
  </si>
  <si>
    <t>Age (SD)</t>
  </si>
  <si>
    <t>Age (Median)</t>
  </si>
  <si>
    <t>H_and_Y (Median)</t>
  </si>
  <si>
    <t>UPDRS mean</t>
  </si>
  <si>
    <t>UPDRS SD</t>
  </si>
  <si>
    <t>Comparators</t>
  </si>
  <si>
    <t>Intervention studied (description)</t>
  </si>
  <si>
    <t>Start with 200mg caffeine qd and increase of 200mg per week until dosage of 1000mg qd; assessment of effect after six weeks</t>
  </si>
  <si>
    <t>Outcome data/Results</t>
  </si>
  <si>
    <t>mean</t>
  </si>
  <si>
    <t>sd</t>
  </si>
  <si>
    <t>sem</t>
  </si>
  <si>
    <t>ci_low</t>
  </si>
  <si>
    <t>ci_high</t>
  </si>
  <si>
    <t>p_value</t>
  </si>
  <si>
    <t>baseline_sd</t>
  </si>
  <si>
    <t>pooled_sd</t>
  </si>
  <si>
    <t>Primary Outcomes</t>
  </si>
  <si>
    <t>UPDRS_item20__caffeine_mean-difference</t>
  </si>
  <si>
    <t>Secondary Outcomes</t>
  </si>
  <si>
    <t>Time to follow-up</t>
  </si>
  <si>
    <t>Statistical method</t>
  </si>
  <si>
    <t>Wilcoxon-signed-rank-test</t>
  </si>
  <si>
    <t>Additional information/Notes</t>
  </si>
  <si>
    <t>Contacted Ron Postuma for further results</t>
  </si>
  <si>
    <t>Researcher</t>
  </si>
  <si>
    <t>QualSyst</t>
  </si>
  <si>
    <t>levodopa</t>
  </si>
  <si>
    <t>Anderson, T. J., Ewer, T. C., Gilchrist, N. L., &amp; Donaldson, I. M.</t>
  </si>
  <si>
    <t>The New Zealand Medical Journal, 105(929), 81-82.</t>
  </si>
  <si>
    <t>Trial of Sinemet CR4 in patients with Parkinson's disease</t>
  </si>
  <si>
    <t>Assess the safety and tolerability of Sinemet CR4 for parkinsonian symptoms</t>
  </si>
  <si>
    <t>New Zealand</t>
  </si>
  <si>
    <t>Department of Neurology, Christchurch Hospital</t>
  </si>
  <si>
    <t>After four months of medication optimisation, levodopa gradually replaced by sinemet with continuous relase formulation during 12 weeks. After this baseline period the study began and results were ascertained after 52 weeks</t>
  </si>
  <si>
    <t>NYUPDRS_tremor_score__levodopa_baseline</t>
  </si>
  <si>
    <t>NYUPDRS_tremor_score__levodopa_follow-up</t>
  </si>
  <si>
    <t>adverse_events</t>
  </si>
  <si>
    <t>pergolide</t>
  </si>
  <si>
    <t xml:space="preserve">Arnold, G., Gasser, T., Storch, A., Lipp, A., Kupsch, A., Hundemer, H. P., &amp; Schwarz, J. </t>
  </si>
  <si>
    <t xml:space="preserve">Archives of gerontology and geriatrics, 41(3), 239-253. </t>
  </si>
  <si>
    <t>High doses of pergolide improve clinical global impression in advanced Parkinson's disease - A preliminary open label study</t>
  </si>
  <si>
    <t>Arch Gerontol Geriatr</t>
  </si>
  <si>
    <t>Evaluate efficacy and saftey of high-dose pergolide treatment in patients with moderate to severe PD and to assess amounts of reduction in levodopa, improvement in UPDRS and adverse reactions</t>
  </si>
  <si>
    <t xml:space="preserve">Quasi-experimental study </t>
  </si>
  <si>
    <t>Germany</t>
  </si>
  <si>
    <t>Multicentre study</t>
  </si>
  <si>
    <t>Advanced iPS according to unknocn criteria; previous treatment with levodopa with stable dosage over three months; previous treament either pergolide, bromocriptine, lisuride, dihydroergocryptine, ropinirole or selegiline at stable dosage over at least one month before entering study</t>
  </si>
  <si>
    <t>Concurrent or past diagnosis of malignant melanoma; history of psychosis including schizophrenia; severe depression; past or current history of non-febrile seizures; active gastric or duodenal ulcer or ulcer within past 12 months; significant or unstable medical condition (including serious hepatic, cardiovascular, pulmonary, renal disease) or serum concentration of any enzyme greater than twice upper limit of reference;  serum creatinine concentration greater than 1.5 times upper limit; pregnancy; lactation or women with childbearing potential w/o medically accepted contraception</t>
  </si>
  <si>
    <t>Patients under medication with bromocriptine, lisuride, alpha-dihydroercocryptine or ropinirole switched to equivalent starting dose pergolide, over twelve weeks pergolide dosage enhanced at 0.5mg steps until 3mg qd and 1mg steps after reaching 3mg qd; levodopa dose weekly or bi-weekly decreased in 100mg steps. Afterwards twelve weeks dosage unchanged, clinical assessment after 24 weeks.</t>
  </si>
  <si>
    <t>UPDRS_III_items20_21__pergolide_baseline</t>
  </si>
  <si>
    <t>UPDRS_III_items20_21__pergolide_follow-up</t>
  </si>
  <si>
    <t>Further Outcomes</t>
  </si>
  <si>
    <t>CGI_baseline</t>
  </si>
  <si>
    <t>CGI_follow-up</t>
  </si>
  <si>
    <t>adenosine_antagonist</t>
  </si>
  <si>
    <t>Bara-Jimenez, W., Sherzai, A., Dimitrova, T., Favit, A., Bibbiani, F., Gillespie, M., ... &amp; Chase, T. N.</t>
  </si>
  <si>
    <t>Neurology, 61(3), 293-296.</t>
  </si>
  <si>
    <t>Adenosine A2A receptor antagonist treatment of Parkinson's disease</t>
  </si>
  <si>
    <t>Neurology</t>
  </si>
  <si>
    <t>evaluate pathogenic and therapeutic potential of adenosine A2A receptor-mediated mechanisms in iPS-patients</t>
  </si>
  <si>
    <t xml:space="preserve">Randomised-controlled trial (RCT)  </t>
  </si>
  <si>
    <t>Unites States</t>
  </si>
  <si>
    <t xml:space="preserve">National Intitutes of Health, Bethesda </t>
  </si>
  <si>
    <t>moderate to advanced iPS according to unknown clinical criteria; stable regimen of levodopa and short-acting dopamine agonists for at least four weeks prior to study</t>
  </si>
  <si>
    <t>history of bilateral intracranial surgery for iPS; premedication with centrally acting medication other than approved antiparkinsonian drugs; hepatotoxic drugs or drugs metabolized by CYP450_3A4; exposure to KW_6002 before or other investigational drug within two months</t>
  </si>
  <si>
    <t>adenosineA2a</t>
  </si>
  <si>
    <t>placebo</t>
  </si>
  <si>
    <t>Patients randomized to a. placebo and KW-6002 group as 1 to 3 ratio. b. KW6002 group received two week placebo, two weeks 40mg qd and two weeks 80mg. Three evaluations with motor functions assessed a. when KW6002 alone, b. KS6002 coadministered with suboptimal and optimal dose, steady state levodopa infusion iv, c. periodically after discontinuation of levodopa</t>
  </si>
  <si>
    <t>UPDRS_III_item20__adenosineA2a_baseline</t>
  </si>
  <si>
    <t>UPDRS_III_item20__adenosineA2a_follow-up</t>
  </si>
  <si>
    <t>paired-samples-t-test; Wilcoxon-signed-rank-test</t>
  </si>
  <si>
    <t>As no information on placebo group was provided, this study is treated as QET for the estimation of effect sizes</t>
  </si>
  <si>
    <t>placebo; apomorphine</t>
  </si>
  <si>
    <t>Barbagallo, G., Nisticò, R., Vescio, B., Cerasa, A., Olivadese, G., Nigro, S., ... &amp; Quattrone, A.</t>
  </si>
  <si>
    <t>Parkinsonism &amp; related disorders, 52, 17-23.</t>
  </si>
  <si>
    <t>The placebo effect on resting tremor in Parkinson's disease: an electrophysiological study</t>
  </si>
  <si>
    <t xml:space="preserve">Parkinsonism Relat. Disord. </t>
  </si>
  <si>
    <t>Assess effects of placebo on resting tremor</t>
  </si>
  <si>
    <t xml:space="preserve">written informed consent </t>
  </si>
  <si>
    <t>Italy</t>
  </si>
  <si>
    <t>University Magna Graecia</t>
  </si>
  <si>
    <t>iPS according to diagnostic criteria as defined by Jankovic et al.; resting tremor with item 20 of UPDRS more than 2 for at least one hand during physical examination; damage to the nigrostriatal dopaminergic system on DAT-SPECT imaging</t>
  </si>
  <si>
    <t>cognitive impairment with an MMSE score of less than 24; neurological, cerebrovascular or thyroid comorbidities; moderate to severe dyskinesias; normal DAT-SPECT;  evidence of brain tumor, marked atrophy, and/or diffuse white matter hyperintensities on MRI; treatment with deep brain stimulation; general exclusion criteria for MRI scanning. </t>
  </si>
  <si>
    <t>Administration of a. placebo and b. apomorphine sc., tremor assessment after 30 and 60 minutes</t>
  </si>
  <si>
    <t>UPDRS_III_item20__apomorphine_baseline</t>
  </si>
  <si>
    <t>UPDRS_III_item20__apomorphine_follow-up</t>
  </si>
  <si>
    <t>UPDRS_III_item20__placebo_baseline</t>
  </si>
  <si>
    <t>UPDRS_III_item20__placebo_follow-up</t>
  </si>
  <si>
    <t>Chi-squared-test; Mann-Whitney-U-test</t>
  </si>
  <si>
    <t>tremor_amplitude_mV__apomorphine_baseline</t>
  </si>
  <si>
    <t>tremor_amplitude_mV__apomorphine_follow-up</t>
  </si>
  <si>
    <t>tremor_amplitude_mV__placebo_baseline</t>
  </si>
  <si>
    <t>tremor_amplitude_mV__placebo_follow-up</t>
  </si>
  <si>
    <t>cabergolin; pergolide</t>
  </si>
  <si>
    <t>Binder, S., Deuschl, G., &amp; Volkmann, J.</t>
  </si>
  <si>
    <t>European neurology, 61(3), 149-153.</t>
  </si>
  <si>
    <t>Effect of Cabergoline on Parkinsonian Tremor Assessed by Long-Term-Actigraphy</t>
  </si>
  <si>
    <t>European Neurology</t>
  </si>
  <si>
    <t xml:space="preserve">Study anti-tremulous effect of cabergoline; validate long-term actigraphy </t>
  </si>
  <si>
    <t>Department of Neurology, Universitaetsklinikum Kiel</t>
  </si>
  <si>
    <t>iPS according to UK Brain Bank criteria; moderate to marked rest tremor at one arm (item 20 UPDRS larger than 2)</t>
  </si>
  <si>
    <t>anticholinergics, budipine or dopamine agonists in current pre-medication; contraindications against dopamine agonists or ergotamine derivates</t>
  </si>
  <si>
    <t>baseline period of 3 days, initial dosage of 0,5mg cabergoline on day 4, titration phase of 1mg increase per week, two weeks maintenance, clinical visits after three and six weeks.</t>
  </si>
  <si>
    <t>UPDRS_III_items20_21__cabergoline_baseline</t>
  </si>
  <si>
    <t>UPDRS_III_items20_21__cabergoline_follow-up</t>
  </si>
  <si>
    <t>tremor_duration_diary__cabergoline_baseline</t>
  </si>
  <si>
    <t>tremor_duration_diary__cabergoline_follow-up</t>
  </si>
  <si>
    <t>tremor_amplitude_diary__cabergoline_baseline</t>
  </si>
  <si>
    <t>tremor_amplitude_diary__cabergoline_follow-up</t>
  </si>
  <si>
    <t>tremor_duration_actigraphy__cabergoline_baseline</t>
  </si>
  <si>
    <t>tremor_duration_actigraphy__cabergoline_follow-up</t>
  </si>
  <si>
    <t>tremor_amplitude_actigraphy__cabergoline_baseline</t>
  </si>
  <si>
    <t>tremor_amplitude_actigraphy__cabergoline_follow-up</t>
  </si>
  <si>
    <t xml:space="preserve">UPDRS_III_item20__cabergoline_baseline </t>
  </si>
  <si>
    <t>UPDRS_III_item20__cabergoline_follow-up</t>
  </si>
  <si>
    <t xml:space="preserve">UPDRS_III_item21__cabergoline_baseline </t>
  </si>
  <si>
    <t>UPDRS_III_item21__cabergoline_follow-up</t>
  </si>
  <si>
    <t>clozapine</t>
  </si>
  <si>
    <t>Bonuccelli, U., Ceravolo, R., Salvetti, S., D'Avino, C., Del Dotto, P., Rossi, G., &amp; Murri, L.</t>
  </si>
  <si>
    <t>Neurology, 49(6), 1587-1590.</t>
  </si>
  <si>
    <t>Clozapine in Parkinson's disease tremor. Effects of acute and chronic administration.</t>
  </si>
  <si>
    <t>To evaluate the effects of acute clozapine administration on parkinsonian mixed tremor, to establish the predictive value for long-term response and to determine differences in pharmacologic response of resting and postural tremor</t>
  </si>
  <si>
    <t>Randomised-controlled trial (RCT)</t>
  </si>
  <si>
    <t>Department of Neurosciences, University of Pisa</t>
  </si>
  <si>
    <t>iPS according to unknown clinical criteria; presence of resting and postural tremor poorly responsive to levodopa</t>
  </si>
  <si>
    <t>H_and_Y (Mean)</t>
  </si>
  <si>
    <t>all antiparkinsonian medication was withdrawn twelve hours before. Administration of a 12.5mg single dose of a. clozapine or b. placebo. UPDRS at baseline and at ten minute intervals for to hours. 15 iPS-patients with more than 50 percent improvement included in chronic, open-phase study for 15.5 months.</t>
  </si>
  <si>
    <t>UPDRS_III_item20_21__clozapine_baseline</t>
  </si>
  <si>
    <t>UPDRS_III_items20_21__clozapine_follow-up</t>
  </si>
  <si>
    <t>UPDRS_III_items20_21__placebo_baseline</t>
  </si>
  <si>
    <t>UPDRS_III_items20_21__placebo_follow-up</t>
  </si>
  <si>
    <t>included patients had no psychosis; only data from long-term study included which was restricted to responsive patients</t>
  </si>
  <si>
    <t>mao_inhibitor; levodopa</t>
  </si>
  <si>
    <t>Brannan, T., &amp; Yahr, M. D.</t>
  </si>
  <si>
    <t>Annals of Neurology: Official Journal of the American Neurological Association and the Child Neurology Society, 37(1), 95-98.</t>
  </si>
  <si>
    <t>Comparative Study of Selegiline Plus L-Dopa-Carbidopa Versus L-Dopa-Carbidopa Alone in the Treatment of Parkinson's Disease</t>
  </si>
  <si>
    <t>Ann. Neurol.</t>
  </si>
  <si>
    <t>To evaluate the effects of selegiline as add-on to levodopa and carbidopa vs. the effect of levodopa and carbidopa alone</t>
  </si>
  <si>
    <t>United States</t>
  </si>
  <si>
    <t>Department of Neurology, Mount Sinai School of Medicine, New York</t>
  </si>
  <si>
    <t>iPS according to unknown clinical criteria; therapy with selegiline 5mg bid; continued use and add-on of levodopa-carbidopa later</t>
  </si>
  <si>
    <t>treatment with dopamine agonists</t>
  </si>
  <si>
    <t>selegiline</t>
  </si>
  <si>
    <t>subjects in both groups randomly matched by computer for age, years of iPS at disease onset and years of treatment. Both groups under levodopa and carbidopa therapy. Patients assessed at regular intervals and rated clinically</t>
  </si>
  <si>
    <t>UPDRS_items20_21__selegiline_baseline</t>
  </si>
  <si>
    <t>UPDRS_items20_21__selegiline_follow-up</t>
  </si>
  <si>
    <t>UPDRS_items20_21__levodopa_baseline</t>
  </si>
  <si>
    <t>UPDRS_items20_21__levodopa_follow-up</t>
  </si>
  <si>
    <t>paired-samples-t-test</t>
  </si>
  <si>
    <t>due to long period of time between visits, this is no real "intervention" but a description of how the disease developed; hence data from the first year was used</t>
  </si>
  <si>
    <t>ropinirole</t>
  </si>
  <si>
    <t>Brooks, D. J., Abbott, R. J., Lees, A. J., Martignoni, E., Philcox, D. V., Rascol, O., ... &amp; Sagar, H. J.</t>
  </si>
  <si>
    <t>Clinical neuropharmacology, 21(2), 101-107.</t>
  </si>
  <si>
    <t xml:space="preserve">A placebo-controlled evaluation of ropinirole, a novel D2 agonist, as sole dopaminergic therapy in Parkinson's disease. </t>
  </si>
  <si>
    <t>Clin Neuropharm</t>
  </si>
  <si>
    <t>To evaluate the effects and the safety of ropinirole on iPS-patients</t>
  </si>
  <si>
    <t>Centres in Europe and South Africa</t>
  </si>
  <si>
    <t>Multicenter study</t>
  </si>
  <si>
    <t>iPS according to unknown clinical criteria; age between 30 and 80 years; Hoehn and Yahr stages between 1 and 4; necessity of dopaminergic therapy</t>
  </si>
  <si>
    <t>Patients with childbearing potential; patients with abnormalities in their medical history, physical examination or diagnostic testing that were deemed to be clinically significant; patients with orthostatic hypotension</t>
  </si>
  <si>
    <t>Randomisation to a. ropinirole or b. placebo on a 2:1 ratio. Dosage of study medication was increased at .5 steps to a maximal dosage of 5mg bid, with dosages being adjusted at the discretion of the investigator, e.g., if side effects appeared</t>
  </si>
  <si>
    <t>UPDRS_III_item20__ropinirole_mean-difference</t>
  </si>
  <si>
    <t>UPDRS_III_item20__levodopa_mean-difference</t>
  </si>
  <si>
    <t xml:space="preserve">adverse_events </t>
  </si>
  <si>
    <t>ANOVA</t>
  </si>
  <si>
    <t>Data received from GSK upon request</t>
  </si>
  <si>
    <t>beta_blocker</t>
  </si>
  <si>
    <t>Bullock, A., Kaul, I., Li, S., Silber, C., Doherty, J., &amp; Kanes, S. J.</t>
  </si>
  <si>
    <t>J Neurol Sci. 2021 Feb 15;421:117277. </t>
  </si>
  <si>
    <t xml:space="preserve">Zuranolone as an oral adjunct to treatment of Parkinsonian tremor: A phase 2, open-label study. </t>
  </si>
  <si>
    <t>J Neurol Sci</t>
  </si>
  <si>
    <t>Explore effects of zuranolone on iPS-tremor as an add-on therapy</t>
  </si>
  <si>
    <t>Pharma: Sage Therapeutics</t>
  </si>
  <si>
    <t>iPD defined by unknown clinical criteria; tremor sum score MDS-UPDRS greater than 7; tremor motor score greater than 2 on one limb in ON medication state; stable dosage of dopaminergic medication</t>
  </si>
  <si>
    <t>Medication with amatadine or anticholinergics</t>
  </si>
  <si>
    <t>Treatmenr with oral zuranolone 20 or 30mg qd for 7 days</t>
  </si>
  <si>
    <t>MDS_UPDRS_III_items10_15_16_17_18__zuranolone_baseline</t>
  </si>
  <si>
    <t>MDS_UPDRS_III_items10_15_16_17_18__zuranolone_follow-up</t>
  </si>
  <si>
    <t>repeated-measures general-mixed-model</t>
  </si>
  <si>
    <t>safinamide</t>
  </si>
  <si>
    <t>Cattaneo, C., Sardina, M., &amp; Bonizzoni, E.</t>
  </si>
  <si>
    <t xml:space="preserve">J Parkinsons Dis. 2016;6(1):165-73. </t>
  </si>
  <si>
    <t>Safinamide as Add-On Therapy to Levodopa in Mid-to Late-Stage Parkinson’s Disease Fluctuating Patients: Post hoc Analysesof Studies 016 and SETTLE</t>
  </si>
  <si>
    <t>J Parkinsons Dis</t>
  </si>
  <si>
    <t>To evaluate the clinical effects of safinamide on motor fluctuations and cardinal symptoms of iPS-patients</t>
  </si>
  <si>
    <t>Department of Medical, Zambon, Bresso</t>
  </si>
  <si>
    <t>mid to late-stage PD; motor fluctuations while receiving levodopa</t>
  </si>
  <si>
    <t>medication with another MAO-B inhibitor</t>
  </si>
  <si>
    <t>study 116: two doses of safinamide (50 and 100) used in two groups  (for post hoc analyses 100 mg included only, Study SETTLE 50 mg daily for 2 weeks, afterwards 100 mg Safinamide. For post hoc analyses treatment effects of safinamide 100 mg once daily versus placebo  during double-blind phases of Stidy 016 and SETTLE. Data of both studies were pooled. 487 received 100 mg safinamide, 484 placebo.</t>
  </si>
  <si>
    <t>UPDRS_III_items20_21__safinamide_mean-difference</t>
  </si>
  <si>
    <t>UPDRS_III_items20_21__placebo_mean-difference</t>
  </si>
  <si>
    <t>ANCOVA</t>
  </si>
  <si>
    <t>Studies of interest are doi:10.1002/mds.25751 and doi:10.1001/jamaneurol.2016.4467. Data received from author</t>
  </si>
  <si>
    <t>Choi, C., Sohn, Y. H., Lee, J. H., &amp; Kim, J. S.</t>
  </si>
  <si>
    <t>Journal of the neurological sciences, 172(1), 12-16.</t>
  </si>
  <si>
    <t xml:space="preserve">The effect of long-term levodopa therapy on depression level in de novo patients with Parkinson’s disease. </t>
  </si>
  <si>
    <t>J. Neurol. Sci.</t>
  </si>
  <si>
    <t>To evaluate the effects of levodopa therapy on depression in de novo patients and additionally motor scores</t>
  </si>
  <si>
    <t>Korea</t>
  </si>
  <si>
    <t>Department of Neurology and the Brain Research Institute, Yonsei University College of Medicine</t>
  </si>
  <si>
    <t>iPS according to clinical criteria of the Core Assessment Program for Intracerebral Transplantation</t>
  </si>
  <si>
    <t>Patients with structural lesions in the MRI; less than 24 points in the Mini Mental State Examination</t>
  </si>
  <si>
    <t>UPDRS_item20__levodopa_baseline</t>
  </si>
  <si>
    <t>UPDRS_item20__levodopa_follow-up</t>
  </si>
  <si>
    <t>paired-t-test</t>
  </si>
  <si>
    <t>apomorphine</t>
  </si>
  <si>
    <t>Çınar, N., Şahin, Ş., &amp; Karşıdağ, S.</t>
  </si>
  <si>
    <t>Nobel Med 2013; 9(2): 100-103</t>
  </si>
  <si>
    <t>Could Apomorphine be an effective treatment option for refractory tremor in Parkinsons disease: a pilot study</t>
  </si>
  <si>
    <t>Nobel Med</t>
  </si>
  <si>
    <t>To evaluate effects of apomorphine sc as an add-on for levodopa refractory tremor in iPS</t>
  </si>
  <si>
    <t>Open-label study thereafter</t>
  </si>
  <si>
    <t>Turkey</t>
  </si>
  <si>
    <t>Maltepe University Istanbul</t>
  </si>
  <si>
    <t>IPS-patients according to unknown clinical criteria; stable dopaminergic medication; medically refractory tremor</t>
  </si>
  <si>
    <t>other significant diseases</t>
  </si>
  <si>
    <t>Apomorphine was administered at increasing dosages with 1, 2, 4mg every 15 minutes in OFF medication state</t>
  </si>
  <si>
    <t>UPDRS_III_items20_21__apomorphine_baseline</t>
  </si>
  <si>
    <t>UPDRS_III_items20_21__apomorphine_follow-up</t>
  </si>
  <si>
    <t>after quasi-experimental study an observational study was appended</t>
  </si>
  <si>
    <t>UPDRS_III_item22__apomorphine_baseline</t>
  </si>
  <si>
    <t>UPDRS_III_item22__apomorphine_follow-up</t>
  </si>
  <si>
    <t>UPDRS_III_item23_24_25_26__apomorphine_baseline</t>
  </si>
  <si>
    <t>UPDRS_III_item23_24_25_26__apomorphine_follow-up</t>
  </si>
  <si>
    <t>UPDRS_III_total__apomorphine_baseline</t>
  </si>
  <si>
    <t>UPDRS_III_total__apomorphine_follow-up</t>
  </si>
  <si>
    <t>other</t>
  </si>
  <si>
    <t>Craig, L. H., Svircev, A., Haber, M., &amp; Juncos, J. L.</t>
  </si>
  <si>
    <t>Movement disorders: official journal of the Movement Disorder Society, 21(12), 2127-2133</t>
  </si>
  <si>
    <t>Controlled Pilot Study of the Effects of Neuromuscular Therapy in Patients with Parkinson's Disease</t>
  </si>
  <si>
    <t>Mov. Disord</t>
  </si>
  <si>
    <t>To evaluate the effects of neuromuscular therapy on motor symptoms of iPS-patients</t>
  </si>
  <si>
    <t>Case-control-trial</t>
  </si>
  <si>
    <t>Atlanta School of Massage</t>
  </si>
  <si>
    <t>IPS according to unknown clinical criteria; moderately advanced disease stage; optimal and stable medication for at least one month; no expected medication changes within four months; MMST greater than 20; no major active medical or psychiatric conditions</t>
  </si>
  <si>
    <t>nmt</t>
  </si>
  <si>
    <t>music-relaxation-control</t>
  </si>
  <si>
    <t>na</t>
  </si>
  <si>
    <t>Randomisation to a. group receiving NMT and b. active control group receiving music relaxation. Two 45 minutes sessions weekly for four weeks. Identical relaxation music during all sessions. Data collection at baseline, week 4 and 8 days after finishing treatment</t>
  </si>
  <si>
    <t>UPDRS_III_items20_21__nmt_baseline</t>
  </si>
  <si>
    <t>UPDRS_III_items20_21__nmt_follow-up</t>
  </si>
  <si>
    <t>UPDRS_III_items20_21__music-relaxation-control_baseline</t>
  </si>
  <si>
    <t>UPDRS_III_items20_21__music-relaxation-control_follow-up</t>
  </si>
  <si>
    <t>repeated-measures linear model</t>
  </si>
  <si>
    <t>Dirkx, M. F., Zach, H., van Nuland, A., Bloem, B. R., Toni, I., &amp; Helmich, R. C.</t>
  </si>
  <si>
    <t>Brain, 142(10), 3144-3157.</t>
  </si>
  <si>
    <t>Cerebral differences between dopamine-resistant and dopamine-responsive Parkinson’s tremor</t>
  </si>
  <si>
    <t>BRAIN</t>
  </si>
  <si>
    <t>To ascertain increased tremor-related activity in non-dopaminergic brain regions, particularly the cerebellum in patients suffering from iPS with good response to dopaminergic therapy versus those without</t>
  </si>
  <si>
    <t>Patients recruited from outpatients clinic by two independent movement disorder specialists</t>
  </si>
  <si>
    <t>Netherlands</t>
  </si>
  <si>
    <t>Donders Institute, Radboud University, Nijmegen</t>
  </si>
  <si>
    <t>iPS-patient according to UK Brain Bank criteria; resting tremor that is MDS-UPDRS item 17 greater than 0 at least at one limb</t>
  </si>
  <si>
    <t>neurologic comorbidities; signs of psychogenic tremor; allergies; MMSE score less than 25; FAB score less than 13; improvement of less than 0,2 after levodopa in akinesia and rigidity MDS-UPDRS subscores</t>
  </si>
  <si>
    <t>Non-reponders</t>
  </si>
  <si>
    <t>responders</t>
  </si>
  <si>
    <t>Administration of  a. levodopa or placebo (200mg).</t>
  </si>
  <si>
    <t>MDS_UPDRS_III_items10_15_16_17_18__levodopa_baseline</t>
  </si>
  <si>
    <t>MDS_UPDRS_III_items10_15_16_17_18__levodopa_follow-up</t>
  </si>
  <si>
    <t>MDS_UPDRS_III_items10_15_16_17_18__placebo_baseline</t>
  </si>
  <si>
    <t>MDS_UPDRS_III_items10_15_16_17_18__placebo_follow-up</t>
  </si>
  <si>
    <t xml:space="preserve">adverse events </t>
  </si>
  <si>
    <t>Data upon personal communication from Dirkx and Rick Helmich; Data corresponds to what was reported by Zach et al. 2020</t>
  </si>
  <si>
    <t>levodopa; entacapone</t>
  </si>
  <si>
    <t>Eggert, K., Skogar, Oe., Amar, K., Luotonen, L., Kuoppamaeki, M., Leinonen, M., ... &amp; Oertel, W.</t>
  </si>
  <si>
    <t>Journal of neural transmission, 117(3), 333-342.</t>
  </si>
  <si>
    <t>Direct switch from levodopa/benserazide or levodopa/carbidopa to levodopa/carbidopa/entacapone in Parkinson’s disease patients with wearing-off: efficacy, safety and feasibility—an open-label, 6-week study.</t>
  </si>
  <si>
    <t>J. Neural Transm.</t>
  </si>
  <si>
    <t>To investigate the efficacy, safety and feasibility of direct switch from
either levodopa and carbidopa or levodopa and benserazide to levodopa with carbidopa and entacapone in study design resembling routine
clinical practice in iPS-patients with wearing-off</t>
  </si>
  <si>
    <t>Centers in Germany, UK and Sweden</t>
  </si>
  <si>
    <t>iPS-patient according to unknown clinical criteria; age of at least 35 years; Hoehn and Yahr stage of 1 to 3; wearing-off, defined as more than one positive symptom in the WOQ9 questionnaire; treatment with standard release levodopa and decarboxylase inhibitor at dosing frequency of three or four daily dosages</t>
  </si>
  <si>
    <t>intake of COMT inhibitor six weeks prior to baseline; concomitant treatment with non-selective MAO inhibitor; intake of apomorphine; concomitant medication with drugs with anti-dopaminergic action, such as reserpine, antipsychotics drugs if it did not exceed one evening dose of atypical antipsychotic drug; medication with D2 receptor blocking antiemetics, except domperidone; patients with unpredictable OFF periods or dyskinesia; clinically significant concomitant diseases; abnormal laboratory values or electrocardiogram; females who were of childbearing potential, pregnant or lactating</t>
  </si>
  <si>
    <t>levodopa-benserazid</t>
  </si>
  <si>
    <t>levodopa-carbidopa</t>
  </si>
  <si>
    <t>during baseline period of two weeks change in dosage between levodopa with decarboxlase inhibitor to lce with the possibility to adjust for dosage during this time. During six weeks period the medication had to remain unchanged</t>
  </si>
  <si>
    <t>UPDRS_items20_21__arm1_baseline</t>
  </si>
  <si>
    <t>UPDRS_items20_21__arm1_follow-up</t>
  </si>
  <si>
    <t>UPDRS_items20_21__arm2_baseline</t>
  </si>
  <si>
    <t>UPDRS_items20_21__arm2_follow-up</t>
  </si>
  <si>
    <t>repeated-measures ANCOVA</t>
  </si>
  <si>
    <t>rasagiline</t>
  </si>
  <si>
    <t>Elmer, L. W.</t>
  </si>
  <si>
    <t xml:space="preserve">Parkinsonism Relat Disord. 2013 Nov;19(11):930-6. </t>
  </si>
  <si>
    <r>
      <rPr>
        <sz val="10"/>
        <color rgb="FF000000"/>
        <rFont val="Calibri"/>
        <family val="2"/>
        <charset val="1"/>
      </rPr>
      <t xml:space="preserve">Rasagiline adjunct therapy in patients with Parkinson's disease: </t>
    </r>
    <r>
      <rPr>
        <i/>
        <sz val="10"/>
        <color rgb="FF000000"/>
        <rFont val="Calibri"/>
        <family val="2"/>
        <charset val="1"/>
      </rPr>
      <t>Post hoc</t>
    </r>
    <r>
      <rPr>
        <sz val="10"/>
        <color rgb="FF000000"/>
        <rFont val="Calibri"/>
        <family val="2"/>
        <charset val="1"/>
      </rPr>
      <t xml:space="preserve"> analyses of the PRESTO and LARGO trials</t>
    </r>
  </si>
  <si>
    <t xml:space="preserve">assess clinical effect of rasagiline 1mg/day on cardinal PD symptoms and motor fluctuations in defined patient subgrous using data from PRESTO and LARGO. </t>
  </si>
  <si>
    <t>as in LARGO / PRESTO trial, not reported here</t>
  </si>
  <si>
    <t>Department of Neurology, University of Toledo</t>
  </si>
  <si>
    <t>iPS according to clinical criteria; disease duration of less than 1.5 years from diagnosis; No necessity for anti parkinsonian treatment and forseable stable situation for nine months; willingness and ability to give informed consent</t>
  </si>
  <si>
    <t>PRESTO</t>
  </si>
  <si>
    <t>Subjects aged less than 30 or more than 80 years; loss of postural reflexes; UPDRS Tremor scores of three or greater in any limb; Hoehn and Yahr stage three or greater;  presence of freezing while walking; subjects with history repeated strokes with stepwise progression of parkinsonian features, repeated head injury or history of definite encephalitis , sustained remission, presence of supranuclear gaze palsy, cerebellar signs, concomitant early severe autonomic involvement, presence of Babinski's sign, presence of a cerebral tumour or communicating hydrocephalus, MPTP exposure, Oculogyric crises; subjects who have had previous use of rasagiline or selegiline, subjects trated with other anti-PD medication at any time prior to baseline; subjects having used any other anti-PD medication (including anticholinergics) for less than three weeks prior to the three month period preceding baseline whose anti-PD medication is intentionally ceased in order for the subject to enter the study; subjects who have a clinically significant or unstable medical or surgical condition that may preclude safe and complete participation; Hypertensive subjects whose BP is not well controlled according to the medical record or as observed during the week of home BP recording prior to baseline; subjects diagnosed with melanoma based on the screening dermatologic examination, or with a history of melanoma; subjects with suspicious lesions at baseline who do not undergo biopsy; subjects with significant cognitive impairment as defined by MMSE score &lt; 26; subjects with clinically significant psychiatric illness, including major depression [Beck Depression Inventory (short form) ≥15; subjects with a history of alcohol or substance abuse within the past 2 years; subjects who have taken any experimental medications within 60 days prior to baseline; subjects who have used coenzyme Q10 (in daily doses &gt; 300 mg) within 120 days prior to baseline; subjects who have used sympathomimetics (including over-the-counter remedies - nasal or oral), dextromethorphan, pethidine or St. John's Wort within the 7 days prior to baseline; Subjects who have used antidepressants within 42 days prior to baseline; subjects who have used ciprofloxacin, a potent CYP 1A2 inhibitor within 7 days prior to baseline; subjects who have used MAO inhibitors including reserpine or methyldopa within the three months prior to baseline, or treatment with an anti-emetic or antipsychotic medication with central dopamine antagonist activity within the six months prior to baseline; women who are not postmenopausal, surgically sterilized, or using adequate birth control [oral birth control pills, IUD, or a long acting injectable form of contraception; barrier methods alone (i.e., condom) are not sufficient]. Women of childbearing potential without a negative pregnancy test at screening. Nursing women</t>
  </si>
  <si>
    <t>Post-hoc analysis of effects of rasagiline as add-on to existing dopaminergic therapy. Data of two studies (LARGO and PRESTO) pooled with analyses of all cardinal symptoms but also subgroup analyses</t>
  </si>
  <si>
    <t>UPDRS_item16_20_21__rasagiline_adjusted-mean-difference</t>
  </si>
  <si>
    <t>UPDRS_item16_20_21__placebo_adjusted-mean-difference</t>
  </si>
  <si>
    <t>182; 126</t>
  </si>
  <si>
    <t>ITT; ANCOVA</t>
  </si>
  <si>
    <t>Teva pharmaceuticals refused to provide data without statistician so only the data available could be used; adjusted mean difference with respect to baseline was provided (cf. Supplementary material from Elmer et al. 2013); time to follow-up is LARGO and PRESTO (in that order)</t>
  </si>
  <si>
    <t>UPDRS_item16_20_21__rasagiline_baseline</t>
  </si>
  <si>
    <t>UPDRS_item16_20_21__placebo_baseline</t>
  </si>
  <si>
    <t>piribedil</t>
  </si>
  <si>
    <t>Evidente, V. G. H., Esteban, R. P., Domingo, F. M., Carbajal, L. O., &amp; Parazo, M. A.</t>
  </si>
  <si>
    <t>Parkinsonism &amp; related disorders, 10(2), 117-121.</t>
  </si>
  <si>
    <t xml:space="preserve"> Piribedil as an adjunct to levodopa in advanced Parkinson's disease: the Asian experience.</t>
  </si>
  <si>
    <t>To report experiences with piribedil as adjunct therapy to levodopa in Filipino patients with advanced iPS</t>
  </si>
  <si>
    <t>Philippines</t>
  </si>
  <si>
    <t>Department of Neurology, Mayo Clinic, Scottsdale USA and St Luke's Medical Center Qezon City, Philippines</t>
  </si>
  <si>
    <t>iPS according to Queens Square Brain Bank criteria; age 25-85 years; Hoehn and Yahr stadium 2.5 to 4; motor fluctuations; levodopa intake at least 3qd</t>
  </si>
  <si>
    <t>Atypical parkinsonism; pregnancy; sexually active reproductive female patients; history of significant cardiovascular, renal, hepatic, psychiatric disease; signs of dementia; history of neuroleptics intake except clozapine; orthostatic hypotension</t>
  </si>
  <si>
    <t>After baseline evaluation at week 0, start of piribedil treatment 50mg qd, slow increase of 50mg per week, evaluation after final week with UPDRS.</t>
  </si>
  <si>
    <t>UPDRS_III_item20__piribedil_baseline</t>
  </si>
  <si>
    <t>UPDRS_III_item20__piribedil_follow-up</t>
  </si>
  <si>
    <t>Wilcoxon-signed-ranked-test; paried-samples-t-test; McNemar-test</t>
  </si>
  <si>
    <t xml:space="preserve">Further Outcomes </t>
  </si>
  <si>
    <t>UPDRS_III_item20__piribedil_change</t>
  </si>
  <si>
    <t>UPDRS_III_item21__piribedil_change</t>
  </si>
  <si>
    <t>UPDRS_III_item21__piribedil_baseline</t>
  </si>
  <si>
    <t>UPDRS_III_item21__piribedil_follow-up</t>
  </si>
  <si>
    <t>UPDRS_III_items20_21__piribedil_baseline</t>
  </si>
  <si>
    <t>UPDRS_III_items20_21__piribedil_follow-up</t>
  </si>
  <si>
    <t>Fischer, P. A., Baas, H., &amp; Hefner, R.</t>
  </si>
  <si>
    <t>Journal of Neural Transmission - Parkinson's Disease and Dementia Section, 2(3), 233-238.</t>
  </si>
  <si>
    <t>Treatment of parkinsonian tremor with clozapine.</t>
  </si>
  <si>
    <t>To assess the therapeutic efficacy of clozapine on parkinsonian tremor</t>
  </si>
  <si>
    <t>Department of Neurology, University of Frankfurt/M.</t>
  </si>
  <si>
    <t>severe PD tremor w/o satisfying response to conventional therapy</t>
  </si>
  <si>
    <t>previous medication with antichoinergics or beta-blockers discontinued, clozapine started at 25qd, stepwise increase until improvement or side effects occured. Clinical examinations twice before start and at days 3,7,10,17 and 21 during titration period and 30 and 90 during follow up</t>
  </si>
  <si>
    <t>CURS_tremor_items__clozapine_baseline</t>
  </si>
  <si>
    <t>CURS_tremor_items__clozapine_follow-up</t>
  </si>
  <si>
    <t>Sweets scale part I baseline</t>
  </si>
  <si>
    <t>Sweets scale part II baseline</t>
  </si>
  <si>
    <t>physical_exercise</t>
  </si>
  <si>
    <t>Frazzitta, G., Abbruzzese, G., Bertotti, G., Boveri, N., Pezzoli, G., &amp; Maestri, R.</t>
  </si>
  <si>
    <t>NeuroRehabilitation, 33(2), 299-303.</t>
  </si>
  <si>
    <t>Effectiveness of an intensive rehabilitation treatment on different Parkinson's disease subtypes</t>
  </si>
  <si>
    <t>Neuro Rehabilitation</t>
  </si>
  <si>
    <t>To evaluate whether different iPS-subtypes respond differently to physical excercise</t>
  </si>
  <si>
    <t>consecutive patients at movement disorder ambulatories of the Rehabilitation Institue of Montescano</t>
  </si>
  <si>
    <t xml:space="preserve">Italy </t>
  </si>
  <si>
    <t>Rehabilitation Institute of Montescano</t>
  </si>
  <si>
    <t>clinically probable iPS according to criteria by Gelb et al.; ability to walk without any physical assistanc; MMST less than 26; no comorbidity unrelated to iPS; no vestibular or visual dysfunction limiting locomotion or balance; stable antiparkinsonian medications stable for more than 8 weeks</t>
  </si>
  <si>
    <t>uncertain data according to tremor</t>
  </si>
  <si>
    <t>arPD</t>
  </si>
  <si>
    <t>tdPD</t>
  </si>
  <si>
    <t>four week cycle of physiotherapy with three daily sessions of one hour a. cardiovascular warm up, b. relaxation excercise c. muscle stretching, d. improving function of abdominal and sine muscles, e. secondary balance and gait excercise with stabilometric platform with visual cue and treadmill f. third occupational therapy for autonomy in daily iving activities). Examination by neurologists during OFF, i.e. after 12 hours medication withdrawal at baseline and at end of rehab treatment.</t>
  </si>
  <si>
    <t>UPDRS_items20_21__physiotherapy_baseline</t>
  </si>
  <si>
    <t>UPDRS_items20_21__physiotherapy_follow-up</t>
  </si>
  <si>
    <t>two-way-ANOVA; paired-samples-t-test; Mann-Whitney-U-test, Chi-squared-test</t>
  </si>
  <si>
    <t>Contacted authors, no raw data present anymore</t>
  </si>
  <si>
    <t>Friedman, J. H., Koller, W. C., Lannon, M. C., Busenbark, K., Swanson-Hyland, E., &amp; Smith, D.</t>
  </si>
  <si>
    <t xml:space="preserve">Neurology 1997 Apr;48(4):1077-81. </t>
  </si>
  <si>
    <t>Benztropine versus clozapine for the treatment of tremor in Parkinson's disease</t>
  </si>
  <si>
    <t>To compare low-dose clozapine to benztropine for treatment of tremor in iPS</t>
  </si>
  <si>
    <t>Division of Neurology, Memorial Hospital of Rhode Island, Providence and Department of Neurology, University of Kansas Medical School, Kansas City</t>
  </si>
  <si>
    <t>IPS according to unknown clinical criteria; ability to give informed consent; age from 21 to 80 years; score greater than 1 in UPDRS tremor items</t>
  </si>
  <si>
    <t>blood dyscrasia history; uncontrolled seizures; orthostatic hypotension; prostatism; narrow angle glaucoma; dopamine blocking drugs within three months of study entry; intake of betablocker; intake of alpha-metyl-dopa-reserpine; concomitant medication with dopamine agonists, anticholinergics, amantadine or antihistamines; other drugs associated wih agranulocytosis within preceeding four weeks; significant adverse events with either anticholingergics or clozapine; white blood count of less than 4000 per microliter; drug abuse; pregnant or lactating women; female fertiles</t>
  </si>
  <si>
    <t>benztropine</t>
  </si>
  <si>
    <t>clozapine and benztropine repackaged into identical capsules. Tremor measured by UPDRS and Fahn-Tolosa-Marin tremor scale at baseline and every two weeks. Videotapes at baseline and at maximum dose. a. Benztropine first 0.75mg qd increased each week by 0.75 mg to twice daily regimen. b. Clozapine first 12.5mg qd, increased by 12.5mg to twice daily regimen. Maximum doses of a. 4.5mg benztropine or 75mg clozapine daily. Ceiling dose for 1 week and maximum duration for each arm six weeks with two week washout. Second arm with other drug (clozapine or benzperidine, respectively)</t>
  </si>
  <si>
    <t>UPDRS_III_tremor_score__benztropin_baseline</t>
  </si>
  <si>
    <t>UPDRS_III_tremor_score__benztropin_follow-up</t>
  </si>
  <si>
    <t>UPDRS_III_tremor_score__clozapine_baseline</t>
  </si>
  <si>
    <t>UPDRS_III_tremor_score__clozapine_follow-up</t>
  </si>
  <si>
    <t>Sign-test</t>
  </si>
  <si>
    <t>tremor scores are not explained so it remains unclear which items of the UPDRS are referred to; SD according to https://atozmath.com/example/CONM/Ch2_CombinedSD.aspx?he=e</t>
  </si>
  <si>
    <t>FTMTRS__benztropin_baseline</t>
  </si>
  <si>
    <t>FTMTRS__benztropin_follow-up</t>
  </si>
  <si>
    <t>FTMTRS__clozapine_baseline</t>
  </si>
  <si>
    <t>FTMTRS__clozapine_follow-up</t>
  </si>
  <si>
    <t>UPDRS_III_total_score__benztropin_baseline</t>
  </si>
  <si>
    <t>UPDRS_III_total_score__benztropin_follow-up</t>
  </si>
  <si>
    <t>UPDRS_III_total_score__clozapine_baseline</t>
  </si>
  <si>
    <t>UPDRS_III_total_score__clozapine_follow-up</t>
  </si>
  <si>
    <t>Parkinson Study Group</t>
  </si>
  <si>
    <t>N Engl J Med. 1999 Mar 11;340(10):757-63</t>
  </si>
  <si>
    <t>Low Dose Clozapine for the treatment of drug-induced psychosis in Parkinson's disease</t>
  </si>
  <si>
    <t>N Engl J Med</t>
  </si>
  <si>
    <t>To evaluate effects of low-dose clozapine for treatment of drug-induced psychosis and motor functions of iPS-patients</t>
  </si>
  <si>
    <t>USA</t>
  </si>
  <si>
    <t>Memorial Hospital Rhode Island</t>
  </si>
  <si>
    <t>iPS according to clinical criteria, that is when three of four cardinal symptoms were present; psychosis induced by antiparkinsonian drugs which were severe enough to require treatment; duration of psychosis more than four weeks</t>
  </si>
  <si>
    <t>history of leukopenia; dopamine-blocking medication within three months before study; neuroleptic drug adminstered as depot within one year before study; change in anxiolytic or antidepressant medication within one month before study; orthostatic hypotension; previous intake of clozapine; uncontrolled angina; uncontrolled seizures; aquired immunodeficiency syndrome</t>
  </si>
  <si>
    <t>Patients randomly assigned to a. clozapine or b. placebo, double blind evaluation for four weeks. Baseline physical examination. Clozapine started at 6.25mg qd, which could be increased once between weekly office visits. At end of fourth week all tests repeated. Possible doses of clozapine between from 6.25mg to 50mg qd</t>
  </si>
  <si>
    <t>UPDRS_III_items20_21__clozapine_mean-difference</t>
  </si>
  <si>
    <t>ANOVA; two-samples-t-test; Chi-squared-test</t>
  </si>
  <si>
    <t>principal investigator was contacted for raw values, PSG replied and provided information</t>
  </si>
  <si>
    <t>dopamine_agonist</t>
  </si>
  <si>
    <t>Glass, J.</t>
  </si>
  <si>
    <t>Aktuelle Neurologie, 30(9), 428-432.</t>
  </si>
  <si>
    <t>High Dose Treatment of Parkinson's disease with alpha-Dihydroergocryptine</t>
  </si>
  <si>
    <t xml:space="preserve">Akt Neurol </t>
  </si>
  <si>
    <t>German</t>
  </si>
  <si>
    <t>per-post design</t>
  </si>
  <si>
    <t>25 outpatient clinics and hospitals in Germany</t>
  </si>
  <si>
    <t>IPS according to unknown clinical criteria; clinical decision to initiate or increase dosage of dihydroergocriptin</t>
  </si>
  <si>
    <t>Medication with concomitant dopamine agonist</t>
  </si>
  <si>
    <t>individual dose of dihidroergocriptin as add-on to levodopa over 6 months</t>
  </si>
  <si>
    <t>UPDRS_III_item20__dihydroergocriptin_baseline</t>
  </si>
  <si>
    <t>UPDRS_III_item20__dihydroergocriptin_follow-up</t>
  </si>
  <si>
    <t>UPDRS_I_total_score__dihydroergocriptin_baseline</t>
  </si>
  <si>
    <t>UPDRS_I_total_score__dihydroergocriptin_follow-up</t>
  </si>
  <si>
    <t>UPDRS_II_total_score__dihydroergocriptin_baseline</t>
  </si>
  <si>
    <t>UPDRS_II_total_score__dihydroergocriptin_follow-up</t>
  </si>
  <si>
    <t>UPDRS_III_total_score__dihydroergocriptin_baseline</t>
  </si>
  <si>
    <t>UPDRS_III_total_score__dihydroergocriptin_follow-up</t>
  </si>
  <si>
    <t>Schwab_and_England_score</t>
  </si>
  <si>
    <t>UPDRS_III_item21__dihydroergocriptin_baseline</t>
  </si>
  <si>
    <t>UPDRS_III_item21__dihydroergocriptin_follow-up</t>
  </si>
  <si>
    <t>UPDRS_III_items20_21__dihydroergocriptin_baseline</t>
  </si>
  <si>
    <t>UPDRS_III_items20_21__dihydroergocriptin_follow-up</t>
  </si>
  <si>
    <t>Goetz, C. G., Leurgans, S., Raman, R., &amp; Stebbins, G. T.</t>
  </si>
  <si>
    <t xml:space="preserve">Neurology  2000 Feb 8;54(3):710-4. </t>
  </si>
  <si>
    <t>Objective changes in motor function during placebo treatment in PD</t>
  </si>
  <si>
    <t>examine frequency, temporal development and stability of objectively derived motor changes during placebo treatment in iPS-patients and to define clinical domains and demographic groups most affected</t>
  </si>
  <si>
    <t xml:space="preserve">Randomised-controlled trial (RCT) </t>
  </si>
  <si>
    <t>post-hoc analysis</t>
  </si>
  <si>
    <t>as reported in Adler CH, Sethi KD, Hauser RA, Davis TL. Ropinirole for the treatment of early Parkinson’s disease. Neurology 1997;49:393–396</t>
  </si>
  <si>
    <t>Access to full data of clinical study through contact with SmithKline Beecham</t>
  </si>
  <si>
    <t>Departments of Neurological Sciences and Preventive Medicine, Rush University, Chicago</t>
  </si>
  <si>
    <t xml:space="preserve">early iPS according due unspecified clincal criteria; Hoehn &amp; Yahr stages 1 to 3; motor symptoms of sufficient severity to warrant the introduction of dopaminergic therapy, but not received L-dopa or any dopaminergic agonist for more than 6 weeks prior to study entry;  other antiparkinsonian therapies, except selegiline, discontinued at least 4 weeks prior to study entry; selegiline were required to remain on a stable dose of selegiline for 4 weeks prior to study entry and for the duration of the study. </t>
  </si>
  <si>
    <t>treatment with vasodilators, antiarrhythmics, digoxin, calcium channel blockers, angiotensin-converting enzyme inhibitors, or other antihypertensive agents (excluding diuretics); previous treatment with ropinirole; history of severe systemic disease, major psychosis, or signs of dementia; history of severe dizziness or fainting; diastolic blood pressure of less than 110mmHg; recent history of alcoholism or drug dependence.</t>
  </si>
  <si>
    <t>Placebo treated group from randomized, multicentre, controlled clinical trial of monotherapy with ropinirole in iPS-patients without motor fluctuations. In 105 patients placebo-associated effects on motor parts of UPDRS was evaluated. Motor examination was divided into 4 categories: remor, bradykinesia, rigidity, gait and balance and midline function. Definition of placebo-associated improvement as improvement over baseline in motor UPDRS of at least .5 or a change in at least two motor itemts at any visits by more than two points.</t>
  </si>
  <si>
    <t>UPDRS_III_items20_21__placebo_percentual-change</t>
  </si>
  <si>
    <t>Despite several attempts to contact author and pharmaceutical company and regardless of the disclosure of some of the study results (https://www.gsk-studyregister.com/en/trial-details/?id=101468/054), the exact data was not obtained</t>
  </si>
  <si>
    <t xml:space="preserve">Original RCT Adler et al. 1997 not included - no tremor outcome reported </t>
  </si>
  <si>
    <t>Haas, C. T., Turbanski, S., Kessler, K., &amp; Schmidtbleicher, D.</t>
  </si>
  <si>
    <t>NeuroRehabilitation 21 (2006) 29–36</t>
  </si>
  <si>
    <t>The effects of whole body vibration on motor symptoms in Parkinson's Disease</t>
  </si>
  <si>
    <t>NeuroRehabilitation</t>
  </si>
  <si>
    <t>To study the effects of whole-body-vibration on motor symptoms in iPS</t>
  </si>
  <si>
    <t>Department of Neurology, Johann-Wolfgang-Goethe University Frankfurt</t>
  </si>
  <si>
    <t>iPS according to unknown clinical criteria; ability of unsupported stance</t>
  </si>
  <si>
    <t>signs of dementia; disease impairing gait, stance or coordination</t>
  </si>
  <si>
    <t>Levodopa withdrawn for 12hours. Three successive test sessions with two patients at each session in parallel, cross-over design. a. whole body vibration with consecutive resting phase. b. first rest, than whole body vibration. UPDRS motor score at baseline and after treatments . Examiner was blinded for intervention. Whole body vibration with 5 series lasting one minute, frequency of 6Hz and amplitude of 3mm.</t>
  </si>
  <si>
    <t>UPDRS_III_items20_21__wbv_baseline</t>
  </si>
  <si>
    <t>UPDRS_III_items20_21__wbv_follow-up</t>
  </si>
  <si>
    <t>repeated-measures-two-way-ANOVA; repeated-measures-one-way-ANOVA</t>
  </si>
  <si>
    <t>Hartelt, E., Scherbaum, R., Kinkel, M., Gold, R., Muhlack, S., &amp; Toenges, L.</t>
  </si>
  <si>
    <t>Journal of clinical medicine, 9(6), 1874.</t>
  </si>
  <si>
    <t>Parkinson's Diease Multimodal Complex Treatment (PD-MCT): Analysis of Therapeutic effects and Predictors for Improvement</t>
  </si>
  <si>
    <t xml:space="preserve">Journal of Clinical Mediine </t>
  </si>
  <si>
    <t>assess efficacy of PD-MCT and calculate predictors of improvement</t>
  </si>
  <si>
    <t>St. Josef-Hospital Bochum</t>
  </si>
  <si>
    <t xml:space="preserve">IPS according to UK Brain Bank criteria </t>
  </si>
  <si>
    <t>inability to take part in procedures</t>
  </si>
  <si>
    <t>Baseline assessment before start of training, Discharge clinical testing after two weeks and follow-up after 6 weeks.</t>
  </si>
  <si>
    <t>UPDRS_III_items20_21__multimodal-therapy_baseline</t>
  </si>
  <si>
    <t>UPDRS_III_items20_21__multimodal-therapy_follow-up</t>
  </si>
  <si>
    <t>repeated-measures-ANOVA</t>
  </si>
  <si>
    <t>received values in personal communication with Toenges and Scherbaum</t>
  </si>
  <si>
    <t>UPDRS_III_items20_21__multimodal_therapy_follow-up_long</t>
  </si>
  <si>
    <t>Heinonen, E. H., Rinne, U. K., &amp; Tuominen, J.</t>
  </si>
  <si>
    <t>Acta neurologica Scandinavica. Supplementum, 126, 113-118.</t>
  </si>
  <si>
    <t xml:space="preserve">Selegiline in the treatment of daily fluctuations in disability of parkinsonian patients with long- term levodopa treatment </t>
  </si>
  <si>
    <t>Acta Neurol. Scand.</t>
  </si>
  <si>
    <t>investigate the efficacy of selegiline in the treatment of various types of fluctuations in disability and the effect of selegiline on parkinsonian disability and on the daily levodopa dose needed</t>
  </si>
  <si>
    <t>cross-over design</t>
  </si>
  <si>
    <t>Finnland</t>
  </si>
  <si>
    <t>University of Turku</t>
  </si>
  <si>
    <t>advanced iPS according to unknown diagnostic criteria; end-of-dose fluctuations; daily frequency of over six administrations of levodopa</t>
  </si>
  <si>
    <t>marked dementia; diseases influencing the absorption of medications; allergies to the medications under investigation; previous treatments with selegiline or dopamine agonist; age over 80 years</t>
  </si>
  <si>
    <t>patients were randomized to receive a. selegiline hydrochloride or b. placebo. One tablet of 5.0mg was administered in the morning and the other at lunch time, whereas daily levodopa dosages were kept at pre-study levels as fat as possible. Yet, changes were allowed if parkinsonian disability or side-effects required</t>
  </si>
  <si>
    <t>CUDS_tremor__selegiline_baseline</t>
  </si>
  <si>
    <t>CUDS_tremor__selegiline_follow-up</t>
  </si>
  <si>
    <t>CUDS_tremor__placebo_baseline</t>
  </si>
  <si>
    <t>CUDS_tremor__placebo_follow-up</t>
  </si>
  <si>
    <t>Hellmann, M. A., Sabach, T., Melamed, E., &amp; Djaldetti, R.</t>
  </si>
  <si>
    <t>Biomedicine &amp; pharmacotherapy, 62(4), 250-252.</t>
  </si>
  <si>
    <t>Effect of subcutaneous apomorphine on tremor in idiopathic Parkinson's disease</t>
  </si>
  <si>
    <t>Biomedicine and Pharmacotherapy</t>
  </si>
  <si>
    <t>Evaluate the extent of tremor suppression under apomorphine therapy</t>
  </si>
  <si>
    <t>Israel</t>
  </si>
  <si>
    <t>Sackler Faculty of Medicine</t>
  </si>
  <si>
    <t>IPS according to unknown clinical criteria; absence of motor fluctuations</t>
  </si>
  <si>
    <t>After one week of domperidon treatment, medication was withdraw at least 12h. Apomorphine sc was administered at increasing dosage of1, 2, and 4mg. Assessment with UPDRS part III before apomorphine administration and 15 minutes after.</t>
  </si>
  <si>
    <t>UPDRS_III_22__apomorphine_baseline</t>
  </si>
  <si>
    <t>UPDRS_III_22__apomorphine_follow-up</t>
  </si>
  <si>
    <t>Hiremath, K. V.</t>
  </si>
  <si>
    <t>International Journal of Research in Ayurveda &amp; Pharmacy, 3(3).</t>
  </si>
  <si>
    <t>Role of Matrabasti and Kapikacchu Beeeja Powder in Kampavata (Parkinson's Disease)</t>
  </si>
  <si>
    <t>International Journal of Research in Ayurveda and Pharmacy</t>
  </si>
  <si>
    <t>To evaluate the effects of Mahamasha oil Matra (Enema) and Kapikacchu beeja (Mucuna pruriens seed) in Kampavata (iPS)</t>
  </si>
  <si>
    <t xml:space="preserve">selected incidentally from outpatient department, patient department and special camps conducted at Governement Ayurveda Medical college and Hospital </t>
  </si>
  <si>
    <t xml:space="preserve">India </t>
  </si>
  <si>
    <t>Department of Kayachikitsa</t>
  </si>
  <si>
    <t>other systemic disorders and with other complications possibly interfering with treatment</t>
  </si>
  <si>
    <t>Haritaki powder 10-15gm with lukewarm water at bed time before treatment, full body massage with bala oil followed by 15 min steam bath.  Mahamasha oil Matrabasti (enema) 70ml every day for nine days, Mucuna pruriens seeds powder 6gm tid with lukewarm water after meals for 48 days. Evaluation before treatment, on ninth day after completion of enema course and after completion of oral treatment at day 48</t>
  </si>
  <si>
    <t>tremor_score__harikati_baseline</t>
  </si>
  <si>
    <t>tremor_score__harikati_follow-up</t>
  </si>
  <si>
    <t>Chi-squared-test</t>
  </si>
  <si>
    <t>Contacted corresponding author for demographics, but received no reply.</t>
  </si>
  <si>
    <t>apomorphine; levodopa</t>
  </si>
  <si>
    <t>Hughes, A. J., Lees, A. J., &amp; Stern, G. M.</t>
  </si>
  <si>
    <t>Clinical neuropharmacology, 13(4), 312-317.</t>
  </si>
  <si>
    <t>Apomorphine in the Diagnosis and Treatment of Parkinsonian Tremor</t>
  </si>
  <si>
    <t>Clin. Neuropharmacol.</t>
  </si>
  <si>
    <t>To compare the responses of rest tremor to single dose apomorphine and oral levodopa in 20 tremor-dominant IPS-patients</t>
  </si>
  <si>
    <t>United Kingdom</t>
  </si>
  <si>
    <t>Department of Neurology, University College and Middlesex Hospitals</t>
  </si>
  <si>
    <t>iPS according to unknown clinical criteria with tremor dominance</t>
  </si>
  <si>
    <t>Antiparkinsonian medication paused for 12h, domperidone pre-treatment, first day afterwards 250mg levodopa with 25mg carbidopa. Second day apomorphine sc in 1.5, 3, 4.5mg doses at 30min intervals until tremor was supressed, dose limiting sight-effects were resported or maximum dose was achieved.</t>
  </si>
  <si>
    <t>ordinal_tremor_scale_improvement__apomorphine</t>
  </si>
  <si>
    <t>self_report_tremor__apomorphine_baseline</t>
  </si>
  <si>
    <t>self_report_tremor__apomorphine_follow-up</t>
  </si>
  <si>
    <t>subjective_tremor_improvement</t>
  </si>
  <si>
    <t>side effects in acute apomorphine challenge</t>
  </si>
  <si>
    <t>chronic study with 35-112 days</t>
  </si>
  <si>
    <t>zonisamide</t>
  </si>
  <si>
    <t>Ikeda, K., Hanashiro, S., Sawada, M., &amp; Iwasaki, Y.</t>
  </si>
  <si>
    <t>Neurology and Clinical Neuroscience, 3(5), 163-166.</t>
  </si>
  <si>
    <t>Preliminary study of zonisamide monotherapy in de novo patients with Parkinsons's disease</t>
  </si>
  <si>
    <t>Neurol Clin Neurosci</t>
  </si>
  <si>
    <t>evaluate therapeutic effects of zonisamide monotherapy in early Parkinson's disease patients</t>
  </si>
  <si>
    <t>Japan</t>
  </si>
  <si>
    <t>Department of Neurology, Toho University Omori Medical Center Tokio</t>
  </si>
  <si>
    <t>iPS accordint to UK Brain Bank criteria; no previous treatment with anti-parkinsonian medication</t>
  </si>
  <si>
    <t>10 untreated patients (de novo) patients were given 25 mg Zonisamide daily for 1 month, 50 mg in month 2 and 3. UPDRS I-IV and tremor-related UPDRS (items 16 (II) ,20, 21(III)) examined every month.</t>
  </si>
  <si>
    <t>UPDRS_item16_20_21__zonisamide_baseline</t>
  </si>
  <si>
    <t>UPDRS_item16_20_21__zonisamide_follow-up</t>
  </si>
  <si>
    <t>repeated-measures ANOVA</t>
  </si>
  <si>
    <t>Jankovic, J., Berkovich, E., Eyal, E., &amp; Tolosa, E.</t>
  </si>
  <si>
    <t>Parkinsonism &amp; related disorders, 20(6), 640-643.</t>
  </si>
  <si>
    <t>Symptomatic efficacy of rasagiline monotherapy in early Parkinson's disease: Post-hoc analyses from the ADAGIO trial</t>
  </si>
  <si>
    <t>To analyse the efficacy of 1mg rasagiline monotherapy in early iPS</t>
  </si>
  <si>
    <t>IPS according to clinical diagnosis with at least two of the symptoms bradykinesia, tremor, rigidity without any other known or suspected cause of parkinsonism;unilateral onset and persistent asymmetry If tremor is not present; stable clinical condition not requiring anti-PD treatment for the next 9 months</t>
  </si>
  <si>
    <t>Age younger than 30 or older than 80 years; loss of postural reflexes; UPDRS Tremor score of 3 or greater in any limb; Hoehn &amp;Yahr Stage III or greater at screening; freezing while walking; features that tend to exclude PD as the cause of Parkinsonism (repeated strokes or head injurys, definite encephalitis, Sustained remission, Supranuclear gaze palsy, Cerebellar signs, Early severe autonomic involvement, Babinski's sign, cerebral tumour or communicating hydrocephalus, MPTP exposure); Oculogyric crises; previous use of rasagiline or selegiline; other anti-PD medication at any time prior to baseline; clinically significant or unstable medical or surgical condition; not well controlled hypertonus; history of melanoma; significant cognitive impairment as defined by MMSE score &lt; 26; psychiatric illness; major depression [Beck Depression Inventory (short form) ≥15; history of alcohol or substance abuse within the past 2 years; experimental medications within 60 days prior to baseline; Q10 (in daily doses &gt; 300 mg) within 120 days prior to baseline; sympathomimetics (including over-the-counter remedies - nasal or oral), dextromethorphan, pethidine or St. John's Wort within the 7 days prior to baseline; antidepressants within 42 days prior to baseline; ciprofloxacin, a potent CYP 1A2 inhibitor within 7 days prior to baseline; MAO inhibitors including reserpine or methyldopa within the three months prior to baseline; treatment with an anti-emetic or antipsychotic medication with central dopamine antagonist activity within the six months prior to baseline; women who are not postmenopausal, surgically sterilized, or using adequate birth control [oral birth control pills, IUD, or a long acting injectable form of contraception, barrier methods alone (i.e., condom) are not sufficient]; women of childbearing potential without a negative pregnancy test at screening; nursing women</t>
  </si>
  <si>
    <t>Patients randomised to 4 groups: a. 1mg rasagiline qd, b. 2 mg rasagiline qd, c. and d. delayed start with placebo respectively. Double-blind placebo-controlled phase for 36 weeks.</t>
  </si>
  <si>
    <t>repeated-measures-model</t>
  </si>
  <si>
    <t>Jansen, E. N.</t>
  </si>
  <si>
    <t>Acta neurologica scandinavica, 89(4), 262-265.</t>
  </si>
  <si>
    <t>Clozapine in the treatment of tremor in Parkinson's Disease</t>
  </si>
  <si>
    <t>To evaluate antitremor effects of clozapine as add-on therapy for iPS-patients</t>
  </si>
  <si>
    <t>Department of Neurology, Hospital Medisch Spectrum Twente, Enschede</t>
  </si>
  <si>
    <t>iPS according to unknown clinical criteria; troublesome tremor despite optimal antiparkinsonian treatment</t>
  </si>
  <si>
    <t>dementia with MMST less than 18 points; history of neuropsychiatric illness; psychosis; vivid dreaming</t>
  </si>
  <si>
    <t>Clozapine aditionally to usual antiparkinson medication. Starting dose 6.25mg qd, if necessary increase each third day with dose split to bid. Study duration of six months with evaluations every fortnight. Every 4 weeks UPDRS motor evaluation. Changes of other parkinson medication during study were not allowed.</t>
  </si>
  <si>
    <t>UPDRS_item16_20_21__clozapine_baseline</t>
  </si>
  <si>
    <t>UPDRS_item16_20_21__clozapine_follow-up</t>
  </si>
  <si>
    <t>Jitkritsadakul, O., Thanawattano, C., Anan, C., &amp; Bhidayasiri, R.</t>
  </si>
  <si>
    <t>Journal of the neurological sciences, 358(1-2), 146-152.</t>
  </si>
  <si>
    <t>Exploring the effect of electrical muscle stimulation as a novel treatment of intractable tremor in Parkinson's disease</t>
  </si>
  <si>
    <t>To determine the efficacy of electrical muscle stimulation as a treatment for drug resistant tremor in iPS-patients</t>
  </si>
  <si>
    <t>Outpatient clinic of the Chulalongkorn Centre of Excellence on Parkinson's Disease and Related Disorders</t>
  </si>
  <si>
    <t>Thailand</t>
  </si>
  <si>
    <t>Chulalongkorn Center of Excellence on Parkinson Disease &amp; Related Disorders, Department of Medicine, Faculty of Medicine, Chulalongkorn University and King Chulalongkorn Memorial Hospital, Thai Red Cross Society, Bangkok</t>
  </si>
  <si>
    <t>iPS-patient according to UK Brain Bank criteria; medically refractory type I tremor according to the MDS consensus paper; irreponsiveness of tremor to more than two different medications</t>
  </si>
  <si>
    <t>history of cardiac arrthythmia seizures or cerebral ischaemia; pregnancy; concomitant medication potentiating or attenuating tremor, including antihistamines, thyroid hormones, benzodiazepines, anticonvulsants, and illicit drugs; subjects with implanted electrical devices, such as cardiac pacemaker, deep brain stimulation devices and intrathecal baclofen pumps</t>
  </si>
  <si>
    <t>Hand tremor at rest and during postural positions assessed with the tremor analysis device which resulted in tremor parameters such as peak magnitude, the root mean square of angular velocity, frequency, and the dispersion of tremor a. before and b. during EMS. EMS was administered with parameters determined by slowly raising pulse amplitudes until tetanic muscle contraction occurred without pain. Stimulation lasted 10secs.</t>
  </si>
  <si>
    <t>UPDRS_items16_20__EMS_baseline</t>
  </si>
  <si>
    <t>UPDRS_items16_20__EMS_follow-up</t>
  </si>
  <si>
    <t>peak_magnitude__EMS_baseline</t>
  </si>
  <si>
    <t>Jost, W. H., Klasser, M., &amp; Reichmann, H.</t>
  </si>
  <si>
    <t>Fortschr Neurol Psychiat 2008; 76: 594–599</t>
  </si>
  <si>
    <t>Rasagilin im klinischen Alltag - Ergebnisse einer Anwendungsbeobachtung bei Parkinson-Patienten mit einer Kombinationstherapie</t>
  </si>
  <si>
    <t>Fortschr Neurol Psychiat</t>
  </si>
  <si>
    <t>investigate efficacy and tolerability of rasagiline under conditions of daily living</t>
  </si>
  <si>
    <t>iPS-patients received 1mg rasagilin qd as add-on for four months. Clinical evaluation at beginning, after four weeks and after four months. Concomitant parkinsonian medication remained unaltered.</t>
  </si>
  <si>
    <t>CURS_item9__rasagiline_baseline</t>
  </si>
  <si>
    <t>CURS_item9__rasagiline_follow-up</t>
  </si>
  <si>
    <t>CURS_total_score__rasagiline_baseline</t>
  </si>
  <si>
    <t>CURS_total_score__rasagiline_follow-up</t>
  </si>
  <si>
    <t>Kadkhodaie, M., Sharifnezhad, A., Ebadi, S., Marzban, S., Habibi, S. A., Ghaffari, A., &amp; Forogh, B.</t>
  </si>
  <si>
    <t>Neurological Sciences, 41(3), 637-643.</t>
  </si>
  <si>
    <t>Effect of eccentric-based rehabilitation on hand tremor intensity in Parkinson disease</t>
  </si>
  <si>
    <t>Neurol. Sci.</t>
  </si>
  <si>
    <t>evaluate Effect of eccentric-based rehabilitation on hand tremor intensity in iPS</t>
  </si>
  <si>
    <t>single blind</t>
  </si>
  <si>
    <t>Iran</t>
  </si>
  <si>
    <t>Neuromusculoskeletal Research Center, Department of Physical Medicine and Rehabilitation</t>
  </si>
  <si>
    <t>iPS according to UK Brain Bank criteria; Hoehn and Yahr stages 1 to 4; visible hand tremor uni- or bilterally</t>
  </si>
  <si>
    <t>comorbidity interfering with designed exercises; lack of ability to complete excercise sessions</t>
  </si>
  <si>
    <t>intervention</t>
  </si>
  <si>
    <t>control</t>
  </si>
  <si>
    <t>Moderate eccentric training three days per week for six weeks with 35-45min per session and assisted by occupational therapist. Targets were elbow flexor, wrist flexor and extensors muscle groups. Each muscle group trained with three sets of 10 repetitions of eccentric contraction with 1-2min rest between sets.</t>
  </si>
  <si>
    <t>resting_tremor_amplitude__intervention_baseline</t>
  </si>
  <si>
    <t>resting_tremor_amplitude__intervention_follow-up</t>
  </si>
  <si>
    <t>resting_tremor_amplitude__control_baseline</t>
  </si>
  <si>
    <t>resting_tremor_amplitude__control_follow-up</t>
  </si>
  <si>
    <t>Wilcoxon-signed-rank-test; Mann-Whitney-U-test</t>
  </si>
  <si>
    <t>postural_tremor_amplitude__intervention_baseline</t>
  </si>
  <si>
    <t>postural_tremor_amplitude__intervention_follow-up</t>
  </si>
  <si>
    <t>postural_tremor_amplitude__control_baseline</t>
  </si>
  <si>
    <t>postural_tremor_amplitude__control_follow-up</t>
  </si>
  <si>
    <t>Kaut, O., Allert, N., Coch, C., Paus, S., Grzeska, A., Minnerop, M., &amp; Wuellner, U.</t>
  </si>
  <si>
    <t>NeuroRehabilitation 28 (2011) 353–358</t>
  </si>
  <si>
    <t>Stochastic resonance therapy in Parkinson's disease</t>
  </si>
  <si>
    <t>To assess the effects of stochastic whole body vibration</t>
  </si>
  <si>
    <t>Department of Neurology, University of Bonn</t>
  </si>
  <si>
    <t>signs of dementia; atypical or secondary parkinsonism; nephrolithiasis; relevant orthopedic disease;</t>
  </si>
  <si>
    <t>wbv</t>
  </si>
  <si>
    <t>Patients were randomly assigned to sham or experimental group. a. experimental group received 5 cycles of stochastic WBV on three days within five days. Cycle of five stimulus trains of 60s duration with a frequency of 6.5Hz and 60s resting time in between. b. control group received sham treatments with 1Hz (lowest frequency available).</t>
  </si>
  <si>
    <t>UPDRS_III_items20_21__control_baseline</t>
  </si>
  <si>
    <t>UPDRS_III_items20_21__control_follow-up</t>
  </si>
  <si>
    <t>ANOVA; Fishers-exact-test</t>
  </si>
  <si>
    <t>King, L. K., Almeida, Q. J., &amp; Ahonen, H.</t>
  </si>
  <si>
    <t>NeuroRehabilitation, 25(4), 297-306.</t>
  </si>
  <si>
    <t>Short-term effects of vibration therapy on motor impairments in Parkinson's disease</t>
  </si>
  <si>
    <t>To evaluate the influence of vibration on motor symptoms and functional measures in iPS by delivering sound waves to the whole body</t>
  </si>
  <si>
    <t>Sun Life Financial Movement Disorders Research and Rehabilitation Centre, Wilfried Laruier Universitiy, Waterloo</t>
  </si>
  <si>
    <t>signs of dementia; diseases imparing gait or coordination</t>
  </si>
  <si>
    <t xml:space="preserve">Vibrations applied by physioacoustic method. Arm chair run by software produced controlled sound vibrations from six speakers for whole body involvement in effect. Adminstered in 5 consecutive series lasting one minute each, one minute rest in between. Assessment by UPDRS first. Two participants studied in parallel, one first vibration, other one started with rest in single-blind cross-over design. </t>
  </si>
  <si>
    <t>UPDRS_III_items20_21__vibration_baseline</t>
  </si>
  <si>
    <t>UPDRS_III_items20_21__vibration_follow-up</t>
  </si>
  <si>
    <t>Type-I-error correction with Tukeys Honest significant Difference post hoc</t>
  </si>
  <si>
    <t>propranolole; primodone; clonazepam</t>
  </si>
  <si>
    <t>Koller, W. C., &amp; Herbster, G.</t>
  </si>
  <si>
    <t>Archives of neurology, 44(9), 921-923.</t>
  </si>
  <si>
    <t>Adjuvant Therapy of Parkinsonian tremor</t>
  </si>
  <si>
    <t>Arch. Neurol.</t>
  </si>
  <si>
    <t>To study the effects of propranolole, primidone and clonazepam ass add-on therapy for iPS tremor</t>
  </si>
  <si>
    <t>cross-over-design</t>
  </si>
  <si>
    <t>Department of Neurology, Loyola University School of medicine</t>
  </si>
  <si>
    <t>Patients received either a. 80mg  qd for 1 week and 160mg afterwards, b. primidone 50mg qd for 1 week, 125mg for another week and 250mg qd afterwards), or c. clonazepam 1mg qd at first week and increase of 1mg weekly up to 4mg qd. Tremor evaluated after highest dose intake for one month.</t>
  </si>
  <si>
    <t>subjective_tremor-score__primidone_baseline</t>
  </si>
  <si>
    <t>subjective_tremor-score__primidone_follow-up</t>
  </si>
  <si>
    <t>one-way-ANOVA; Mann-Whitney-U-test</t>
  </si>
  <si>
    <t>Subjective clinical measurements and objective reduction via accelerometry</t>
  </si>
  <si>
    <t>rest_tremor_reduction_accelerometer__primidone_follow-up</t>
  </si>
  <si>
    <t>rest_tremor_reduction_accelerometer__propranolol_follow-up</t>
  </si>
  <si>
    <t>rest_tremor_reduction_accelerometer__clonazepam_follow-up</t>
  </si>
  <si>
    <t>postural_tremor_reduction_accelerometer__primidone_follow-up</t>
  </si>
  <si>
    <t>postural_tremor_reduction_accelerometer__propranolol_follow-up</t>
  </si>
  <si>
    <t>postural_tremor_reduction_accelerometer__clonazepam_follow-up</t>
  </si>
  <si>
    <t>kinetic_tremor_reduction_accelerometer__primidone_follow-up</t>
  </si>
  <si>
    <t>kinetic_tremor_reduction_accelerometer__propranolol_follow-up</t>
  </si>
  <si>
    <t>kinetic_tremor_reduction_accelerometer__clonazepam_follow-up</t>
  </si>
  <si>
    <t>subjective_rest_tremor_score__baseline</t>
  </si>
  <si>
    <t>subjective_rest_tremor_score__primidone_follow-up</t>
  </si>
  <si>
    <t>subjective_rest_tremor_score__propranolol_follow-up</t>
  </si>
  <si>
    <t>subjective_rest_tremor_score__clonazepam_follow-up</t>
  </si>
  <si>
    <t>subjective_postural_tremor_score__baseline</t>
  </si>
  <si>
    <t>subjective_postural_tremor_score__primidone_follow-up</t>
  </si>
  <si>
    <t>subjective_postural_tremor_score__propranolol_follow-up</t>
  </si>
  <si>
    <t>subjective_postural_tremor_score__clonazepam_follow-up</t>
  </si>
  <si>
    <t>subjective_kinetic_tremor_score__baseline</t>
  </si>
  <si>
    <t>subjective_kinetic_tremor_score__primidone_follow-up</t>
  </si>
  <si>
    <t>subjective_kinetic_tremor_score__propranolol_follow-up</t>
  </si>
  <si>
    <t>subjective_kinetic_tremor_score__clonazepam_follow-up</t>
  </si>
  <si>
    <t>subjective_tremor-score__propanolol_baseline</t>
  </si>
  <si>
    <t>subjective_tremor-score__propanolol_follow-up</t>
  </si>
  <si>
    <t>propranolol; primodone; clonazepam</t>
  </si>
  <si>
    <t>subjective_tremor-score__clonazepam_baseline</t>
  </si>
  <si>
    <t>subjective_tremor-score__clonazepam_follow-up</t>
  </si>
  <si>
    <t>Kulisevsky, J., Barbanoj, M., Gironell, A., Antonijoan, R., Casas, M., &amp; Pascual-Sedano, B.</t>
  </si>
  <si>
    <t>Clinical neuropharmacology, 25(1), 25-31.</t>
  </si>
  <si>
    <t>A double-blind crossover, placebo-controlled study of the adenosine A2A antagonist theophylline in Parkinson's disease</t>
  </si>
  <si>
    <t>To test for the effects of stable plama levels of theophylline on the long-duration response and the short-duration response to levodopa in advanced iPS-patients</t>
  </si>
  <si>
    <t>Spain</t>
  </si>
  <si>
    <t>Department of Neurology, Autonomous University of Barcelona</t>
  </si>
  <si>
    <t>iPS-patient according to unknown clinical criteria; treatment with levodopa as only medication at least two months before entering the trial</t>
  </si>
  <si>
    <t>Treatment for 15 days with a. 150mg theophylline bid and b. placebo bid; dosage was adjusted according to plasmatic levels during first week. After 15 days levodopa washout (but not theophylline or placebo) for four days and, finally, levodopa challenge was performed.</t>
  </si>
  <si>
    <t>UPDRS_III_items20_21__theophylline_baseline</t>
  </si>
  <si>
    <t>UPDRS_III_items20_21__theophylline_follow-up</t>
  </si>
  <si>
    <t>15; 0,25</t>
  </si>
  <si>
    <t>baseline for placebo and theophylline were day1 of subacute phase. baseline for levodopa in both groups was day19 and follow-up 3hours after intake of levodopa; values for levodopa challenge misleading and therefore discarded</t>
  </si>
  <si>
    <t>UPDRS_III_items20_21__levodopa_baseline</t>
  </si>
  <si>
    <t>UPDRS_III_items20_21__levodopa_follow-up</t>
  </si>
  <si>
    <t>UPDRS_III_items20_21__theophylline-levodopa_baseline</t>
  </si>
  <si>
    <t>UPDRS_III_items20_21__theophylline-levodopa_follow-up</t>
  </si>
  <si>
    <t>Laihinen, A., Rinne, U. K., &amp; Suchy, I.</t>
  </si>
  <si>
    <t>Acta neurologica scandinavica, 86(6), 593-595.</t>
  </si>
  <si>
    <t>Comparison of lisuride and bromocriptine in the treatment of advanced Parkinson’s disease</t>
  </si>
  <si>
    <t xml:space="preserve">Acta Neurol. Scand. </t>
  </si>
  <si>
    <t>Compare therapeutic efficacy of lisuride with bromocriptine</t>
  </si>
  <si>
    <t>Finland</t>
  </si>
  <si>
    <t>Department of Neurology, University of Turku</t>
  </si>
  <si>
    <t>iPS according to unknown clinical criteria; long-term levodopa treatment and motor fluctuations</t>
  </si>
  <si>
    <t>age of more than 80 years</t>
  </si>
  <si>
    <t xml:space="preserve">a. lisuride and placebo or b. bromocriptine and placebo as add-on therapy to levodopa or anticholinergics was administered. Patients randomly assigned to groups and optimal dosage found within 4-8 weeks. Therapy continued for further four weeks. After wash-out period of max 2 weeks, each group received the other drug and placebo. </t>
  </si>
  <si>
    <t>CURS_tremor__lisuride_percentual_change</t>
  </si>
  <si>
    <t>CURS_tremor__bromocriptin_percentual_change</t>
  </si>
  <si>
    <t>2x12 weeks wit max 2 week break ~ 26 weeks</t>
  </si>
  <si>
    <t>Hills and Armitage</t>
  </si>
  <si>
    <t>two examiners, one gave medication, the other worked as blind examiner</t>
  </si>
  <si>
    <t>Levin, O. S., Boĭko, A. N., Nesterova, O. S., Otcheskaia, O. V., EIu, Z., IIu, A., ... &amp; Ivanov, A. K.</t>
  </si>
  <si>
    <t>Zhurnal nevrologii i psikhiatrii imeni SS Korsakova, 110(2), 39-44.</t>
  </si>
  <si>
    <t xml:space="preserve">Effect of dopamine agonist pramipexole (mirapex) on tremor, affective disorders and quality of life in patients with Parkinson’s disease </t>
  </si>
  <si>
    <t xml:space="preserve">Zh Nevrol Psikhiatr Im SS Korsakova </t>
  </si>
  <si>
    <t>Russian</t>
  </si>
  <si>
    <t>To evaluate the effects of pramipexole on motor symptoms in iPS-patients</t>
  </si>
  <si>
    <t>Russia</t>
  </si>
  <si>
    <t>iPS according to UK Brain Bank criteria</t>
  </si>
  <si>
    <t>signs of dementia; atypical parkinsonian syndromes; short psychological status scale scores of less than 25; concomitant allergies; psychosis; severe depression; comorbid medical or neurological conditions</t>
  </si>
  <si>
    <t>six months pramipexole therapy as add-on or monotherapy. Individual dose based on clinical impression</t>
  </si>
  <si>
    <t>UPDRS_III_items20_21__pramipexole_baseline</t>
  </si>
  <si>
    <t>UPDRS_III_items20_21__pramipexole_follow-up</t>
  </si>
  <si>
    <t>adverse events</t>
  </si>
  <si>
    <t>UPDRS_III_item20__pramipexole_baseline</t>
  </si>
  <si>
    <t>UPDRS_III_item20__pramipexole_follow-up</t>
  </si>
  <si>
    <t>UPDRS_III_item21__pramipexole_baseline</t>
  </si>
  <si>
    <t>UPDRS_III_item21__pramipexole_follow-up</t>
  </si>
  <si>
    <t>Lew, M. F.</t>
  </si>
  <si>
    <t>International Journal of Neuroscience, 123(12), 859-865.</t>
  </si>
  <si>
    <t>Rasagiline treatment effects on parkinsonian tremor</t>
  </si>
  <si>
    <t>Int. J. Neurosci.</t>
  </si>
  <si>
    <t>To present data illustrating effect of rasagiline on tremor in iPS-patients with data from four the ADAGIO study</t>
  </si>
  <si>
    <t>Multicentre</t>
  </si>
  <si>
    <t xml:space="preserve">iPS patients with at least two cardinal motor symptoms; age betweeen 30 and 80 years;  Hoehn and Yahr stage of three or less; </t>
  </si>
  <si>
    <t>Concomitant medication with any antiparkinsonian medication for more than three weeks; medication with rasagiline or selegiline at any dose or medication with coenzyme Q10 with more than 300mg daily in the previous 120 days; Atypical or secondary parkinsonism; disease duration of more than 18 months;</t>
  </si>
  <si>
    <t>Two phases of trial each of 36 weeks duration. Randomisation to four groups, either with delayed-onset or immediate start of rasagiline. Only 1mg arm along with two placebo groups is compared. Specifically, patients received a. placebo or b. rasagiline 1mg qd for 36 weeks and consecutively both groups rasagiline. No other medication was allowed according to the protocol</t>
  </si>
  <si>
    <t>UPDRS_items16_20_21__rasagiline_adjusted-mean-difference</t>
  </si>
  <si>
    <t>UPDRS_items16_20_21__placebo_adjusted-mean-difference</t>
  </si>
  <si>
    <t>TEVA pharmaceuticals was not willing to share data as no statistician was involved in the study; only data from ADAGIO is listed, as other data is already provided in Elmer et al. 2013 and in Lew 2013b. Additional source of data is the poster abstract (P2600) from Tolosa et al. 2012 (Eur J Neurol 2012; 19 (Suppl 1):657)</t>
  </si>
  <si>
    <t>To present data illustrating effect of rasagiline on tremor in iPS-patients with data from four the TEMPO study</t>
  </si>
  <si>
    <t>1997-Nov-01</t>
  </si>
  <si>
    <t>1999-Jun-01</t>
  </si>
  <si>
    <t xml:space="preserve">iPS patients with at least two cardinal motor symptoms; aged of 35 years or more;  Hoehn and Yahr stage of three or less; </t>
  </si>
  <si>
    <t>Atypical or secondary parkinsonism; unstable medical problems including congestive heart failure of New York Heart Association class II or greater; psychiatric conditions that compromise the ability to give informed consent;  subjects with significant cognitive impairment as defined by MMSE score &lt; 23; subjects with clinically significant depression; subjects treated with levodopa, dopamine agonists, selegiline or amantadine; Concomitant medication with antidepressants except for  amitryptiline, paroxetine, sertraline, fluovoxamine or trazodone</t>
  </si>
  <si>
    <t>Patients received a. placebo or b. rasagiline 1mg qd. After one week of titration study could be increased to 2mg (data not included). Outcomes were assessed after further 25 weeks. No changes in medication were allowed according to the protocol</t>
  </si>
  <si>
    <t>TEVA pharmaceuticals was not willing to share data as no statistician was involved in the study; only data from TEMPO are listed here and only 1mg data; other data provided in Elmer et al. 2013 and Lew et al. 2013</t>
  </si>
  <si>
    <t>Li, Z., Chen, J., Cheng, J., Huang, S., Hu, Y., Wu, Y., ... &amp; Xu, P</t>
  </si>
  <si>
    <t>Frontiers in aging neuroscience 10 (2018): 206.</t>
  </si>
  <si>
    <t>Acupuncture modulates the Cerebello-Thalamo-Cortical Circuit and Cognitive Brain Regions in Patiens of Parkinson's Disease with Tremor</t>
  </si>
  <si>
    <t>Front. Aging Neurosci.</t>
  </si>
  <si>
    <t>To investigate the effects of acupuncture on tremor in iPS-patients</t>
  </si>
  <si>
    <t>China</t>
  </si>
  <si>
    <t>Department of Neurology, Guangzhou Medical University</t>
  </si>
  <si>
    <t>iPS according to UK Brain Bank criteria; tremor at rest in at least one upper or lower extremity (item 20 in the UPDRS)</t>
  </si>
  <si>
    <t>secondary parkinsonism; atypical parkinsonism; advanced iPS, that is Hoehn and Yahr stages of more than 4; age less than 45 or greater than 80 years; history of other neurological disorders or head trauma; left handedness; cognitive impairment; contraindications for fMRI</t>
  </si>
  <si>
    <t>WG-control</t>
  </si>
  <si>
    <t>TAG</t>
  </si>
  <si>
    <t>SAG-control</t>
  </si>
  <si>
    <t>Patients randomly assigned to a, true acupuncture group - TAG,  b. sham acupuncture group - SAG or c. waiting group - WG. a. stainless steel needles inserted for 2.0-3.0cm into DU2, that is Baihui, GB20, that is Fengchi and Chorea-Tremor Controlled Zone. Reinforcing reducing method performed every 10min. within 30min needle retention time. b. Needles next to above named points inserted, no manipulation to needle performed. c. 12 weeks medication only, afterwards true accupuncture.</t>
  </si>
  <si>
    <t>UPDRS_III_items20_21__WG_baseline</t>
  </si>
  <si>
    <t>UPDRS_III_items20_21__WG_follow-up</t>
  </si>
  <si>
    <t>UPDRS_III_items20_21__TAG_baseline</t>
  </si>
  <si>
    <t>UPDRS_III_items20_21__TAG_follow-up</t>
  </si>
  <si>
    <t>UPDRS_III_items20_21__SAG-control_baseline</t>
  </si>
  <si>
    <t>UPDRS_III_items20_21__SAG-control_follow-up</t>
  </si>
  <si>
    <t>One-way-ANOVA; Chi-squared-test; paired-samples-t-test post-hoc</t>
  </si>
  <si>
    <t>Lieberman, A., Ranhosky, A., &amp; Korts, D.</t>
  </si>
  <si>
    <t>Neurology, 49(1), 162-168.</t>
  </si>
  <si>
    <t>Clinical evaluation of pramipexole in advanced Parkinson's disease: Results of a double-blind, placebo-controlled, parallel-group study.</t>
  </si>
  <si>
    <t>American Academy of Neurology</t>
  </si>
  <si>
    <t>To compare the efficacy, safety and tolerability of pramipexole to placebo in advanced iPS with motor fluctuations under levodopa</t>
  </si>
  <si>
    <t>United Kingdom, Canada</t>
  </si>
  <si>
    <t>iPS according to unknown clinical criteria; age of at least 30 years; Hoehn and Yahr stage 2 to 4; motor fluctuations; stable levodopa dosage for at least 30 days</t>
  </si>
  <si>
    <t>atypical or secondary parkinsonism; cognitive impairment; second- or third-degree AV block or SSS; resting heart rate below 50 BPM; congestive heart failure; myocardial infarction within 6 months of the 
study; clinically significant liver or renal disease; active 
neoplastic disease; history of stereotactic brain surgery</t>
  </si>
  <si>
    <t>pramipexole</t>
  </si>
  <si>
    <t>At first visit every recording of concomitant medication. At visit two randomization to a. pramipexole or b. matching placebo. Up to seven weeks ascending dose phase during which pramipexole was titrated from 0.375mg to 4.5mg tid. Dosage increased incrementally until stabile clinical examination or AE. Dose of levodopa and carbidopa could be reduced if possible. Maintenance dose phase up to 24 weeks.</t>
  </si>
  <si>
    <t>UPDRS_III_item20__placebo_percentual_reduction</t>
  </si>
  <si>
    <t>UPDRS_III_item20__pramipexole_percentual_reduction</t>
  </si>
  <si>
    <t>ITT</t>
  </si>
  <si>
    <t>cannabis</t>
  </si>
  <si>
    <t xml:space="preserve">Lotan, I., Treves, T. A., Roditi, Y., &amp; Djaldetti, R. </t>
  </si>
  <si>
    <t>Clinical neuropharmacology, 37(2), 41-44.</t>
  </si>
  <si>
    <t>Cannabis (medical marijuana) treatment for motor and non-motor symptoms of Parkinson disease: an open-label observational study</t>
  </si>
  <si>
    <t xml:space="preserve">Clin. Neuropharmacol. </t>
  </si>
  <si>
    <t>Department of Neurology, Rabin Medical Center, Beilinson Hospital, Tel Aviv</t>
  </si>
  <si>
    <t>iPS according to unknown clinical criteria; permission to smoke cannabis from Israel Minstry of Health as add-on therapy because of insufficient iPS medication or to treat combat pain; treatment with cannabis on daily basis for at least two motnhs</t>
  </si>
  <si>
    <t>Patients tested in OFF before taking their regular medication. UPDRS was rated among others tests ans questionnaires. Afterwards smoking of regular dosis cannabis with measurements repeated 30 minutes later by two raters</t>
  </si>
  <si>
    <t>UPDRS_III_items20_21__cannabis_baseline</t>
  </si>
  <si>
    <t>UPDRS_III_items20_21__cannabis_follow-up</t>
  </si>
  <si>
    <t>paired-sampled-t-test</t>
  </si>
  <si>
    <t>UPDRS_III_total__cannabis_baseline</t>
  </si>
  <si>
    <t>UPDRS_III_total__cannabis_follow-up</t>
  </si>
  <si>
    <t>physical_therapy</t>
  </si>
  <si>
    <t xml:space="preserve">Macht, M., Klecker, J., Pfeiffer, B., Annecke, R., Ulm, G., &amp; Ellgring, H. </t>
  </si>
  <si>
    <t>Verhaltenstherapie, 10(1), 25-30.</t>
  </si>
  <si>
    <t>Effects of Relaxation Training and Music in Parkinson's Disease</t>
  </si>
  <si>
    <t>Verhaltenstherapie</t>
  </si>
  <si>
    <t>To compare the effects of progressive muscle relaxation (PMR) and listening to music on motor symptoms in iPS-patients</t>
  </si>
  <si>
    <t>Paracelsus Clinic Kassel</t>
  </si>
  <si>
    <t>Hoehn and Yahr stage greater than 4; severe depression or other psychiatric disorder; experience with relaxation techniques before study inclusion</t>
  </si>
  <si>
    <t>Patients randomly assigned to two groups, a. Five sessions of Progressive Muscle Relaxation or b. five sessions listening to "Kleine Nachtmusik" for twenty minutes on five consecutive days. Tremor assessment with the "tremormeter"</t>
  </si>
  <si>
    <t>tremormeter__PMR_baseline</t>
  </si>
  <si>
    <t>tremormeter__PMR_follow-up</t>
  </si>
  <si>
    <t>tremormeter__control_baseline</t>
  </si>
  <si>
    <t>tremormeter__control_follow-up</t>
  </si>
  <si>
    <t>Mann-Whitney-U-test; Wilcoxon-signed-rank-test</t>
  </si>
  <si>
    <t>subjective_tremor__PMR_baseline</t>
  </si>
  <si>
    <t>subjective_tremor__PMR_follow-up</t>
  </si>
  <si>
    <t>subjective_tremor__music_baseline</t>
  </si>
  <si>
    <t>subjective_tremor__music_follow-up</t>
  </si>
  <si>
    <t>tremormeter_left__PMR_baseline</t>
  </si>
  <si>
    <t>tremormeter_left__PMR_follow-up</t>
  </si>
  <si>
    <t>tremormeter_left__music_baseline</t>
  </si>
  <si>
    <t>tremormeter_left__music_follow-up</t>
  </si>
  <si>
    <t>tremormeter_right__PMR_baseline</t>
  </si>
  <si>
    <t>tremormeter_right__PMR_follow-up</t>
  </si>
  <si>
    <t>tremormeter_right__music_baseline</t>
  </si>
  <si>
    <t>tremormeter_right__music_follow-up</t>
  </si>
  <si>
    <t>Maeda, T., Takano, D., Yamazaki, T., Satoh, Y., &amp; Nagata, K.</t>
  </si>
  <si>
    <t>Neurology and Clinical Neuroscience, 3(4), 127-130.</t>
  </si>
  <si>
    <t>Zonisamide in the early stage of Parkinson's disease.</t>
  </si>
  <si>
    <t>Neurol. Clin. Neurosci.</t>
  </si>
  <si>
    <t>investigate effects of zonisamide on the early stages of iPS</t>
  </si>
  <si>
    <t>consecutive recruitment of outpatient clinic patients according to inclusion criteria</t>
  </si>
  <si>
    <t>Department of Neurology, Research Institute of Blood and vessels, Akita</t>
  </si>
  <si>
    <t>iPS according to UK Brain Bank criteria; disease duration of less than 3 years; levodopa and decarboxylase inhibotor only or only small amounts of dopamine agonists; MMST of less than 23</t>
  </si>
  <si>
    <t>After first evaluation patients received 25mg zonisamid qd. Visited after 4, 12, 20 and 28 weeks.</t>
  </si>
  <si>
    <t>UPDRS_III_items20_21__zonisamide_baseline</t>
  </si>
  <si>
    <t>UPDRS_III_items20_21__zonisamide_follow-up</t>
  </si>
  <si>
    <t>Mann-Whitney-U-test;</t>
  </si>
  <si>
    <t>Type-I-error correction with Dunnett test</t>
  </si>
  <si>
    <t>UPDRS_III_total__zonisamide_baseline</t>
  </si>
  <si>
    <t>UPDRS_III_total__zonisamide_follow-up</t>
  </si>
  <si>
    <t>dopamin_agonist</t>
  </si>
  <si>
    <t>Mailland, E., Magnani, P., &amp; Ottillinger, B.</t>
  </si>
  <si>
    <t>Arzneimittelforschung, 54(10), 647-654.</t>
  </si>
  <si>
    <t>Alpha-dihydroergocryptine in the Long-term Therapy of Parkinson’s Disease</t>
  </si>
  <si>
    <t>Drug Res. formerly Arzneim.-Forsch.</t>
  </si>
  <si>
    <t>To investigate the safety of alpha-DHEC</t>
  </si>
  <si>
    <t>patients chosen by neurologists in practice</t>
  </si>
  <si>
    <t>iPS according to unknown clinical criteria; treatment with levodopa and alpha-DHEC</t>
  </si>
  <si>
    <t>patients received alpha-DHEC over six months, initial dose 10mg qd, increased up to median dose of 30mg qd. at first three months or 40 mg month 4 to 6 qd.</t>
  </si>
  <si>
    <t>rest_tremor_improvement_right__alphaDHEC_three_months</t>
  </si>
  <si>
    <t>rest_tremor_improvement_right__alphaDHEC_six_months</t>
  </si>
  <si>
    <t>rest_tremor_improvement_left__alphaDHEC_three_months</t>
  </si>
  <si>
    <t>rest_tremor_improvement_left__alphaDHEC_six_months</t>
  </si>
  <si>
    <t>postural_tremor_improvement_right__alphaDHEC_three_months</t>
  </si>
  <si>
    <t>postural_tremor_improvement_right__alphaDHEC_six_months</t>
  </si>
  <si>
    <t>postural_tremor_improvement_left__alphaDHEC_three_months</t>
  </si>
  <si>
    <t>postural_tremor_improvement_left__alphaDHEC_six_months</t>
  </si>
  <si>
    <t>budipine; amantadine</t>
  </si>
  <si>
    <t>Malsch, U., Bliesath, H., Boether, K., Ramm, H., &amp; Luehmann, R.</t>
  </si>
  <si>
    <t>Fortschritte der Neurologie-psychiatrie, 69(2), 86-89.</t>
  </si>
  <si>
    <t>Monotherapy of Parkinson's disease with budipine: A randomized double-blind comparision to amantadine.</t>
  </si>
  <si>
    <t>Fortschr Neurol Psychiatr</t>
  </si>
  <si>
    <t>To compare budipine and amantadine with respect to efficacy and safety in monotherapy of mildly to moderately affected iPS-patients</t>
  </si>
  <si>
    <t>Neurologische Abteilung, Klinikum Nord, Hamburg</t>
  </si>
  <si>
    <t>budipine</t>
  </si>
  <si>
    <t>amantadin</t>
  </si>
  <si>
    <t xml:space="preserve">Patients randomly assigned to a. budipine or b. amantadine. Evaluation by Webster-Rating-Scale after 1, 2, 3, 4, 6, 8 and 12 weeks. Bradykinesia, rigidity and tremor separately analysed. </t>
  </si>
  <si>
    <t>WRS_tremor-score__budipine_mean-difference</t>
  </si>
  <si>
    <t>WRS_tremor-score__amantadine_mean-difference</t>
  </si>
  <si>
    <t>Mann-Whitney-U-test; Wilcoxon-signed-rank-test; U-test; Fishers-exact test</t>
  </si>
  <si>
    <t>WRS_tremor_score__budipine_follow-up</t>
  </si>
  <si>
    <t>WRS_tremor_score__amantadine_follow-up</t>
  </si>
  <si>
    <t>Mark, M. H., &amp; Sage, J. I.</t>
  </si>
  <si>
    <t>Annals of Clinical &amp; Laboratory Science, 19(6), 415-421.</t>
  </si>
  <si>
    <t xml:space="preserve">Long-term efficacy of controlled-release carbidopa/levodopa in patients with advanced Parkinson's disease. </t>
  </si>
  <si>
    <t>Ann. Clin. Lab. Sci.</t>
  </si>
  <si>
    <t>To observe the long-term effects of controlled-release levodopa on motor symptoms of iPS-patients</t>
  </si>
  <si>
    <t>Rutgers Robert Wood Johnson Medical School, New Brunswick</t>
  </si>
  <si>
    <t>iPS according to unknown clinical criteria; presence of motor fluctuations; continued use of extended release levodopa formulation after participation in previous RCT</t>
  </si>
  <si>
    <t>Controlled-release levodopa at individual dosage and scheme was administered and changes were assessed after 12 months. Adjustments of other medication was allowed</t>
  </si>
  <si>
    <t>improvements_in_UPDRS_tremor_scores_ percentage</t>
  </si>
  <si>
    <t>medication regimes changed during the follow-up period in 16 of 21 patients (added normal release dopa or bromocirptine)</t>
  </si>
  <si>
    <t>Mentenopoulos, G., Katsarou, Z., Bostantjopoulou, S., &amp; Logothetis, J.</t>
  </si>
  <si>
    <t>Clinical neuropharmacology, 12(1), 23-28.</t>
  </si>
  <si>
    <t>Piribedil Therapy in Parkinson's Disease Use of the Drug in the Retard Form</t>
  </si>
  <si>
    <t>evaluate the efficacy of piribedil in iPS-patients</t>
  </si>
  <si>
    <t>Greece</t>
  </si>
  <si>
    <t>AHEPA Hospital Thessaloniki</t>
  </si>
  <si>
    <t>previous antiparkinsonian medication including levodopa, anticholinergics and amantadine remained stable. Over 20 weeks pirbedil was administered starting with 50mg in cr formulation, weekly increment of 50mg up to maxmum of 200mg daily. Weekly examinations during first month, afterwards monthly</t>
  </si>
  <si>
    <t>pegboard_score__piribedil_baseline</t>
  </si>
  <si>
    <t>pegboard_score__piribedil_follow-up</t>
  </si>
  <si>
    <t>percentual_bradykinesia_improvement__piribedil</t>
  </si>
  <si>
    <t>percentual_rigidity_improvement__piribedil</t>
  </si>
  <si>
    <t>percentual_tremor_improvement__piribedil</t>
  </si>
  <si>
    <t>Mizuno, Y., Kondo, T., &amp; Narabayashi, H.</t>
  </si>
  <si>
    <t>Neurology, 45(3 Suppl 3), S13-S21.</t>
  </si>
  <si>
    <t>Pergolide in the treatment of Parkinson's Disease</t>
  </si>
  <si>
    <t>To evaluate the efficacy and safety of pergolide for iPS-patients</t>
  </si>
  <si>
    <t>Department of Neurology, Juntendo University School of Medicine, Bunkyo, Tokyo</t>
  </si>
  <si>
    <t>Short-term open label study with 68 de-novo and 314 iPS-patients on levodopa with insufficient symptom relief receiving pergolide as add-on. The start dosage was 0.05mg daily and was increased to 5mg daily tid over 8 weeks. iPS symptoms evaluated using simplified rating scale similar to UPDRS with 21 items.</t>
  </si>
  <si>
    <t>UPDRS_III_items20_21__pergolide-levodopa_baseline</t>
  </si>
  <si>
    <t>UPDRS_III_items20_21__pergolide-levodopa_follow-up</t>
  </si>
  <si>
    <t>descriptive; otherwise not reported</t>
  </si>
  <si>
    <t>Mizuno et al. 1995 provides a synopsis of three studies which were conducted before, all of which provided as outcome a score with 5 items which rated the motor symptoms</t>
  </si>
  <si>
    <t>pergolide; bromocriptine</t>
  </si>
  <si>
    <t>To evaluate the efficacy and safety of pergolide for the treatment of iPS-patients</t>
  </si>
  <si>
    <t>bromocriptine</t>
  </si>
  <si>
    <t>pergolide-levodopa</t>
  </si>
  <si>
    <t>bromocriptin-levodopa</t>
  </si>
  <si>
    <t>Short-term double-blind study: 345 Patients randomly assigned to a. pergolide or b. bromocriptin. Up to day 14 fixed amount of either pergolide or bromcriptin. maintenance dosage thereafter determined for individual patient.</t>
  </si>
  <si>
    <t>UPDRS_III_items20_21__bromocriptine_baseline</t>
  </si>
  <si>
    <t>UPDRS_III_items20_21__bromocriptine_follow-up</t>
  </si>
  <si>
    <t>UPDRS_III_items20_21__bromocriptine-levodopa_baseline</t>
  </si>
  <si>
    <t>UPDRS_III_items20_21__bromocriptine-levodopa_follow-up</t>
  </si>
  <si>
    <t>descriptive, otherwise not reported</t>
  </si>
  <si>
    <t>Mizuno et al. 1995 provides a synopsis of three studies which were conducted before, all of which provided as outcome a score with 5 items which rated the motor symptoms. Authors report, that score equals UPDRS, so that values were termed accordingly</t>
  </si>
  <si>
    <t>Mizuno, Y., Hattori, N., Kondo, T., Nomoto, M., Origasa, H., Takahashi, R., ... &amp; Yanagisawa, N.</t>
  </si>
  <si>
    <t>Clinical Neuropharmacology, 40(5), 201.</t>
  </si>
  <si>
    <t>A randomized double-blind placebo-controlled phase III trial of selegiline monotherapy for early parkinson disease</t>
  </si>
  <si>
    <t>Clin Neuropharmacol</t>
  </si>
  <si>
    <t>To evaluate the efficacy and safety of selegiline monotheray in patients with iPS</t>
  </si>
  <si>
    <t>parallel design</t>
  </si>
  <si>
    <t>Different centers in Japan</t>
  </si>
  <si>
    <t>IPS according to clinical diagnosis according to Brain Bank criteria; age between 20 and 75 years; motor symptoms for less than five years; hoehn and yahr stage of 1 to 3; no therapy with antiparkinson agents or less than 12 weeks of treatment; updrs scores of ten or greater</t>
  </si>
  <si>
    <t>Treatment with pethidine, tramadol, tricyclic antidepressants, selective serotonin reuptake inhibitors; certain antihistaminic drugs or drugs possibly affecting PD symptoms within three weeks before first medication intake; patients suffereing from concomitant impaired consciousness, hallucinations, delusions and abnormal disorders; therapy for epilepsy; patients with serious complications, e.g., cardiovascular, renal, hepatic or hematologic disorders; patients with past or current abuse of central nervous system stimulants such as antihypnotic drugs or cocaine; female patients whoe were pregnant or lactating or were willing to become pregnang during the trial; patients who had participated in other clinical trials with selegiline</t>
  </si>
  <si>
    <t>Subjects were randomised to a. placebo or b. oral selegline. At first two weeks 1 mg qd was administered, at weeks 2-3 2.5mg bid, week 4-5 5mg in the morning and 2.5mg in the afternoon and from week 6 onwards 5mf bid</t>
  </si>
  <si>
    <t>UPDRS_items20_21__selegiline_mean-difference</t>
  </si>
  <si>
    <t>UPDRS_items20_21__placebo_mean-difference</t>
  </si>
  <si>
    <t>Found per hand searching</t>
  </si>
  <si>
    <t>Moeller, J. C., Oertel, W. H., Koester, J., Pezzoli, G., &amp; Provinciali, L.</t>
  </si>
  <si>
    <t>Movement disorders: official journal of the Movement Disorder Society, 20(5), 602-610.</t>
  </si>
  <si>
    <t>Long-term Efficacy and Safety of Pramipexole in Advanced Parkinson's Disease: Results From a European Multicenter Trial</t>
  </si>
  <si>
    <t>To compare the efficacy, safety and tolerability of pramipexole compared to placebo in advanced iPS-patients</t>
  </si>
  <si>
    <t>Germany, Italy</t>
  </si>
  <si>
    <t>Department of Neurology, Philipps-University of Marburg; Department of Neurology, University of Ancona, Italy; Department of Neuroscience, Istituti Clinici di Perfezionamento, Milan</t>
  </si>
  <si>
    <t>advanced iPS according to unknown clinical criteria; presence of motor fluctuations under levodopa treatment as end-of-dose phenomena</t>
  </si>
  <si>
    <t xml:space="preserve">30 days before randomization washout of dopamine agonists, iPS-patients randomized to a. pramipexole and b. placebo. Ascending dose phase of seven weeks, maitenance phase of up to 24 weeks. </t>
  </si>
  <si>
    <t>UPDRS_items16_20_21__pramipexole_baseline</t>
  </si>
  <si>
    <t>UPDRS_items16_20_21__pramipexole_follow-up</t>
  </si>
  <si>
    <t>UPDRS_items16_20_21__placebo_baseline</t>
  </si>
  <si>
    <t>UPDRS_items16_20_21__placebo_follow-up</t>
  </si>
  <si>
    <t>57-months open label study</t>
  </si>
  <si>
    <t>Wilcoxon-Mann-Whitney-Test</t>
  </si>
  <si>
    <t>Montastruc, J. L., Ziegler, M., Rascol, O., &amp; Malbezin, M.</t>
  </si>
  <si>
    <t>Movement disorders: official journal of the Movement Disorder Society, 14(2), 336-341.</t>
  </si>
  <si>
    <t xml:space="preserve">A Randomized, Double-Blind Study of a Skin Patch of a Dopaminergic Agonist, Piribedil, in Parkinson’s Disease </t>
  </si>
  <si>
    <t>to evaluate the pharmacologic activity of one and two transdermal patches of piribedil in combination with L-dopa on the motor symptoms of iPS</t>
  </si>
  <si>
    <t>parallel-design</t>
  </si>
  <si>
    <t>France</t>
  </si>
  <si>
    <t xml:space="preserve">Cochin Hospital, Paris </t>
  </si>
  <si>
    <t>iPS according to unknown clinical criteria; aged between 35 and 80 years; Hoehn and Yahr stages 1 to 3; disease duration of less than 10 years; medication with levodopa for at least six months at dosages of more than 800mg qd divided into less than six dosages; levodopa regime unchanged for at least one month before inclusion; unchanged motor status and mood over two weeks before entering the study in terms of both Hoehn and Yahr stage and investigator impression; inadequate clinical response to current therapies as shown by persistent parkinsonian symptoms</t>
  </si>
  <si>
    <t>neurodegenerative disorders; secondary or atypical Parkinsonism; systemic diseases as revealed by medical or laboratory examination; patients whose placebo patches failed to stick during the selection period; previous treatment with dopamine agonists if not withdrawn at least one month before enrolment; therapy with anticholinergics and selegiline initiated  less than one month before study enrolment; changes of dopamine agonist dosage during the trial</t>
  </si>
  <si>
    <t>piribedil50</t>
  </si>
  <si>
    <t xml:space="preserve">Transdermal patches with 30-cm2 matrices containing 50mg micronized piribedil and an adhesive strip were used, wheras placebo was of matching appearance. Two patches were applied daily at the same time on the dorsal surface of the arm, one below the other, on alternating arms at each application. If a patch became unstuck over more than half its area before the scheduled removal time, a replacement patch was applied to the same site. During the selection period, patients were treated for seven days with two placebo patches. At inclusion, randomization into three parallel treatment groups: a. two piribedil patches, b. two placebo patches, or c. one piribedil and one placebo patch. </t>
  </si>
  <si>
    <t>Values for one patch with 50mg were omitted.</t>
  </si>
  <si>
    <t>Further outcomes</t>
  </si>
  <si>
    <t>UPDRS_III_item20__arm1_baseline</t>
  </si>
  <si>
    <t>UPDRS_III_item20__arm1_follow-up</t>
  </si>
  <si>
    <t>UPDRS_III_item21__arm1_baseline</t>
  </si>
  <si>
    <t>UPDRS_III_item21__arm1_follow-up</t>
  </si>
  <si>
    <t>UPDRS_III_item20__arm2_baseline</t>
  </si>
  <si>
    <t>UPDRS_III_item20__arm2_follow-up</t>
  </si>
  <si>
    <t>UPDRS_III_item21__arm2_baseline</t>
  </si>
  <si>
    <t>UPDRS_III_item21__arm2_follow-up</t>
  </si>
  <si>
    <t>UPDRS_III_item21__placebo_baseline</t>
  </si>
  <si>
    <t>UPDRS_III_item21__placebo_follow-up</t>
  </si>
  <si>
    <t>UPDRS_III_items20_21__piribedil50_baseline</t>
  </si>
  <si>
    <t>UPDRS_III_items20_21__piribedil50_follow-up</t>
  </si>
  <si>
    <t>UPDRS_III_items20_21__piribedil100_baseline</t>
  </si>
  <si>
    <t>UPDRS_III_items20_21__piribedil100_follow-up</t>
  </si>
  <si>
    <t>Mueller, T., Kungel, M., &amp; Rink, P.</t>
  </si>
  <si>
    <t>psychoneuro, 29(10), 462-468.</t>
  </si>
  <si>
    <t>Treatment of Parkinson’s disease with controlled release levodopa/carbidopa: An open observational trial</t>
  </si>
  <si>
    <t>Psychoneuro</t>
  </si>
  <si>
    <t>To describe the effects of levodopa and carbidopa in an extended release formulation</t>
  </si>
  <si>
    <t>St. Josef-Hospital, Katholisches Klinikum Bochum</t>
  </si>
  <si>
    <t>iPS according to unknown clinical criteria; Hoehn and Yahr stages 1 to 4</t>
  </si>
  <si>
    <t>Administration of levodopa and carbidopa in a controlled release formulation at individually accepted dosages.</t>
  </si>
  <si>
    <t>tremor_likert_scale__levodopa_baseline</t>
  </si>
  <si>
    <t>tremor_likert_scale__levodopa_follow-up</t>
  </si>
  <si>
    <t>amantadine</t>
  </si>
  <si>
    <t>Mueller, T., Kuhn, W., Schulte, T., &amp; Przuntek, H.</t>
  </si>
  <si>
    <t>Neurosci Lett. 2003 Mar 13;339(1):25-8</t>
  </si>
  <si>
    <t>Intravenous amantadine sulphate application improves the performance of complex but not simple motor tasks in patients with Parkinson’s disease</t>
  </si>
  <si>
    <t>Neurosci. Lett.</t>
  </si>
  <si>
    <t>To determine the efficacy of intravenous amantadine on motor symptoms of iPS-patients</t>
  </si>
  <si>
    <t>iPS according to unknown clinical criteria; no prior medication with amantadine; lack of unpredictable motor fluctuations</t>
  </si>
  <si>
    <t>signs of dementia; concomitant depression; history of cerebral lesions or significant atrophy; medication with neuroleptics</t>
  </si>
  <si>
    <t>three infusions of 200mg amantadine sulphate on three consecutive days, assessment at day four</t>
  </si>
  <si>
    <t>UPDRS_III_items20_21__amantadine_baseline</t>
  </si>
  <si>
    <t>UPDRS_III_items20_21__amantadine_follow-up</t>
  </si>
  <si>
    <t>Type-I-correction with alpha of .008</t>
  </si>
  <si>
    <t>Items for the respective UPDRS scores are provided in a previous paper by Mueller et al referenced in the introduction</t>
  </si>
  <si>
    <t>UPDRS_III_total__amantadine_baseline</t>
  </si>
  <si>
    <t>UPDRS_III_total__amantadine_follow-up</t>
  </si>
  <si>
    <t>UPDRS_III_items20_21__amantadine_baseline_right side</t>
  </si>
  <si>
    <t>UPDRS_III_items20_21__amantadine_follow-up_right side</t>
  </si>
  <si>
    <t>UPDRS_III_items20_21__amantadine_baseline_left side</t>
  </si>
  <si>
    <t>UPDRS_III_items20_21__amantadine_follow-up_left side</t>
  </si>
  <si>
    <t>Nakanishi, T., Mizuno, Y., Goto, I., Iwata, M., Kanazawa, I., Kowa, H., ... &amp; Yanagisawa, N.</t>
  </si>
  <si>
    <t>European neurology, 31(Suppl. 1), 3-16.</t>
  </si>
  <si>
    <t>A nationwide collaborative study on the long-term effects of bromocriptine in patients with parkinson’s disease: The fourth interim report</t>
  </si>
  <si>
    <t>Eur. Neurol.</t>
  </si>
  <si>
    <t>To evaluate long-term effects of bromocriptine on motor symptoms of iPS-patients</t>
  </si>
  <si>
    <t>iPS according to unknown clinical criteria; start on bromocriptine or already on medication thereof</t>
  </si>
  <si>
    <t>characteristics of the complete sample available from Nakanishi, 1988 Eur Neurolog</t>
  </si>
  <si>
    <t>bromocriptine as mono-therapy in de-novo pat. OR randomized: bromocriptine as add-on to levodopa or optimization of dopa mono therapy, mono to combi in the initial mono bromocriptine group possible</t>
  </si>
  <si>
    <t>change in H_y</t>
  </si>
  <si>
    <t>change in disability score tremor subscore</t>
  </si>
  <si>
    <t>* in all groups</t>
  </si>
  <si>
    <t>numbers extractable from figure if needed</t>
  </si>
  <si>
    <t>onset of dyskinesia</t>
  </si>
  <si>
    <t>final report of this trial is Nakanishi 1992, was not able to find it yet</t>
  </si>
  <si>
    <t>pramipexole; pergolide</t>
  </si>
  <si>
    <t>Navan, P., Findley, L. J., Jeffs, J. A., Pearce, R. K., &amp; Bain, P. G.</t>
  </si>
  <si>
    <t>Movement disorders: official journal of the Movement Disorder Society, 18(2), 176-180</t>
  </si>
  <si>
    <t>Double-blind, single dose, cross-over study of the effects of pramipexole, Pergolide, and Placebo on Rest Tremor and UPDRS part III in Parkinson's Disease</t>
  </si>
  <si>
    <t>To compare the effects of single oral dose of a. pramipexole b. pergolide or c. placebo on parkinsonian tremor and part III of the UPDRS</t>
  </si>
  <si>
    <t>Patients from outpatients clinic matching the criteria were asked</t>
  </si>
  <si>
    <t>Division of Neurosciences and Psychological Medicine, Imperial College London</t>
  </si>
  <si>
    <t>iPS according to UK Brain Bank Criteria; rest tremor of at least one upper limb with an intensity of at least 2 of 10; no previous intake of direct acting dopamine agonist</t>
  </si>
  <si>
    <t>Three study days with one week in between. All participants received domperidone 24 hours before start of trial treatment, whereas no anti-parkinsonian medication were allowed from midnight onwards before the study. After baseline assessment, intake of 500 µg of pramipexole or pergolide, respectively or one pill of placebo. Assessment on half-hourly intervals for four hours with double-blind protocol.</t>
  </si>
  <si>
    <t>Likert-scale_rest-tremor__pramipexole_baseline</t>
  </si>
  <si>
    <t>Likert-scale_rest-tremor__pramipexole_follow-up</t>
  </si>
  <si>
    <t>Likert_scale_rest_tremor__placebo_baseline</t>
  </si>
  <si>
    <t>Likert_scale_rest_tremor__placebo_follow-up</t>
  </si>
  <si>
    <t>Bonferroni-correction for type-I-errors</t>
  </si>
  <si>
    <t>All baseline values stem from the entire sample</t>
  </si>
  <si>
    <t>compare effects of single oral dose of a. pramipexole b. pergolide or c. placebo on parkinsonian tremor and part III of the UPDRS</t>
  </si>
  <si>
    <t>patients from outpatients clinic matching the criteria were asked</t>
  </si>
  <si>
    <t>Likert-scale_rest-tremor__pergolide_baseline</t>
  </si>
  <si>
    <t>Likert-scale_rest-tremor__pergolide_follow-up</t>
  </si>
  <si>
    <t>Movement disorders: official journal of the Movement Disorder Society, 18(11), 1324-1331.</t>
  </si>
  <si>
    <t>Randomized, Double-blind, 3-Month Parallel Study of the Effects of Pramipexole, Pergolide, and Placebo on Parkinsonian Tremor</t>
  </si>
  <si>
    <t>To compare anti-tremor effects of pramipexole, pergolide and plaebo in iPS-patients</t>
  </si>
  <si>
    <t>Patients from neurological clinics of Charing Cross and West Middlesex University Hospitals, London and Harold Wood Hospital, Essex</t>
  </si>
  <si>
    <t>IPS according to UK Brain Bank Criteria; symptomatic tremor in at leasrt one upper limb with severitiy on validated tremor rating scale of more than two of ten; no previous medication with direct acting dopamine agonist</t>
  </si>
  <si>
    <t>iPS-patients (n=30) randomly assigned to a. pramipexole b. pergolide or c. placebo. Pre-Treatment with domperidone and after baseline assessment dose gradually titrated upward in 9 levels that is placebo or 1.5mg pramipexole or 1.5mg pergolide tid. Monthly assessment including verbal fluency task while tremor was scored and measured.</t>
  </si>
  <si>
    <t>Likert_scale_tremor_total__pergolide_baseline</t>
  </si>
  <si>
    <t>Likert_scale_tremor_total__pergolide_follow-up</t>
  </si>
  <si>
    <t>Likert_scale_tremor_total__pramipexole_baseline</t>
  </si>
  <si>
    <t>Likert_scale_tremor_total__pramipexole_follow-up</t>
  </si>
  <si>
    <t>Likert_scale_tremor_total__placebo_baseline</t>
  </si>
  <si>
    <t>Likert_scale_tremor_total__placebo_follow-up</t>
  </si>
  <si>
    <t>correction for type-I- error with Bonferroni in pairwise tests</t>
  </si>
  <si>
    <t>there is further accelerometry data in the publication</t>
  </si>
  <si>
    <t>Likert_scale_postural_tremor__placebo_baseline</t>
  </si>
  <si>
    <t>Likert_scale_postural_tremor__placebo_follow-up</t>
  </si>
  <si>
    <t>Likert_scale_spiral_tremor__placebo_baseline</t>
  </si>
  <si>
    <t>Likert_scale_spiral_tremor__placebo_follow-up</t>
  </si>
  <si>
    <t>Likert_scale_rest_tremor__pergolide_baseline</t>
  </si>
  <si>
    <t>Likert_scale_rest_tremor__pergolide_follow-up</t>
  </si>
  <si>
    <t>Likert_scale_postural_tremor__pergolide_baseline</t>
  </si>
  <si>
    <t>Likert_scale_postural_tremor__pergolide_follow-up</t>
  </si>
  <si>
    <t>Likert_scale_spiral_tremor__pergolide_baseline</t>
  </si>
  <si>
    <t>Likert_scale_spiral_tremor__pergolide_follow-up</t>
  </si>
  <si>
    <t>Likert_scale_rest_tremor__pramipexole_baseline</t>
  </si>
  <si>
    <t>Likert_scale_rest_tremor__pramipexole_follow-up</t>
  </si>
  <si>
    <t>Likert_scale_postural_tremor__pramipexole_baseline</t>
  </si>
  <si>
    <t>Likert_scale_postural_tremor__pramipexole_follow-up</t>
  </si>
  <si>
    <t>Likert_scale_spiral_tremor__pramipexole_baseline</t>
  </si>
  <si>
    <t>Likert_scale_spiral_tremor__pramipexole_follow-up</t>
  </si>
  <si>
    <t>Nigro, S., Bordier, C., Cerasa, A., Nisticò, R., Olivadese, G., Vescio, B., ... &amp; Quattrone, A.</t>
  </si>
  <si>
    <t>Parkinsonism &amp; related disorders, 67, 14-20.</t>
  </si>
  <si>
    <t>Apomorphine-induced reorganization of striato-frontal connectivity in patients with tremor-dominant Parkinson’s disease</t>
  </si>
  <si>
    <t>To assess the acute effects of apomorphine versus placebo on tremor and functional connectivity</t>
  </si>
  <si>
    <t>University Magna Graecia Catanzaro</t>
  </si>
  <si>
    <t>iPS according to UK Brain Bank criteria; right handedness; rest tremor of more than 2 points in the UPDRS</t>
  </si>
  <si>
    <t>signs of dementia; depression; concominant neurological diseases; MRI related exclusion criteria</t>
  </si>
  <si>
    <t>off</t>
  </si>
  <si>
    <t>Subjects received a. 1mg apomorphine i.v. and b. placebo i.v. within two days after medication withdrawal in a cross-over and randomised design. Measurement 60 minutes after administration</t>
  </si>
  <si>
    <t>paired-sample-t-Test</t>
  </si>
  <si>
    <t>significant increase of overall connectivity of fronto-striatal modules after apomorphine; authors claim that item 21 was tested, while in fact rest tremor and therefore item 20 in part III of the UPDRS was scored</t>
  </si>
  <si>
    <t>mean_amplitude_percentage_change__apomorphine</t>
  </si>
  <si>
    <t>mean_amplitude_percentage_change__placebo</t>
  </si>
  <si>
    <t>rotigotine</t>
  </si>
  <si>
    <t>Nomoto, M., Iwaki, H., Kondo, H., &amp; Sakurai, M.</t>
  </si>
  <si>
    <t>Journal of Neurology (2018) 265:253–265</t>
  </si>
  <si>
    <t xml:space="preserve">Efficacy and safety of rotigotine in elderly patients with Parkinson's disease in comparison with the non-elderly: a post-hoc analysis of randomized, double-blind, placebo-controlled trials </t>
  </si>
  <si>
    <t>J. Neurol.</t>
  </si>
  <si>
    <t>To examine the efficacy and safety of rotigotine treatment for elderly and non-elderly PD patients separately</t>
  </si>
  <si>
    <t>multi-centre study including 41 centres across Japan</t>
  </si>
  <si>
    <t xml:space="preserve">iPS according to UK Brain Bank criteria; no concomitant treatment with levodopa; Hoehn and Yahr stages I to III; </t>
  </si>
  <si>
    <t>Presence of psychiatric symptoms such as confusion, hallucinations, delusions, excitation, delirium and abnormal behavior; symptomatic orthostatic hypotension; history of epilepsy; complications or history of serious cardiac disease and or arrhythmia; severe renal or hepatic impairments; deep brain stimulation lead surgery; signs of dementia; treatment with levodopa for more than 6 months by the time of informed consent; concomitant treatment with substances that could possibly affect PD symptoms from at least four weeks before the date of first treatment</t>
  </si>
  <si>
    <t>After a four week screening period, there was an eight week titration period and a four week maintenance period, a two week taper period, and, finally, a one week safety follow-up period. Patients received either a. rotigotine transdermal patches with 2 mg/24 hours or b. placebo patches. Weekly increments of 2mg up to a maximum of 16 mg qd during titration period.</t>
  </si>
  <si>
    <t>diff</t>
  </si>
  <si>
    <t>ci_low2</t>
  </si>
  <si>
    <t>ci_high2</t>
  </si>
  <si>
    <t>UPDRS_III_items16_20_21__rotigotine_mean-difference</t>
  </si>
  <si>
    <t>UPDRS_III_items16_20_21__placebo_mean-difference</t>
  </si>
  <si>
    <t>two-samples-t-Test; mixed-effect model with repeated measure (MMRM)</t>
  </si>
  <si>
    <t>Contacted Otsuka Pharmaceuticals for further trials without success; data stems from study Mizuno et al. 2013 published at the MDS journal and is synthesized along with other in a post-hoc analysis in Nomoto et al. 2018</t>
  </si>
  <si>
    <t>Department of Neurology and Clinical Pharmacology, Ehime University Hospital, Ehime Japan</t>
  </si>
  <si>
    <t>post hoc analysis of all randomized, double-blind, placebo-controlled trials with focus on rotigotine in Japan. Two combination-therapy trials (levodopa plus rotigotine vs levodopa + placebo) included.</t>
  </si>
  <si>
    <t>Contacted Otsuka Pharmaceuticals for further trials without success; data stems from study Nomoto et al. 2014 published at the J Neurol. and Mizuno et al. 2014 published in Parkinsonism Relat Disord and is synthesized along with another in a post-hoc analysis from Nomoto et al. 2018</t>
  </si>
  <si>
    <t xml:space="preserve">Nutt, J. G., Carter, J. H., &amp; Carlson, N. E. (2007). </t>
  </si>
  <si>
    <t>Archives of neurology, 64(3), 319-323.</t>
  </si>
  <si>
    <t>Effects of methylphenidate on response to oral levodopa: a double-blind clinical trial</t>
  </si>
  <si>
    <t>Arch. neurol</t>
  </si>
  <si>
    <t>Confirm beneficial effects of pramipexole on core symptoms of iPS with focus on tremor; assess antidepressant effects of pramipexole; demonstrate practicability of Snaith-Hamilton-Pleasure Scale, Tremor impact scale and Short Parkinson's Evaluation Scale</t>
  </si>
  <si>
    <t>Outpatients from Oregon hospital</t>
  </si>
  <si>
    <t>Oregon Health and Science University, Portland, Oregon</t>
  </si>
  <si>
    <t>iPS-patient according to unknown clinical criteria; responsiveness to levodopa; normal vital signs and general medical history and examination</t>
  </si>
  <si>
    <t>unstable medical problems; hypertension; cardiac arrhythmias; Mini-Mental State Examination score of less than 24; intake of monoamine oxidase inhibitors</t>
  </si>
  <si>
    <t>Admission to inpatient stay for four days, during which dosage was titrated to .4mg per kg tid, while other medication was reduced if possible. Subjects returned to two visits after one and two weeks during which the efficacy was tested. Comparisons between measurements at 8am and 8pm. Randomisation to a. methylphenydate and b. placebo</t>
  </si>
  <si>
    <t>tremor_score__methylphenydate_baseline</t>
  </si>
  <si>
    <t>0.25</t>
  </si>
  <si>
    <t>tremor_score__methylphenydate_follow-up</t>
  </si>
  <si>
    <t>0.08</t>
  </si>
  <si>
    <t>tremor_score__placebo_baseline</t>
  </si>
  <si>
    <t>tremor_score__placebo_follow-up</t>
  </si>
  <si>
    <t>paired-t-test; Wilcoxon-signed-rank-test</t>
  </si>
  <si>
    <t>Tremor related outcomes in the paper were provided as medians and no information there for placebo; Corresponding author was contacted but there are no more data available</t>
  </si>
  <si>
    <t>Olanow, C. W., &amp; Alberts, M. J.</t>
  </si>
  <si>
    <t>Advances in neurology, 45, 555-560.</t>
  </si>
  <si>
    <t>Double-blind controlled study of pergolide mesylate as an adjunct to sinemet in the treatment of Parkinson's disease</t>
  </si>
  <si>
    <t>Adv Neurol.</t>
  </si>
  <si>
    <t>Olson, W. L., Gruenthal, M., Mueller, M. E., &amp; Olson, W. H.</t>
  </si>
  <si>
    <t>Am J Med. 1997;102:60–66.</t>
  </si>
  <si>
    <t>Gabapentin for Parkinsonism: A double-blind, placebo-controlled, crossover trial</t>
  </si>
  <si>
    <t>Am J Med.</t>
  </si>
  <si>
    <t>To evaluate the effects of a single dose gabapentin on motor symptoms of iPS-patients</t>
  </si>
  <si>
    <t>crossover-design</t>
  </si>
  <si>
    <t>outpatient clinic and support groups</t>
  </si>
  <si>
    <t>University of Louisville Hospital</t>
  </si>
  <si>
    <t>parkinsonism; age from 35 to 85 years; Hoehn and Yahr stage 2.5 to 5</t>
  </si>
  <si>
    <t>pregnancy; liver disease; kidney disease; bone marrow disease; dystonia; concomitant Huntington disease; essential tremor; cerebellar symptoms</t>
  </si>
  <si>
    <t>six doses of 400mg gabapentin or placebo over three days, eleven days wash-out, crossover</t>
  </si>
  <si>
    <t>UPDRS_items16_20_21__gabapentin_baseline</t>
  </si>
  <si>
    <t>UPDRS_items16_20_21__gabapentin_follow-up</t>
  </si>
  <si>
    <t>somehow problematic is the inclusion of "parkinsonism" so that a lack of differentiation between iPS and Parkinson syndromes is to be assumed</t>
  </si>
  <si>
    <t>RMS_EMG_activity__gabapentin_baseline</t>
  </si>
  <si>
    <t>RMS_EMG_activity__gabapentin_follow-up</t>
  </si>
  <si>
    <t>RMS_EMG_activity__placebo_baseline</t>
  </si>
  <si>
    <t>RMS_EMG_activity__placebo_follow-up</t>
  </si>
  <si>
    <t>Clinical neuropharmacology, 30(2), 72-85.</t>
  </si>
  <si>
    <t>Pramipexole in Levodopa-treated Parkinson Disease Patients of African, Asian, and Hispanic Heritage</t>
  </si>
  <si>
    <t>To evaluate the tolerability, safety, and efficacy of pramipexole in iPS-patients who identified themselves as members of any of three US census designations: African, Hispanic, or Asian.</t>
  </si>
  <si>
    <t>iPS according to UK Brain Bank criteria; subjects self-identified as being of African, Hispanic, or Asian heritage; age of at least 30 years; treatment with stable dosage of levodopa for at least one month before randomization; Hoehn and Yahr stages 2 to 4</t>
  </si>
  <si>
    <t>atypical parkinsonian syndromes; Mini Mental State Examination of less than 21; history of psychosis; occurrence of a seizure within year before screening; clinically significant hepatic or renal disease; clinically significant coronary artery disease, bradycardia, or congestive heart failure; myocardial infarction within six months of randomization; symptomatic orthostatic hypotension; active neoplastic disease; medication with dopamine agonist within two months before inclusion; use of unstable dose of CNS active therapies 60 days before randomization; positive hepatitis B screening</t>
  </si>
  <si>
    <t>a. pramipexole or b. identical appearing placebo was initiated at 0.375mg qd and escalated during first six weeks to a maximal dosage of 4.5mg or until occurence of intolerable side-effects. Medication was administered t.i.d, with subjects receiving 0.375 mg daily during weeks 1 and 2, 1.5mg daily during weeks 3 and 4, 3.0mg daily during week 5, and 4.5 mg from week 6 onwards. In case of side-effects, dosage was decreased temporarily to the prior tolerable level, and titration was resumed to the maximally tolerated dosage. Subjects were maintained at final dosage for four week maintenance period. If disabling parkinsonism developed during maintenance, levodopa dosage was adjusted.</t>
  </si>
  <si>
    <t>UPDRS_III_items20_21__pramipexole_mean-difference</t>
  </si>
  <si>
    <t xml:space="preserve">ITT analysis; ANCOVA </t>
  </si>
  <si>
    <t xml:space="preserve"> including treatment, investigator, treatment-by- investigator terms, and the sum of the baseline UPDRS motor and ADL components as covariates</t>
  </si>
  <si>
    <t>baseline values estimated as group means and pooled standard deviation</t>
  </si>
  <si>
    <t xml:space="preserve">Petramfar, P., Hajari, F., Yousefi, G., Azadi, S., &amp; Hamedi, A. </t>
  </si>
  <si>
    <t>Journal of ethnopharmacology, 247, 112226.</t>
  </si>
  <si>
    <t>Efficacy of oral administration of licorice as an adjunct therapy on improving the symptoms of patients with Parkinson’s disease, A randomized double blinded clinical trial</t>
  </si>
  <si>
    <t>J Ethnopharmacol</t>
  </si>
  <si>
    <t>To investiate the effects of liquorice on symptoms of iPS-patients</t>
  </si>
  <si>
    <t>all patients attending outpatient clinic</t>
  </si>
  <si>
    <t>Imam Reza Clinique at Shiraz University of Medical Sciences</t>
  </si>
  <si>
    <t>iPS according to unknown clinical criteria; age between 30 and 80; disease duration of less than seven years; Hoehn and Yahr stage of less than 4; no medication changes in month before study inititation</t>
  </si>
  <si>
    <t>mediaction with warfarin or SSRI or MAO-inhibitors or diuretics; concomitant diabetes; history of stroke; heart disease; liver disease; renal disease; uncontrolled arterial hypertension; hypokaliaemia; pregnancy; breast feeding</t>
  </si>
  <si>
    <t>six months of 136 mg polyphenol-rich extract of licorice td versus placebo intake</t>
  </si>
  <si>
    <t>UPDRS_items16_20_21__licorice_baseline</t>
  </si>
  <si>
    <t>UPDRS_items16_20_21__licorice_follow-up</t>
  </si>
  <si>
    <t>independent-samples-t-Test</t>
  </si>
  <si>
    <t>methods concise, statistics and interpretation rather difficult (FWE?)</t>
  </si>
  <si>
    <t>Pogarell, O., Gasser, T., Van Hilten, J. J., Spieker, S., Pollentier, S., Meier, D., &amp; Oertel, W. H.</t>
  </si>
  <si>
    <t>Journal of Neurology, Neurosurgery &amp; Psychiatry, 72(6), 713-720.</t>
  </si>
  <si>
    <t xml:space="preserve">Pramipexole in patients with Parkinson's disease and marked drug resistant tremor: a randomised, double blind, placebo controlled multicentre study </t>
  </si>
  <si>
    <t xml:space="preserve"> J. Neurol. Neurosurg. Psychiatry </t>
  </si>
  <si>
    <t>To compare the tremorlytic properties of pramipexole to those of placebo as add-on medication in iPS-patients</t>
  </si>
  <si>
    <t>Germany, Netherlands</t>
  </si>
  <si>
    <t>Department of Neurology, Philipps-University of Marburg; Department of Neurology, Leiden University Medical Center</t>
  </si>
  <si>
    <t>iPS according to UK Brain Bank criteria; marked and drug resistant tremor defined by sum of 6 at one side or 8 on both sides in items 16,20 and 21 of UPDRS</t>
  </si>
  <si>
    <t>atypical parkinson syndrome; signs of severe dementia; epilepsy; previous neurosurgery; electroconvulsive therapy within 90 days before randomisation; severe other physical illness; symptomatic hypotension</t>
  </si>
  <si>
    <t>ON</t>
  </si>
  <si>
    <t>two weeks screening period, random assignment to a. Placebo or b. pramipexole under double blind conditions, ascending dose interval of seven weeks to 0.375 and 4,5mg qd pramipexole or matching placebo, four weeks maintenance period, one week dosis reduction. Additional antiparkinsonian medication stable 30 days before randomisation and during study.</t>
  </si>
  <si>
    <t>Chi-squared-test; two-way-ANOVA; Mantel-Haenszel-Test; Mann-Whitney-U-Test</t>
  </si>
  <si>
    <t>UPDRS_III_total__pramipexole_baseline</t>
  </si>
  <si>
    <t>UPDRS_III_total__placebo_baseline</t>
  </si>
  <si>
    <t>UPDRS_II_III_total__pramipexole_baseline</t>
  </si>
  <si>
    <t>UPDRS_II_III_total__placebo_baseline</t>
  </si>
  <si>
    <t>UPDRS_II_item16__pramipexole_baseline</t>
  </si>
  <si>
    <t>UPDRS_II_item16__placebo_baseline</t>
  </si>
  <si>
    <t>UPDRS_III_item20__pramipexol_baseline</t>
  </si>
  <si>
    <t>tremor_occurence_EMG__pramipexole_baseline</t>
  </si>
  <si>
    <t>tremor_occurence_EMG__placebo_baseline</t>
  </si>
  <si>
    <t>Pollok, B., Makhloufi, H., Butz, M., Gross, J., Timmermann, L., Wojtecki, L., &amp; Schnitzler, A.</t>
  </si>
  <si>
    <t>Movement disorders: official journal of the Movement Disorder Society, 24(1), 91-98.</t>
  </si>
  <si>
    <t>Levodopa affects functional brain networks in Parkinsonian resting tremor</t>
  </si>
  <si>
    <t>investigate effects of single dose of levodopa on rest state connectivity in MEG and on EMG tremor characterstics</t>
  </si>
  <si>
    <t xml:space="preserve">Germany </t>
  </si>
  <si>
    <t>University Hospital, Heinrich Heine University Duesseldorf</t>
  </si>
  <si>
    <t>iPS according to unknown clinical criteria; presence of rest tremor</t>
  </si>
  <si>
    <t>200mg of fast-acting levodopa versus off-state</t>
  </si>
  <si>
    <t>PSD-EMG_tremor_frequency__levodopa_baseline</t>
  </si>
  <si>
    <t>PSD-EMG_tremor_frequency__levodopa_follow-up</t>
  </si>
  <si>
    <t>EMG recorded from extensor dig. Communis</t>
  </si>
  <si>
    <t>Przuntek, H., Bittkau, S., Bliesath, H., Buettner, U., Fuchs, G., Glass, J., ... &amp; Volc, D.</t>
  </si>
  <si>
    <t>Arch Neurol. 2002;59(5):803-806.</t>
  </si>
  <si>
    <t>Budipine provides additional benefit in patients with Parkinson disease receiving a stable optimum dopaminergic drug regimen</t>
  </si>
  <si>
    <t>To demonstrate the efficacy of budipine as add-on on motor symptoms in iPS-patients</t>
  </si>
  <si>
    <t>unpredictable fluctuations; relevant cardiac or hepati or gastrointestinal or pulmonary or metabolic or renal diseases; concomitant psychiatric disorders; therapy with dopamine antagonists</t>
  </si>
  <si>
    <t>Titration of a. budipine up to 60mg qd or b. placebo over five weeks and administered at stable dosages for eleven weeks</t>
  </si>
  <si>
    <t>CURS_tremor_subscore__budipine</t>
  </si>
  <si>
    <t>CURS_tremor_subscore__placebo</t>
  </si>
  <si>
    <t>Mann-Whitney-U-Test</t>
  </si>
  <si>
    <t>SD values were estimated according to fomula in: https://handbook-5-1.cochrane.org/chapter_7/7_7_3_2_obtaining_standard_deviations_from_standard_errors_and.htm</t>
  </si>
  <si>
    <t>memantine</t>
  </si>
  <si>
    <t>Rabey, J. M., Nissipeanu, P., &amp; Korczyn, A. D.</t>
  </si>
  <si>
    <t>Journal of neural transmission - Parkinson's disease and dementia section, 4(4), 277-282.</t>
  </si>
  <si>
    <t>Efficacy of memantine, an NMDA receptor antagonist, in the treatment of Parkinson’s disease</t>
  </si>
  <si>
    <t xml:space="preserve"> J. Neural Transm.  - Park Dis Dement Sect</t>
  </si>
  <si>
    <t>To evaluate the effects of memantine on motor symptoms of iPS-patients</t>
  </si>
  <si>
    <t>Ichilov Hospital, Sackler Faculty of Medicine, Tel Aviv</t>
  </si>
  <si>
    <t>iPS according to unknown clinical criteria; presence of motor fluctuations</t>
  </si>
  <si>
    <t>renal or hepatic or cardiovascular or respiratory or gastrointestinal diseases; signs of dementia; concomitant psychosis</t>
  </si>
  <si>
    <t>Subjects received increasing dosages of memantin until maximal dosage of 30mg qd which was maintained over 28 days</t>
  </si>
  <si>
    <t>WRS_tremor-score__memantine_baseline</t>
  </si>
  <si>
    <t>WRS_tremor-score__memantine_follow-up</t>
  </si>
  <si>
    <t xml:space="preserve">Samotus </t>
  </si>
  <si>
    <t>botulinumtoxin</t>
  </si>
  <si>
    <t>Rahimi, F., Samotus, O., Lee, J., &amp; Jog, M.</t>
  </si>
  <si>
    <t>Tremor and Other Hyperkinetic Movements, 5.</t>
  </si>
  <si>
    <t>Effective management of upper limb parkinsonian tremor by incobotulinumtoxin-A injections using sensor-based biomechanical patterns</t>
  </si>
  <si>
    <t>Tremor Other Hyperkinet Mov (N Y)</t>
  </si>
  <si>
    <t>evaluate safety and efficacy of kinematically-guided, indivldualized incobotulinumtoxin  A injections for upper limb tremor in iPS- and ET-patients</t>
  </si>
  <si>
    <t>patients from outpatient clinc</t>
  </si>
  <si>
    <t>London Movement Disorders Centre Ontario</t>
  </si>
  <si>
    <t>iPS according to UK Brain Bank criteria; Hoehn and Yahr stages from 1 to 3; stable medication for at least six months; no previous treatments with botulinum toxin</t>
  </si>
  <si>
    <t>history of stroke; contraindications for botulinum toxin injections; pregnancy; intake of lithium or valproate</t>
  </si>
  <si>
    <t>EMG-guided individualized injections of incobotulinum toxin into unilateral arm  after kinematic tremor assessment with sensors at wrists, elbows and shoulders; four injections every 12 weeks, mean dose approximately 150U</t>
  </si>
  <si>
    <t>UPDRS_III_item20__botulinum-toxin_baseline</t>
  </si>
  <si>
    <t>UPDRS_III_item20__botulinum-toxin_follow-up</t>
  </si>
  <si>
    <t>all visits (every 6 weeks) included in analysis, here only outcome after final visit (32 weeks) reported</t>
  </si>
  <si>
    <t>UPDRS_III_item21__botulinum-toxin_baseline</t>
  </si>
  <si>
    <t>UPDRS_III_item21__botulinum-toxin_follow-up</t>
  </si>
  <si>
    <t>UPDRS_III_items20_21__botulinum-toxin_baseline</t>
  </si>
  <si>
    <t>UPDRS_III_items20_21__botulinum-toxin_follow-up</t>
  </si>
  <si>
    <t>Rascol, O., Montastruc, J. L., Senard, J. M., Demonet, J. F., Simonetta, M., &amp; Rascol, A.</t>
  </si>
  <si>
    <t>Neurology, 38(9), 1387-1387.</t>
  </si>
  <si>
    <t>Two weeks of treatment with deprenyl (selegiline) does not prolong L-dopa effect in parkinsonian patients: A double-blind cross-over placebo-controlled trial</t>
  </si>
  <si>
    <t>To determine whether deprenyl can improve clinical effects of a single standard dose of levodopa, and whether two weeks of deprenyl treatment could improve parkinsonian patients motor scores</t>
  </si>
  <si>
    <t>Centre Honpitalier Universitaire, Faculte de Mecine. Paris</t>
  </si>
  <si>
    <t>iPS according to unknown clinical criteria; treatment with levodopa at a stable dosage for at least two months before entering the trial; levodopa medication had to remain unchanged during the study; other antiparkinsonian drugs were allowed if their dosages remained stable for the same period.</t>
  </si>
  <si>
    <t>random motor fluctuations; “on-off’ phenomena; freezing of gait; clinical evidence of dementia</t>
  </si>
  <si>
    <t>a. selegiline 10mg daily or b. placebo in a controlled double-blind cross-over design for two successive periods of two weeks each.</t>
  </si>
  <si>
    <t>URSPD_tremor__selegiline_baseline</t>
  </si>
  <si>
    <t>URSPD_tremor__selegiline_follow-up</t>
  </si>
  <si>
    <t>URSPD_tremor__placebo_baseline</t>
  </si>
  <si>
    <t>URSPD_tremor__placebo_follow-up</t>
  </si>
  <si>
    <t>Reichmann, H., Brecht, H. M., Kraus, P. H., &amp; Lemke, M. R.</t>
  </si>
  <si>
    <t>Der Nervenarzt, 73(8), 745-750.</t>
  </si>
  <si>
    <t>[Pramipexole in Parkinson disease Results of a treatment observation]</t>
  </si>
  <si>
    <t>Nervenarzt</t>
  </si>
  <si>
    <t>To observe the efficacy and safety of pramipexole in clinical practice</t>
  </si>
  <si>
    <t>Patients from outpatient clinics</t>
  </si>
  <si>
    <t>for TIS 391</t>
  </si>
  <si>
    <t>pramipexole in individualized daily dosage of up to 3.15mg qd over nine weeks with unaltered dosage within last five weeks</t>
  </si>
  <si>
    <t>TIS__pramipexole_baseline</t>
  </si>
  <si>
    <t>TIS__pramipexole_follow-up</t>
  </si>
  <si>
    <t>TIS is a 6 item self evaluation, measures activities of daily living and psychosocial effects</t>
  </si>
  <si>
    <t>Reichmann, H., Brecht, M. H., Koester, J., Kraus, P. H., &amp; Lemke, M. R.</t>
  </si>
  <si>
    <t>CNS drugs, 17(13), 965-973.</t>
  </si>
  <si>
    <t>Pramipexole in Routine Clinical Practice. A Prospective Observational Trial in Parkinson's Disease.</t>
  </si>
  <si>
    <t>CNS drugs</t>
  </si>
  <si>
    <t>To confirm the beneficial effects of pramipexole on core symptoms of iPS with focus on tremor, to assess antidepressant effects of pramipexole and to demonstrate the practicability of the Snaith-Hamilton-Pleasure Scale, Tremor impact scale and Short Parkinson's Evaluation Scale</t>
  </si>
  <si>
    <t>outpatient clinics all over Germany</t>
  </si>
  <si>
    <t>iPS-patient according to unknown clinical criteria</t>
  </si>
  <si>
    <t>Treatment details from 298 German centres and 657 iPS-patients. Tretament with pramipexole initiated by local neurologist with 0,35mg td, increased weekly up to 4,5mg over 4 weeks. Clinical evaluation at baseline, at end of titration phase and at end of observation.</t>
  </si>
  <si>
    <t>TIS__rotigotine_baseline</t>
  </si>
  <si>
    <t>TIS__rotigotine_follow-up</t>
  </si>
  <si>
    <t>Researchers used the Tremor Impact Scale (TIS)</t>
  </si>
  <si>
    <t>TIS_ADL__rotigotine_baseline</t>
  </si>
  <si>
    <t>TIS_ADL__rotigotine_follow-up</t>
  </si>
  <si>
    <t>Reichmann, H., Angersbach, D., &amp; Buchwald, B.</t>
  </si>
  <si>
    <t>Der Nervenarzt, 76(10), 1239-40</t>
  </si>
  <si>
    <t xml:space="preserve"> [Practical experience on improving activities of daily living competence in Parkinson’s patients treated with ropinirole Results of a applied study]</t>
  </si>
  <si>
    <t>Observe efficacy and safety of ropinirole in iPS-patients</t>
  </si>
  <si>
    <t>Outpatient clinics from 172 centres</t>
  </si>
  <si>
    <t>iPS according to unknown criteria; less than 4mg ropinirole qd</t>
  </si>
  <si>
    <t>allergies; liver or renal failure; pregnancy</t>
  </si>
  <si>
    <t>Individualised dosage of ropinirole was increased up to 24mg qd over twelve weeks. Stable dosage within last six weeks of observation</t>
  </si>
  <si>
    <t>UPDRS_items16_20_21__ropinirole_baseline</t>
  </si>
  <si>
    <t>UPDRS_items16_20_21__ropinirole_follow-up</t>
  </si>
  <si>
    <t>Reichmann, H., &amp; Jost, W. H.</t>
  </si>
  <si>
    <t>European journal of neurology, 17(9), 1164-1171.</t>
  </si>
  <si>
    <t>Efficacy and tolerability of rasagiline in daily clinical use - A post-marketing observational study in patients with Parkinson’s disease</t>
  </si>
  <si>
    <t>Eur J Neurol</t>
  </si>
  <si>
    <t>observe the efficacy and tolerability of rasagiline as mono and combination therapy in large population of iPS-patients</t>
  </si>
  <si>
    <t>iPS according to unknown clinical criteria; clinical decision to prescribe rasagiline</t>
  </si>
  <si>
    <t>monotherapy</t>
  </si>
  <si>
    <t>add-on</t>
  </si>
  <si>
    <t>Administration of rasagiline 1mg qd as monotherapy or as add-on therapy</t>
  </si>
  <si>
    <t>CURS_improvement_tremor_score__rasagiline_monothterapy_percentage</t>
  </si>
  <si>
    <t>CURS_improvement_tremor_score__rasagiline_add-on_percentage</t>
  </si>
  <si>
    <t>only limited statistics/data about tremor improvement provided, authors were contacted but there are no data available</t>
  </si>
  <si>
    <t>Ridgel, A. L., Peacock, C. A., Fickes, E. J., &amp; Kim, C. H.</t>
  </si>
  <si>
    <t>Archives of physical medicine and rehabilitation, 93(11), 2049-2054.</t>
  </si>
  <si>
    <t>Active-assisted cycling improves tremor and bradykinesia in Parkinson’s disease</t>
  </si>
  <si>
    <t>Arch Phys Med Rehabil</t>
  </si>
  <si>
    <t>To investigate effects of a single session of active assisted cycling on tremor and bradykinesia of iPS-patients</t>
  </si>
  <si>
    <t>Recruitment fro community support groups</t>
  </si>
  <si>
    <t>Kent State University</t>
  </si>
  <si>
    <t>iPS according to unknown clinical criteria; Hoehn and Yahr stages 1 to 3</t>
  </si>
  <si>
    <t>contradictions to exercise</t>
  </si>
  <si>
    <t>Subjects were compared at baseline and after half an hour active assisted cycling using a motomed with 75rpm and subjects being asked to pedal 80-85 rpm. Recordings in OFF medication state</t>
  </si>
  <si>
    <t>Kinesia_score_tremor__cycling_baseline</t>
  </si>
  <si>
    <t>Kinesia_score_tremor__cycling_follow-up</t>
  </si>
  <si>
    <t xml:space="preserve">Kinesia accelerometer = finger mounted, more affected side, large variability in tremor between ind., 7 improved </t>
  </si>
  <si>
    <t>Rondot, P., &amp; Ziegler, M.</t>
  </si>
  <si>
    <t>Journal of neurology, 239(1), S28-S34.</t>
  </si>
  <si>
    <t>Activity and acceptability of piribedil in Parkinson's disease: a multicentre study</t>
  </si>
  <si>
    <t>To determine the efficacy of piribedil as monotherapy in iPS-patients</t>
  </si>
  <si>
    <t>iPS according to unknown clinical criteria; either tremor-dominance or presence of all cardinal symptoms of iPS; rest tremor equal to or greater than 1 on Webster scale; Hoehn and Yahr stages 1 to 3; no treatment with levodopa before</t>
  </si>
  <si>
    <t>pure akinetic parkinsonism; recent cardiovascular disease; severe psychological disorder; psychiatric symptoms; treatment with monoaminoxidase A or B inhibitors; intake of neuroleptics or previous treamtent with piribedil</t>
  </si>
  <si>
    <t>Multicentre trial of three months duration; otherwise untreated patients received piribedil, start dosage of 50mg qd, up-titrated to 150-250mg qd</t>
  </si>
  <si>
    <t>tremor_amplitude_rest__piribedil_baseline</t>
  </si>
  <si>
    <t>tremor_amplitude_rest__piribedil_follow-up</t>
  </si>
  <si>
    <t>Friedman-test; Wilcoxon-signed-rank-test; Two-way-ANOVA; Chi-square-test</t>
  </si>
  <si>
    <t xml:space="preserve">correction for type-I-error with Newman-Keuls tests (ANOVA) </t>
  </si>
  <si>
    <t>Values from Webster rating scale for rest and postural tremor</t>
  </si>
  <si>
    <t>Webster_item6__piribedil_baseline</t>
  </si>
  <si>
    <t>Webster_item6__piribedil_follow-up</t>
  </si>
  <si>
    <t>tremor_amplitude_posture__piribedil_baseline</t>
  </si>
  <si>
    <t>tremor_amplitude_posture__piribedil_follow-up</t>
  </si>
  <si>
    <t>WRS_tremor-score__piribedil_baseline</t>
  </si>
  <si>
    <t>WRS_tremor-score__piribedil_follow-up</t>
  </si>
  <si>
    <t>Saavedra-Escalona, J. L., Lupercio-Morales, G., Castro-Rodriguez, E., &amp; Hernandez-Franco, J.</t>
  </si>
  <si>
    <t>Archivos De Neurociencias, 10(3), 133-139.</t>
  </si>
  <si>
    <t xml:space="preserve">Effect of tens over parkinson‘s disease tremor. </t>
  </si>
  <si>
    <t>Arch. de Neurocienc.</t>
  </si>
  <si>
    <t>To explore the symptomatic effects of tens on iPS-patients' tremor</t>
  </si>
  <si>
    <t>iPS-patient from outpatient clinic</t>
  </si>
  <si>
    <t>Mexico</t>
  </si>
  <si>
    <t>Centro de Rehabilitacion y Educacion Especial Zapata, Ciudad de Mexico</t>
  </si>
  <si>
    <t>accelerometer_score_tremor__tens_baseline</t>
  </si>
  <si>
    <t>accelerometer_score_tremor__tens_follow-up</t>
  </si>
  <si>
    <t>trihexphenidyl; levodopa</t>
  </si>
  <si>
    <t>Sahoo, L. K., Holla, V. V., Batra, D., Prasad, S., Bhattacharya, A., Kamble, N., ... &amp; Pal, P. K.</t>
  </si>
  <si>
    <t>Journal of Neural Transmission, 127(12), 1599-1606.</t>
  </si>
  <si>
    <t>Comparison of effectiveness of trihexyphenidyl and levodopa on motor symptoms in Parkinson's disease.</t>
  </si>
  <si>
    <t xml:space="preserve"> J Neural Transm (Vienna)</t>
  </si>
  <si>
    <t>To compare the responsiveness of motor signs to a single fixed dose of trihexphenidyl and levodopa and to compare relative tremor improvement</t>
  </si>
  <si>
    <t>pre-post and cross-over design</t>
  </si>
  <si>
    <t>outpatient clinic</t>
  </si>
  <si>
    <t>India</t>
  </si>
  <si>
    <t>The National Institute of Mental Health and Neuro-Sciences, Bangalore</t>
  </si>
  <si>
    <t>IPS according to MDS diagnostic criteria; current or previous medication with trihexphenidyl</t>
  </si>
  <si>
    <t>MoCA of less than 26; contraindications to trihexphenidyl</t>
  </si>
  <si>
    <t>OFF</t>
  </si>
  <si>
    <t>Overnight medication withdrawal, consecutively 4mg THP over 48 hours. Then, again, overnight medication withdrawal and administration of 200 and 50mg levodopa and carbidopa, respectively</t>
  </si>
  <si>
    <t>UPDRS_III_items20_21__trihexphenidyl_baseline</t>
  </si>
  <si>
    <t>UPDRS_III_items20_21__trihexphenidyl_follow-up</t>
  </si>
  <si>
    <t>Friedman-test</t>
  </si>
  <si>
    <t>botulinum_toxin</t>
  </si>
  <si>
    <t>Samotus, O., Lee, J., &amp; Jog, M. (2017)</t>
  </si>
  <si>
    <t>PLoS One, 12(6), e0178670.</t>
  </si>
  <si>
    <t>Long-term tremor therapy for Parkinson and essential tremor with sensor-guided botulinum toxin type A injections</t>
  </si>
  <si>
    <t>PLoS One</t>
  </si>
  <si>
    <t>To evaluate the safety and efficacy of kinematically-guided, individualised incobotulinumtoxin A injections for upper limb tremor in iPS-patients</t>
  </si>
  <si>
    <t>iPS according to UK Brain Bank criteria; Hoehn and Yahr stage 2 to 3; predominance of tremor; stable medication for at least six months; BoNT-A naive patients</t>
  </si>
  <si>
    <t>history of stroke or amyotrophic lateral sclerosis; contraindications for botox; pregnancy; concomitant medication with lithium, valproate, steroids, amoidarone, beta-adrenergic agonists or zonisamide; history of allergic reactions to botulinum toxin; pregnancy</t>
  </si>
  <si>
    <t>incobotulinumtoxin</t>
  </si>
  <si>
    <t>ET</t>
  </si>
  <si>
    <t>EMG-guided individualized injections of incobotox into unlateral arm mm. after kinematic tremor assessment with sensors at wrists, elbows and shoulders, injections every 12 weeks, mean dose approx. 150 U</t>
  </si>
  <si>
    <t>UPDRS_III_item20__incobotulinumtoxin_baseline</t>
  </si>
  <si>
    <t>UPDRS_III_item20__incobotulinumtoxin_follow-up</t>
  </si>
  <si>
    <t>all visits i.e. every six weeks included in analysis, here only outcome after final visit that is 96 weeks reported; same cohort as Rahimi 2015;</t>
  </si>
  <si>
    <t>FTM_A__incobotulinumtoxin_baseline</t>
  </si>
  <si>
    <t>FTM_A__incobotulinumtoxin_follow-up</t>
  </si>
  <si>
    <t>FTM_B__incobotulinumtoxin_baseline</t>
  </si>
  <si>
    <t>FTM_B__incobotulinumtoxin_follow-up</t>
  </si>
  <si>
    <t>FTM_C__incobotulinumtoxin_baseline</t>
  </si>
  <si>
    <t>FTM_C__incobotulinumtoxin_follow-up</t>
  </si>
  <si>
    <t>perceived_weakness__incobotulinumtoxin_baseline</t>
  </si>
  <si>
    <t>perceived_weakness__incobotulinumtoxin_follow-up</t>
  </si>
  <si>
    <t>UPDRS_III_item21__incobotulinumtoxin_baseline</t>
  </si>
  <si>
    <t>UPDRS_III_item21__incobotulinumtoxin_follow-up</t>
  </si>
  <si>
    <t>UPDRS_III_items20_21__incobotulinumtoxin_baseline</t>
  </si>
  <si>
    <t>UPDRS_III_items20_21__incobotulinumtoxin_follow-up</t>
  </si>
  <si>
    <t>Samotus, O., Lee, J., &amp; Jog, M.</t>
  </si>
  <si>
    <t>Therapeutic advances in neurological disorders, 13</t>
  </si>
  <si>
    <t>Standardized algorithm for muscle selection and dosing of botulinum toxin for Parkinson tremor using kinematic analysis</t>
  </si>
  <si>
    <t>Ther Adv Neurol Disord</t>
  </si>
  <si>
    <t>To investigate rge effects of incobotulinumA injections on tremor of iPS-patients</t>
  </si>
  <si>
    <t>iPS according to unknown clinical criteria; presence of tremor; stable medication over three months</t>
  </si>
  <si>
    <t>history of stroke; concomitant arm weakness; allergies; pregancy</t>
  </si>
  <si>
    <t>de-novo</t>
  </si>
  <si>
    <t>EMG-guided individualized injections of incobotox into arm, uni- or bilaterally after kinematic tremor assessment with sensors at wrists, elbows and shoulders. Four injections every 12 weeks, mean dose approximately 150U</t>
  </si>
  <si>
    <t>MDS_UPDRS_item15_16_17_18__incobotulinumtoxin_mean-difference</t>
  </si>
  <si>
    <t>MDS_UPDRS_item15_16_17_18__incobotulinumtoxin_follow-up</t>
  </si>
  <si>
    <t>all visits (every 6 weeks) included in analysis, here only outcome after final visit reported; average values were created to obtain teh result of the intervention</t>
  </si>
  <si>
    <t>change_tremor_amplitude__incobotulinumtoxin_denovo</t>
  </si>
  <si>
    <t>change_tremor_amplitude__incobotulinumtoxin_levodopa</t>
  </si>
  <si>
    <t>change_QUEST__incobotulinumtoxin_denovo</t>
  </si>
  <si>
    <t>change_QUEST__incobotulinumtoxin_levodopa</t>
  </si>
  <si>
    <t>MDS_UPDRS_item15_16_17_18__incobotulinumtoxin_denovo_baseline</t>
  </si>
  <si>
    <t>MDS_UPDRS_item15_16_17_18__incobotulinumtoxin_denovo_follow-up</t>
  </si>
  <si>
    <t>MDS_UPDRS_item15_16_17_18__incobotulinumtoxin_levodopa_baseline</t>
  </si>
  <si>
    <t>MDS_UPDRS_item15_16_17_18__incobotulinumtoxin_levodopa_follow-up</t>
  </si>
  <si>
    <t xml:space="preserve">Schlesinger, I., Benyakov, O., Erikh, I., Suraiya, S., &amp; Schiller, Y. </t>
  </si>
  <si>
    <t>Movement disorders: official journal of the Movement Disorder Society, 24(14), 2059-2062.</t>
  </si>
  <si>
    <t>Parkinson’s Disease Tremor is Diminished with Relaxation Guided Imagery</t>
  </si>
  <si>
    <t>To assess the effects of relaxation guided imaginary and relaxing music on tremor</t>
  </si>
  <si>
    <t xml:space="preserve">Israel </t>
  </si>
  <si>
    <t>Movement disorders Clinic, Department of Neurology, Rambam Healthcare Centre, Haifa</t>
  </si>
  <si>
    <t>iPS according to unknown clinical criteria; subjects on optimal medical treatment; rest tremor of at least 3 on item 20 of the UPDRS</t>
  </si>
  <si>
    <t>signs of dementia; presence of dyskinesias</t>
  </si>
  <si>
    <t>median</t>
  </si>
  <si>
    <t>range</t>
  </si>
  <si>
    <t>In a two hour session, all participants received a. relaxation guided imagery b. self relaxation period and c. relaxing music. Besides, a baseline period was recorded</t>
  </si>
  <si>
    <t>movements_min-1__relaxing-music_baseline</t>
  </si>
  <si>
    <t>movements_min-1__relaxing-music_follow-up</t>
  </si>
  <si>
    <t xml:space="preserve">mixed-effects model </t>
  </si>
  <si>
    <t>correction for type-I error not further specified</t>
  </si>
  <si>
    <t>arm wrist accelerometer on more affected side, no change during self-relaxation, significant Tremor reduction during music relaxation as well; exercise as baseline was renamed according to respective condition</t>
  </si>
  <si>
    <t>movements_min-1__RGI+15_follow-up</t>
  </si>
  <si>
    <t>movements_min-1__RGI+30_follow-up</t>
  </si>
  <si>
    <t>movements_min-1__self-relaxation_baseline</t>
  </si>
  <si>
    <t>movements_min-1__self-relaxation_follow-up</t>
  </si>
  <si>
    <t>movements_min-1__RGI_baseline</t>
  </si>
  <si>
    <t>movements_min-1__RGI_follow-up</t>
  </si>
  <si>
    <t>Schmitz‐Huebsch, T., Pyfer, D., Kielwein, K., Fimmers, R., Klockgether, T., &amp; Wuellner, U.</t>
  </si>
  <si>
    <t>Movement disorders: official journal of the Movement Disorder Society, 21(4), 543-548.</t>
  </si>
  <si>
    <t>Qigong exercise for the symptoms of Parkinson’s disease: A randomized, controlled pilot study</t>
  </si>
  <si>
    <t>To investigate the effects of Qigong on iPS-symptoms</t>
  </si>
  <si>
    <t>University Hospital of the University of Bonn</t>
  </si>
  <si>
    <t>experience with qigong; changes in medication during previous month before before study; signs of other central nervous system disease; dementia with MMSE of less than 24; clinicalla traceable aphasia</t>
  </si>
  <si>
    <t>qigong</t>
  </si>
  <si>
    <t>two courses of weekly 60 minutes sessions of qigong for eights weeks with eight weeks break inbetween versus no intervention</t>
  </si>
  <si>
    <t>UPDRS_III_items20_21__qigong_baseline</t>
  </si>
  <si>
    <t>UPDRS_III_items20_21__qigong_follow-up</t>
  </si>
  <si>
    <t>90;365</t>
  </si>
  <si>
    <t>Fisher's exact test; Wilcoxon-signed-rank-test</t>
  </si>
  <si>
    <t>Schneider, J. S., Roeltgen, D. P., Mancall, E. L., Chapas-Crilly, J., Rothblat, D. S., &amp; Tatarian, G. T.</t>
  </si>
  <si>
    <t>Neurology, 50(6), 1630-1636.</t>
  </si>
  <si>
    <t>Parkinson’s disease improved function with GM1 ganglioside treatment in a randomized placebo-controlled study</t>
  </si>
  <si>
    <t>To study the effects of GM1-ganglioside injections on motor symptoms of iPS-patients</t>
  </si>
  <si>
    <t>Thomas Jefferson University Philadelphia</t>
  </si>
  <si>
    <t>iPS according to unknown clinical criteria; age between 40 and 80, Hoehn and Yahr stages 1 to 3; no presence of motor fluctuations</t>
  </si>
  <si>
    <t>substance abuse; severe psychiatric disturbances; history of stroke; head injury; concomitant Guillain-Barre-Syndrome; women who were not under birth control</t>
  </si>
  <si>
    <t>GM1</t>
  </si>
  <si>
    <t>Allocation to a. GM1-ganglioside or b. placebo group. At entrance, baseline characteristics were evaluated and all subjects received information on how to perform the administration. 1000mg of active substance solved in 50ml saline solution or only saline solution were administered. Afterwards, subjects were instructed to inject themselves 100 mg GM1-ganglioside daily bid versus placebo over 16 weeks</t>
  </si>
  <si>
    <t>UPDRS_III_items20_21__GM1_baseline</t>
  </si>
  <si>
    <t>UPDRS_III_items20_21__GM1_follow-up</t>
  </si>
  <si>
    <t>28;56;84</t>
  </si>
  <si>
    <t>dopamine_agonist; anticholinergics</t>
  </si>
  <si>
    <t>Schrag, A., Schelosky, L., Scholz, U., &amp; Poewe, W.</t>
  </si>
  <si>
    <t>Movement disorders: official journal of the Movement Disorder Society, 14(2), 252-255.</t>
  </si>
  <si>
    <t>Reduction of parkinsonian signs in patients with Parkinson’s disease by dopaminergic versus anticholinergic single-dose challenges</t>
  </si>
  <si>
    <t>To investigate the effects of single-dose apomorpine or biperiden on tremor, rigidity and bradykinesia in iPS-patients</t>
  </si>
  <si>
    <t>United Kingdom; Germany; Berlin</t>
  </si>
  <si>
    <t>Department of Clinical Neurology, Institute of Neurology, London; Department of Neurology, Virchow-Klinikum Humboldt-University Berlin; Neurology Department, University Hospital of Innsbruck</t>
  </si>
  <si>
    <t>iPS according to UK Brain Bank criteria with tremor</t>
  </si>
  <si>
    <t>medical conditions likely to be exacerbated by any of the drugs</t>
  </si>
  <si>
    <t>a. single-dose of subcutanous apomorphine individual dosage determined beforehand, requiring 25 percent UPDRS III reduction or b. 5mg biperiden iv. in off med state</t>
  </si>
  <si>
    <t>UPDRS_III_items20_21__biperiden_baseline</t>
  </si>
  <si>
    <t>UPDRS_III_items20_21__biperiden_follow-up</t>
  </si>
  <si>
    <t>30;60</t>
  </si>
  <si>
    <t>tremor assessed with accelerometer on more affected hand; all values extracted from figures, item21 is an addition of posture and action tremor</t>
  </si>
  <si>
    <t>UPDRS_III_item20__biperiden_baseline</t>
  </si>
  <si>
    <t>UPDRS_III_item20__biperiden_follow-up</t>
  </si>
  <si>
    <t>UPDRS_III_item21__apomorphine_baseline</t>
  </si>
  <si>
    <t>UPDRS_III_item21__apomorphine_follow-up</t>
  </si>
  <si>
    <t>UPDRS_III_item21__biperiden_baseline</t>
  </si>
  <si>
    <t>UPDRS_III_item21__biperiden_follow-up</t>
  </si>
  <si>
    <t>https://atozmath.com/example/CONM/Ch2_CombinedSD.aspx?he=e</t>
  </si>
  <si>
    <t>Schrag, A., Keens, J., &amp; Warner, J.</t>
  </si>
  <si>
    <t>European Journal of Neurology, 9(3), 253-257.</t>
  </si>
  <si>
    <t>Ropinirole for the treatment of tremor in early Parkinson's disease</t>
  </si>
  <si>
    <t>Eur. J. Neurol.</t>
  </si>
  <si>
    <t>To analyse the effects of ropinirole on tremor in iPS-patients</t>
  </si>
  <si>
    <t>Department of Clinical Neurology, Institute of Neurology London</t>
  </si>
  <si>
    <t>early stage iPS; no levodopa premedication six weeks before inclusion; no dopaminergic medication for two weeks; stable other antiparkinsonian medication two weeks before inclusion</t>
  </si>
  <si>
    <t>Treatment with vasodilators, antiarrhythmics, digoxin, calcium channel blockers, angiotensin-converting enzyme inhibitors, or other antihypertensive agents excluding diuretics; previous treatment with ropinirole; history of severe systemic disease, major psychosis, or signs of dementia; history of severe dizziness or fainting; diastolic blood pressure of less thsn 110mmHg; recent history of alcoholism or drug dependence</t>
  </si>
  <si>
    <t>All antiparkinsonian treatments, except selegiline, were discontinued at least 4 weeks prior to study entry. Patients were entered into seven day placebo run-in period to assess compliance. Patients who were at least 80% compliant
were allowed t o continue in the study. Subjects were stratified to a. ropinirole or b. placebo</t>
  </si>
  <si>
    <t>UPDRS_III_item20__placebo_mean-difference</t>
  </si>
  <si>
    <t>post-hoc analysis on intention-to-treat population</t>
  </si>
  <si>
    <t>SD was estimated according to https://atozmath.com/example/CONM/Ch2_CombinedSD.aspx?he=e; contacted to get more information; data stems from study Adler et al. 1997 published in Neurology and is synthesized along with other in a post-hoc analyses in Schrag et al. 2012</t>
  </si>
  <si>
    <t>UPDRS_III_item21__ropinirole_mean-difference</t>
  </si>
  <si>
    <t>UPDRS_III_item21__placebo_mean-difference</t>
  </si>
  <si>
    <t>UPDRS_III_item20__ropinirole_baseline</t>
  </si>
  <si>
    <t>UPDRS_III_item21__ropinirole_baseline</t>
  </si>
  <si>
    <t>UPDRS_III_items20_21__ropinirole_mean-difference</t>
  </si>
  <si>
    <t>ropinirole; bromocriptine</t>
  </si>
  <si>
    <t>iPS according to unknown clinical criteria; age of 30 years or older; Hoehn and Yahr stages I to III; no medication with levodopa or dopamine agonists, selegiline, amantanide or anticholinergics for longer than six weeks</t>
  </si>
  <si>
    <t>subjects with additional severe systemic or psychiatric diseases; history of alcohol or drug dependence; severe dementia</t>
  </si>
  <si>
    <t>Randomization into two arms with either a. ropinirole and b. bromocriptine. Intake in blinded design td. initial dosages of 0.75 mg and 1.25 mg respectively was titrated upward at weekly intervals according to patients' response up to maximal 24mg ropinirole and 40mg bromocriptine. Levodopa with decarboxylase inhibitor could be used as adjunct medication if therapeutic response insufficient. Efficacy was assessed after 36 months</t>
  </si>
  <si>
    <t>UPDRS_III_item20__bromocriptin_mean-difference</t>
  </si>
  <si>
    <t>SD was estimated according to https://atozmath.com/example/CONM/Ch2_CombinedSD.aspx?he=e; contacted to get more information; data stems from study Korczyn et al. 1999 published in Neurology and is synthesized along with other in a post-hoc analysis in Schrag et al. 2012</t>
  </si>
  <si>
    <t>UPDRS_III_item21__bromocriptin_mean-difference</t>
  </si>
  <si>
    <t>UPDRS_III_item20__bromocriptin_baseline</t>
  </si>
  <si>
    <t>UPDRS_III_item21__bromocriptin_baseline</t>
  </si>
  <si>
    <t>UPDRS_III_items20_21__bromocriptine_mean-difference</t>
  </si>
  <si>
    <t>ropinirole; levodopa</t>
  </si>
  <si>
    <t>iPS according to UK Brain Bank criteria; age between 30 and 80 years; Hoehn and Yahr stages between 1 and 3); necessity of dopaminergic therapy; Prior treatment with levodopa or dopamine agonists limited to a maximum of six weeks and discontinuation at least two weeks before entry into the study</t>
  </si>
  <si>
    <t>Patients suffering from severe dizziness or fainting; concomitant systemic diseases; major psychosis; additional severe dementia; alcoholism or drug dependence;  contraindication to medication with levodopa; treatment with monoamine oxidase inhibitor within two weeks before entry with the exception of selegiline; previous treatment with ropinirole</t>
  </si>
  <si>
    <t>Randomisation to a. ropinirole or b. levodopa. Dosage of study medication were adjusted weekly. Ropinirole was initiated at 0.25mg tid and levodopa therapy at 50mg qd plus placebo twice daily. Maximal dosages were 8mg ropinirole tid  and 400mg levodopa tid. Patients without adequate symptom control despite highest tolerated dose, could be given supplementary levodopa. No other antiparkinsonian therapies were permitted after study initiation.</t>
  </si>
  <si>
    <t>SD was estimated according to https://atozmath.com/example/CONM/Ch2_CombinedSD.aspx?he=e; contacted to get more information; data stems from study Rascol et al. 2000 published in the NEJM and is synthesized along with other in a post-hoc analysis in Schrag et al. 2012</t>
  </si>
  <si>
    <t>UPDRS_III_item21__levodopa_mean-difference</t>
  </si>
  <si>
    <t>UPDRS_III_item20__levodopa_baseline</t>
  </si>
  <si>
    <t>UPDRS_III_item21__levodopa_baseline</t>
  </si>
  <si>
    <t>UPDRS_III_items20_21__levodopa_mean-difference</t>
  </si>
  <si>
    <t>mao_inhibitor</t>
  </si>
  <si>
    <t>Sivertsen, B., Dupont, E., Mikkelsen, B., Mogensen, P., Rasmussen, C., Boesen, F., &amp; Heinonen, E.</t>
  </si>
  <si>
    <t>Acta Neurologica Scandinavica, 80, 147-152.</t>
  </si>
  <si>
    <t>Selegiline and levodopa in early or moderately advanced Parkinson’s disease: a double‐blind controlled short‐ and long‐term study</t>
  </si>
  <si>
    <t>To investigate the effects of selegiline as an add-on to levodopa in iPS-patients</t>
  </si>
  <si>
    <t xml:space="preserve">Denmark </t>
  </si>
  <si>
    <t>University Hospital Arhus</t>
  </si>
  <si>
    <t>iPS according to unknown clinical criteria; Hoehn and Yahr stage 1 to 3; stable dosage of levodopa before entering the study</t>
  </si>
  <si>
    <t>marked dementia; concomitant confusion or psychosis; history of cardiovascular disease; medication with dopamine agonists</t>
  </si>
  <si>
    <t>a. selegiline 10mg qd. vs. b. placebo for eight weeks. Consecutively, four weeks washout followed by cross-over eight weeks.</t>
  </si>
  <si>
    <t>CURS_tremor__apomorphine_baseline</t>
  </si>
  <si>
    <t>CURS_tremor__apomorphine_follow-up</t>
  </si>
  <si>
    <t>CURS_tremor__biperiden_baseline</t>
  </si>
  <si>
    <t>CURS_tremor__biperiden_follow-up</t>
  </si>
  <si>
    <t>long-term  follow-up study also reported, but here no tremor outcome</t>
  </si>
  <si>
    <t>Spieker, S., Loeschmann, P., Jentgens, C., Boose, A., Klockgether, T., &amp; Dichgans, J.</t>
  </si>
  <si>
    <t>Clinical neuropharmacology, 18(3), 266-272.</t>
  </si>
  <si>
    <t>Tremorlytic activity of budipine: A quantitative study with long-term tremor recordings</t>
  </si>
  <si>
    <t xml:space="preserve"> Clin. Neuropharmacol.</t>
  </si>
  <si>
    <t>To investigate the long-term effects of budipine as an add-on in tremor-dominant iPS</t>
  </si>
  <si>
    <t>University Hospital, University of Tuebingen</t>
  </si>
  <si>
    <t>iPS accordint to unknown clinical criteria</t>
  </si>
  <si>
    <t>concomitant anticholinergic medication</t>
  </si>
  <si>
    <t>budipine as an add-on to regular dopaminergic therapy individualized dose, mean 58 mg (range 80,80), 10 surface EMG recording at baseline and after 3-5 months</t>
  </si>
  <si>
    <t>EMG-tremor-intensity__budipine_baseline</t>
  </si>
  <si>
    <t>EMG-tremor-intensity__budipine_follow-up</t>
  </si>
  <si>
    <t>84-140</t>
  </si>
  <si>
    <t>independent-samples-t-tests; Wilcoxon-signed-rank-test</t>
  </si>
  <si>
    <t>Data obtained from figure 2</t>
  </si>
  <si>
    <t>tremor_occurence_change__budipine</t>
  </si>
  <si>
    <t>tremor_intensity_change__budipine</t>
  </si>
  <si>
    <t>UPDRS_II_item16__budipine_baseline</t>
  </si>
  <si>
    <t>UPDRS_II_item16__budipine_follow-up</t>
  </si>
  <si>
    <t>UPDRS_III_item20__budipine_baseline</t>
  </si>
  <si>
    <t>UPDRS_III_item20__budipine_follow-up</t>
  </si>
  <si>
    <t>UPDRS_III_item21__budipine_baseline</t>
  </si>
  <si>
    <t>UPDRS_III_item21__budipine_follow-up</t>
  </si>
  <si>
    <t>Spieker, S., Breit, S., Klockgether, T., &amp; Dichgans, J.</t>
  </si>
  <si>
    <t>Clinical Neuropharmacology Mar-Apr 1999;22(2):115-9.</t>
  </si>
  <si>
    <t>Tremorlytic activity of budipine in Parkinson’s disease</t>
  </si>
  <si>
    <t>To investigate the effects of budipine as an add-on for tremor control in iPS</t>
  </si>
  <si>
    <t>iPS according to unknown clinical criteria; constant dosages of levodopa and bromocriptine before inclusion; LEDD between 200 and 1000mg qd prior to inclusion</t>
  </si>
  <si>
    <t>presence of motor fluctuations; prostate hyperplasia; concomitant glaucoma; other anticholinergic medication</t>
  </si>
  <si>
    <t>All subjects were treated with either a. bromocriptine 60 mg qd or b. placebo for four months, whith the full dose being reached after six weeks</t>
  </si>
  <si>
    <t>CURS_tremor_score__budipine_baseline</t>
  </si>
  <si>
    <t>CURS_tremor_score__budipine_follow-up</t>
  </si>
  <si>
    <t>CURS_tremor_score__placebo_baseline</t>
  </si>
  <si>
    <t>CURS_tremor_score__placebo_follow-up</t>
  </si>
  <si>
    <t>Wilcoxon signed-rank-test</t>
  </si>
  <si>
    <t>CURS tremor subscale: 5 items, max. 20 points</t>
  </si>
  <si>
    <t>tremor_occurence__placebo_baseline</t>
  </si>
  <si>
    <t>tremor_occurence__placebo_follow-up</t>
  </si>
  <si>
    <t>tremor_occurence__budipine_baseline</t>
  </si>
  <si>
    <t>tremor_occurence__budipine_follow-up</t>
  </si>
  <si>
    <t>tremor_intensity__placebo_baseline</t>
  </si>
  <si>
    <t>tremor_intensity__placebo_follow-up</t>
  </si>
  <si>
    <t>tremor_intensity__budipine_baseline</t>
  </si>
  <si>
    <t>tremor_intensity__budipine_follow-up</t>
  </si>
  <si>
    <t>Su, W., Chen, H. B., &amp; Zhang, Z. X.</t>
  </si>
  <si>
    <t>Chinese Journal of Neurology, 37(5), 413-416.</t>
  </si>
  <si>
    <t>A multi-center, randomized, vitamin E controlled and opening clinical trial of selegiline in patients with Parkinson's disease.</t>
  </si>
  <si>
    <t>Chinese J. Neurol.</t>
  </si>
  <si>
    <t>Chinese</t>
  </si>
  <si>
    <t>To investigate the clinical efficacy and safety of selegiline as adjunctive treatment of iPS-patients</t>
  </si>
  <si>
    <t>iPS according to UK Brain Bank criteria; age between 30 and 80 years; insufficient symptom control after former antiparkinsonian treatment; Hoehn and Yahr stages I to III;</t>
  </si>
  <si>
    <t>Exclusion of severe heart, lung, liver or kidney disease; concomitant treatment with serotonin reuptake inhibitors; medical history of recreational drug or alcohol abuse; clinical signs of dementia; concomitant psychosis or other central nervous system diseases;  pregnancy and breastfeeding 
women;</t>
  </si>
  <si>
    <t>Patients were randomly assigned to a. oral administration of 5mg selegiline qd and vitamin E 100mg qd both of which were increased at second week to 10mg qd, and the vitamin 100 mg bid or b. administration of vitamin E 100mg qd and 200mg qd at second week. The other medication remianed unaltered</t>
  </si>
  <si>
    <t>UPDRS_III_item20__selegiline_baseline</t>
  </si>
  <si>
    <t>UPDRS_III_item20__selegiline_follow-up</t>
  </si>
  <si>
    <t>values estimated from raw scores of items 20 and 21, see below</t>
  </si>
  <si>
    <t>translated from chinese</t>
  </si>
  <si>
    <t>UPDRS_III_item21__selegiline-vitaminE_baseline</t>
  </si>
  <si>
    <t>UPDRS_III_item21__selegiline-vitaminE_follow-up</t>
  </si>
  <si>
    <t>UPDRS_III_item21__placebo-vitaminE_baseline</t>
  </si>
  <si>
    <t>UPDRS_III_item21__placebo-vitaminE_follow-up</t>
  </si>
  <si>
    <t>UPDRS_items20_21__selegiline-vitaminE_baseline</t>
  </si>
  <si>
    <t>UPDRS_items20_21__selegiline-vitaminE_follow-up</t>
  </si>
  <si>
    <t>UPDRS_items20_21__placebo-vitaminE_baseline</t>
  </si>
  <si>
    <t>UPDRS_items20_21__placebo-vitaminE_follow-up</t>
  </si>
  <si>
    <t>Takahashi, H., Nogawa, S., Tachibana, H., Kawamura, J., Abe, T., Ogino, Y., ... &amp; Pramipexole Switching Study (PraSS) Group.</t>
  </si>
  <si>
    <t>Journal of International Medical Research, 36(1), 106-114.</t>
  </si>
  <si>
    <t>Pramipexole safely replaces ergot dopamine agonists with either rapid or slow switching</t>
  </si>
  <si>
    <t>J Int Med Res</t>
  </si>
  <si>
    <t>To investigate the efficacy and safety of switiching from ergot dopamine agonists to pramipexole</t>
  </si>
  <si>
    <t>concomitant allergies; additional psychiatric symptoms; severe hypotension; concomitant severe heart, kidney or liver dieases; necessity of long travels by car; working in height, hazardous daily activities; pregnancy or breast feeding</t>
  </si>
  <si>
    <t>Switching from bromocriptine, cabergoline or pergolide to pramipexole either overnight or over a two week period in equivalent dosages; further dosage adjustment of pramipexole if needed up to 4.5mg qd</t>
  </si>
  <si>
    <t>UPDRS_II_item16__pramipexole_follow-up</t>
  </si>
  <si>
    <t xml:space="preserve"> non significant UPDRS items not reported</t>
  </si>
  <si>
    <t>UPDRS_item16_21__pramipexole_baseline</t>
  </si>
  <si>
    <t>UPDRS_item16_21__pramipexole_follow-up</t>
  </si>
  <si>
    <t>Tedeschi, G., Sasso, E., Marshall, R. W., &amp; Bonavita, V.</t>
  </si>
  <si>
    <t>The Italian Journal of Neurological Sciences, 11(3), 259-263.</t>
  </si>
  <si>
    <t>Tremor in Parkinson disease: acute response to oral levodopa</t>
  </si>
  <si>
    <t>Ital. J. Neurol. Sci.</t>
  </si>
  <si>
    <t xml:space="preserve">To investigate the acute tremorolytic effect of oral levodopa </t>
  </si>
  <si>
    <t>cross-over design, single-blind</t>
  </si>
  <si>
    <t>outpatients with iPS</t>
  </si>
  <si>
    <t>Instituto di Scienze Neurologiche, Universita di Napoli</t>
  </si>
  <si>
    <t xml:space="preserve">patients with levodopa and carbidopa treatment discontinued anti-parkinsonian medication three weeks prior to study. Postural and rest tremor measured four hours after last habitual intake of levodopa and 45 minutes after administration of a single dose of levodopa and carbidopa or placebo. Accelerometric measurement of finger tremor on more affected side </t>
  </si>
  <si>
    <t>Rest_tremor__placebo_percentual-change</t>
  </si>
  <si>
    <t>Rest_tremor__levodopa_percentual-change</t>
  </si>
  <si>
    <t>Postural_tremor__placebo_percentual-change</t>
  </si>
  <si>
    <t>Postural_tremor__levodopa_percentual-change</t>
  </si>
  <si>
    <t>Wilcoxon-signed-rank test</t>
  </si>
  <si>
    <t>Trosch, R. M., &amp; Pullman, S. L.</t>
  </si>
  <si>
    <t>Movement disorders: official journal of the Movement Disorder Society, 9(6), 601-609.</t>
  </si>
  <si>
    <t>Botulinum toxin a injections for the treatment of hand tremors</t>
  </si>
  <si>
    <t>To report effects of botulinumtoxin injections on tremor in iPS and essential tremor</t>
  </si>
  <si>
    <t>from outpatient clinic</t>
  </si>
  <si>
    <t>College of Physicians and Surgeons, Columbia University</t>
  </si>
  <si>
    <t>iPS according to unknown clinical criteria; Hoehn and Yahr stage of less than 3; stable medication for one month</t>
  </si>
  <si>
    <t>alcohol abuse; presence of polyneuropathy; concomitant cognitive impairment; motor fluctuations</t>
  </si>
  <si>
    <t>EMG guided individualized botulinumtoxin injections with mean dosage of 107.5U. Muscles were wrist flexors and extensors in almost all patients, additionally other muscles possible. Booster injections after three weeks allowed</t>
  </si>
  <si>
    <t>amplitude_rest_tremor__botulinumtoxin_baseline</t>
  </si>
  <si>
    <t>amplitude_rest_tremor__botulinumtoxin_follow-up</t>
  </si>
  <si>
    <t>paired-samples-t-Test</t>
  </si>
  <si>
    <t>Subjective improvement in 5 patients, botox formulation not specified. Only iPS-patients are included in the analyses</t>
  </si>
  <si>
    <t>change_tremor_amplitude__botulinumtoxin</t>
  </si>
  <si>
    <t>change_Webster_score__botulinumtoxin</t>
  </si>
  <si>
    <t>change_UPDRS_item16__botulinumtoxin</t>
  </si>
  <si>
    <t>Van Laar, T., Van der Geest, R., Danhof, M., Bodde, H. E., Goossens, P. H., &amp; Roos, R. A.</t>
  </si>
  <si>
    <t>Clinical neuropharmacology, 21(3), 152-158.</t>
  </si>
  <si>
    <t>Stepwise intravenous infusion of apomorphine to determine the therapeutic window in patients with Parkinson’s disease</t>
  </si>
  <si>
    <t>To characterize the dose-effect relation of apomorphine in iPS-patients</t>
  </si>
  <si>
    <t>Leiden University Hospital</t>
  </si>
  <si>
    <t>iPS according to unknown clinical criteria; stable medication for more than one month</t>
  </si>
  <si>
    <t>signs of dementia; concomitant other diseases</t>
  </si>
  <si>
    <t>apomorphine infusion with stepwise increase of dosages every 20 minutes, starting at 10ug per kg per hour and maximum 100 ug per kg per hour, then stepwise decrease to baseline</t>
  </si>
  <si>
    <t>ratio_improved_tremor_score__apomorphine</t>
  </si>
  <si>
    <t>Descriptive statistics</t>
  </si>
  <si>
    <t>unclear whether resting or postural tremor was assessed, decrease  of at least two points from baseline was defined as relevant improvement, baseline tremor scores and proportion of patients suffering from tremor unknown</t>
  </si>
  <si>
    <t>Vorasoot, N., Termsarasab, P., Thadanipon, K., &amp; Pulkes, T.</t>
  </si>
  <si>
    <t>Journal of Clinical Neuroscience, 72, 298-303.</t>
  </si>
  <si>
    <t>Effects of handwriting exercise on functional outcome in Parkinson disease: A randomized controlled trial</t>
  </si>
  <si>
    <t>J Clin Neurosci</t>
  </si>
  <si>
    <t>To determine whether handwriting exercise improves writing skills and motor function of iPS-patients</t>
  </si>
  <si>
    <t xml:space="preserve">Thailand </t>
  </si>
  <si>
    <t>Ramathibodi Hospital, Mahidol University</t>
  </si>
  <si>
    <t>iPS according to UK Brain Bank criteria; age of at least 18 years; Hoehn and Yahr stage 1 to 3 on medication; stable medication for six weeks prior to study participation; no presence of motor fluctuations</t>
  </si>
  <si>
    <t>therapy with DBS; concomitant neurological or musculoskeletal disorders</t>
  </si>
  <si>
    <t>excercise</t>
  </si>
  <si>
    <t>handwriting exercises for four weeks vs. no intervention</t>
  </si>
  <si>
    <t>UPDRS_III_items20_21__exercise_baseline</t>
  </si>
  <si>
    <t>UPDRS_III_items20_21__exercise_follow-up</t>
  </si>
  <si>
    <t>independent-samples-t-Test; Mann-Whitney-U-test</t>
  </si>
  <si>
    <t>data from one of the authors</t>
  </si>
  <si>
    <t>UPDRS_III_item20__control_baseline</t>
  </si>
  <si>
    <t>UPDRS_III_item20__control_follow-up</t>
  </si>
  <si>
    <t>UPDRS_III_item20__exercise_baseline</t>
  </si>
  <si>
    <t>UPDRS_III_item20__exercise_follow-up</t>
  </si>
  <si>
    <t>UPDRS_III_item21__control_baseline</t>
  </si>
  <si>
    <t>UPDRS_III_item21__control_follow-up</t>
  </si>
  <si>
    <t>UPDRS_III_item21__exercise_baseline</t>
  </si>
  <si>
    <t>UPDRS_III_item21__exercise_follow-up</t>
  </si>
  <si>
    <t>Weiner, W. J., Factor, S. A., &amp; Sanchez-Ramos, J. R.</t>
  </si>
  <si>
    <t>Journal of Neurology, Neurosurgery &amp; Psychiatry, 52(6), 732-735.</t>
  </si>
  <si>
    <t>The efficacy of (+)-4-propyl-9-hydroxynaphthoxazine as adjunctive therapy in Parkinson’s disease</t>
  </si>
  <si>
    <t>J. Neurol. Neurosurg. Psychiatry</t>
  </si>
  <si>
    <t>Evaluate efficacy and safety of PHNO and Naxagolide in iPS-patients</t>
  </si>
  <si>
    <t>University of Miami</t>
  </si>
  <si>
    <t>iPS according to unknown clinical criteria; Hoehn and Yahr stage 2-3; levodopa-responsiveness</t>
  </si>
  <si>
    <t>intake of anticholinergics, dopamine agonists or amantadine within one week before enrollment</t>
  </si>
  <si>
    <t>four three-day treatment periods with PHNO in increasing dosages from 0.25 to 1mg with 4 day wash-out periods in between</t>
  </si>
  <si>
    <t>UPDRS_item20__PHNO_baseline</t>
  </si>
  <si>
    <t>UPDRS_item20__PHNO_follow-up</t>
  </si>
  <si>
    <t>Wilken, M., Rossi, M. D., Rivero, A. D., Hallett, M., &amp; Merello, M.</t>
  </si>
  <si>
    <t>Parkinsonism &amp; related disorders, 61, 166-169.</t>
  </si>
  <si>
    <t>Latency of re-emergent tremor in Parkinson's disease is influenced by levodopa</t>
  </si>
  <si>
    <t>Parkinsonism Relat. Disord.</t>
  </si>
  <si>
    <t>Study effects of levodopa on amplitude of re-emergent tremor and on tremor pause duration</t>
  </si>
  <si>
    <t>adult iPS-patients from tertiary movement disorders clinic</t>
  </si>
  <si>
    <t>Argentina</t>
  </si>
  <si>
    <t>Raul Carrea Institute for Neurological Research</t>
  </si>
  <si>
    <t>IPS according to MDS diagnostic criteria; presence of rest and re-emergent tremor; age &gt; 18 years; Hoehn and Yahr stages 1 to 3</t>
  </si>
  <si>
    <t>other known causes of tremor; recent exposure to tremorgenic drugs; coexistence of essential tremor; anatomic or orthopedic upper limb disorders</t>
  </si>
  <si>
    <t>Acute levodopa challenge test after 12h to 24h medication withdrawal. Baseline tremor activity at rest and with stretched-out arms measured using an accelerometer. Administration of 250mg levodopa. Measurement repeated every 20min after medication until lowest motor score was registered.</t>
  </si>
  <si>
    <t>MDS_UPDRS_III_item15_16_17_18__levodopa_baseline</t>
  </si>
  <si>
    <t>MDS_UPDRS_III_item15_16_17_18__levodopa_follow-up</t>
  </si>
  <si>
    <t>ANOVA; paired-samples-t-Test; Wilcoxon-signed-rank-test</t>
  </si>
  <si>
    <t>tremor data stemming from personal communiaction. Data in wilken2019.csv. Further extractions possible</t>
  </si>
  <si>
    <t>MDS_UPDRS_III_total__levodopa_baseline</t>
  </si>
  <si>
    <t>reduction in tremor amplitude</t>
  </si>
  <si>
    <t>Yoshii, F., Shinohara, Y., Takeoka, T., Kitagawa, Y., Akiyama, K., &amp; Yazaki, K.</t>
  </si>
  <si>
    <t>Internal medicine, 35(11), 861-865.</t>
  </si>
  <si>
    <t>Treatment of Essential and Parkinsonian Tremor with Nipradilol</t>
  </si>
  <si>
    <t>Intern. Med.</t>
  </si>
  <si>
    <t>To investigate the efficacy and safety of nipradilol for treating tremor in 20 patient with essential tremor and 20 patients with iPS</t>
  </si>
  <si>
    <t>Department of Neurology, Tokai University School of Medicine, Kanagawa</t>
  </si>
  <si>
    <t>severe cardiovascular disease; systolic blood pressure &lt;100 mmHg; bronchial asthma; chronic pulmonary disease; inadequately controlled diabetes mellitus; pregnant women</t>
  </si>
  <si>
    <t xml:space="preserve">Administration of 6mg nipradilol bid for 8 weeks, with no other beta-blockers within two weeks prior to study and during study. IPS medication unchanged during entire study. </t>
  </si>
  <si>
    <t>biary_tremor_score__nipradilol_baseline</t>
  </si>
  <si>
    <t>biary_tremor_score__nipradilol_follow-up</t>
  </si>
  <si>
    <t>Wilcoxon-signed-rank-test; Chi-square-test</t>
  </si>
  <si>
    <t>Biary Scale: 0 = no tremor/writing impairment 1= mild tremor/writing or drawing spirals mildly impaired 2 =moderate tremor 3 = severe tremor, writing illegible, unable to dring liquids. Accelerometry was discarded as only subpopulation of three patients recorded</t>
  </si>
  <si>
    <t>Zach, H., Dirkx, M. F., Pasman, J. W., Bloem, B. R., &amp; Helmich, R. C.</t>
  </si>
  <si>
    <t>CNS neuroscience &amp; therapeutics, 23(3), 209-215.</t>
  </si>
  <si>
    <t>Cognitive Stress Reduces the Effect of Levodopa on Parkinson’s Resting Tremor</t>
  </si>
  <si>
    <t>CNS Neurosci Ther</t>
  </si>
  <si>
    <t>To explore the acute effects of levodopa and cognitive stress on resting tremor in iPS-patients</t>
  </si>
  <si>
    <t>Subjects recruited from outpatient clinic</t>
  </si>
  <si>
    <t>iPS according to UK Brain Bank criteria; rest tremor with amplitude greater than 0 at least at one upper extremity</t>
  </si>
  <si>
    <t>neurological comorbidities; entrainment or distractibility of tremor; allergies against any study medication; MMSE less than 24; FAB less than 12;</t>
  </si>
  <si>
    <t>All subjects received levodopa challenge in off-medication state with single dose of 200 of levodopa and 50mg of benserazide</t>
  </si>
  <si>
    <t>tremor_amplitude_accelerometer_rest__levodopa_baseline</t>
  </si>
  <si>
    <t>tremor_amplitude_accelerometer_rest__levodopa_follow-up</t>
  </si>
  <si>
    <t>Paired-samples-t-test, ANOVA</t>
  </si>
  <si>
    <t>clinical tremor assessment and accelerometer attached to more severely affected hand</t>
  </si>
  <si>
    <t>UPDRS_III_item17__levodopa_baseline</t>
  </si>
  <si>
    <t>UPDRS_III_item17__levodopa_follow-up</t>
  </si>
  <si>
    <t>tremor_amplitude_accelerometer_coco__levodopa_baseline</t>
  </si>
  <si>
    <t>tremor_amplitude_accelerometer_coco__levodopa_follow-up</t>
  </si>
  <si>
    <t>UPDRS_III_total__levodopa_baseline</t>
  </si>
  <si>
    <t>UPDRS_III_total__levodopa_follow-up</t>
  </si>
  <si>
    <t>Zach, H., Dirkx, M. F., Roth, D., Pasman, J. W., Bloem, B. R., &amp; Helmich, R. C.</t>
  </si>
  <si>
    <t>Neurology, 95(11), e1461-e1470.</t>
  </si>
  <si>
    <t>Dopamine-responsive and dopamine-resistant resting tremor in Parkinson disease.</t>
  </si>
  <si>
    <t>To explore the effects of supramaximal single dose of levodopa on resting tremor in iPS-patients</t>
  </si>
  <si>
    <t>pre-post study</t>
  </si>
  <si>
    <t>After overnight medication withdrawal, administration of single dose dispersible 200mg levodopa and benserazide. Measurement of MDS-UPDRS, accelerometry dorsal on one hand, tremor during rest and during cognitive coactivation</t>
  </si>
  <si>
    <t>MDS_UPDRS_item17_18__levodopa_baseline</t>
  </si>
  <si>
    <t>MDS_UPDRS_item17_18__levodopa_follow-up</t>
  </si>
  <si>
    <t>Spearman-rank-correlation</t>
  </si>
  <si>
    <t>additionally follow up after 6 months on average with same result</t>
  </si>
  <si>
    <t>accelerometry_tremor_intensity__levodopa_baseline</t>
  </si>
  <si>
    <t>accelerometry_tremor_intensity__levodopa_follow-up</t>
  </si>
  <si>
    <t>accelerometry_tremor_intensity_cognitive_coactivation__levodopa_baseline</t>
  </si>
  <si>
    <t>accelerometry_tremor_intensity_cognitive_coactivation__levodopa_follow-up</t>
  </si>
  <si>
    <t>Zhang, L., Zhang, Z., Chen, Y., Qin, X., Zhou, H., Zhang, C., ... &amp; Li, J.</t>
  </si>
  <si>
    <t>International Journal of Neuropsychopharmacology, 16(7), 1529-1537.</t>
  </si>
  <si>
    <t>Efficacy and safety of rasagiline as an adjunct to levodopa treatment in Chinese patients with Parkinson’s disease: A randomized, double-blind, parallel-controlled, multi-centre trial</t>
  </si>
  <si>
    <t xml:space="preserve"> Int J Neuropsychopharmacol</t>
  </si>
  <si>
    <t>To investigate the effects of rasagiline as an add-on to levodopa in Chinese iPS-patients</t>
  </si>
  <si>
    <t>double-blind</t>
  </si>
  <si>
    <t xml:space="preserve">China </t>
  </si>
  <si>
    <t>IPS according to clinical diagnosis with at least two of the symptoms bradykinesia, tremor, rigidity; age between 30 and 75; disease duration of less than 10 years; presence of motor fluctuations; Hoehn and Yahr stage less than 5 in OFF medication state; levodopa dose less than 800mg qd</t>
  </si>
  <si>
    <t>medication with selegiline within last 60 days; medication with fluoxetine or fluvoxamine within last 35 days; significant cognitive dysfunction; psychiatric problems; any severe illness; allergies; addictions; pregnancy; breast feeding; glaucoma; dysphagia; consciousness disorders</t>
  </si>
  <si>
    <t>Participants reveived either a. 1mg rasagiline qd  or b. placebo over 12 weeks. Assessments at baseline and after this period</t>
  </si>
  <si>
    <t>UPDRS_III_items20_21__rasagiline_baseline</t>
  </si>
  <si>
    <t>UPDRS_III_items20_21__rasagiline_follow-up</t>
  </si>
  <si>
    <t>paired-samples-test</t>
  </si>
  <si>
    <t>comt_inhibitor</t>
  </si>
  <si>
    <t>Zhang, P. L., Wang, Y. X., Chen, Y., Zhang, C. H., &amp; Li, C. H.</t>
  </si>
  <si>
    <t>Experimental and therapeutic medicine, 15(1), 127-130.</t>
  </si>
  <si>
    <t>The efficacy of homemade tolcapone in the treatment of patients with parkinson’s disease</t>
  </si>
  <si>
    <t>Exp Ther Med</t>
  </si>
  <si>
    <t>To investigate the effects of homemade tolcapone on motor symptoms of iPS-patients</t>
  </si>
  <si>
    <t>Tianjin Huanhu Hospital, Jinnan</t>
  </si>
  <si>
    <t>iPS according to unknown clinical criteria; age between 40 and 70 years; Hoehn and Yahr stage of less than 5 in the ON condition; stable medication in previous month</t>
  </si>
  <si>
    <t>heart disease; liver disease; kindey diease; atypical Parkinsonism; allergies to drugs or food; neoplastic disease; history of mental illness; hepatitis B; pregnancy; breast feeding women</t>
  </si>
  <si>
    <t>26 weeks of 100 mg tolcapone as an add-on to levodopa td</t>
  </si>
  <si>
    <t>UPDRS_III_tremor__experimental_baseline</t>
  </si>
  <si>
    <t>UPDRS_III_tremor__control_baseline</t>
  </si>
  <si>
    <t>UPDRS_III_tremor__experimental_follow-up</t>
  </si>
  <si>
    <t>UPDRS_III_tremor__control_follow-up</t>
  </si>
  <si>
    <t>several more</t>
  </si>
  <si>
    <t>independent-samples-t-test</t>
  </si>
  <si>
    <t>lots of information missing, like e.g. how was this tolcapone manufactured and which items comprise the "tremor score" of the UPDRS</t>
  </si>
  <si>
    <t>change_UPDRS_III__tremor_experimental</t>
  </si>
  <si>
    <t>change_UPDRS_III__tremor_control</t>
  </si>
  <si>
    <t>droxidopa</t>
  </si>
  <si>
    <t>Zhao, S., Cheng, R., Zheng, J., Li, Q., Wang, J., Fan, W., ... &amp; Liu, S.</t>
  </si>
  <si>
    <t>Parkinsonism &amp; related disorders, 21(10), 1214-1218.</t>
  </si>
  <si>
    <t>A randomized, double-blind, controlled trial of add-on therapy in moderate-to-severe Parkinson’s disease</t>
  </si>
  <si>
    <t>Parkinsonism Relat Disord.</t>
  </si>
  <si>
    <t>evaluate effects of droxidopa as add-on on motor symptoms and daily living in iPS-patients</t>
  </si>
  <si>
    <t>iPS according to UK Brain Bank criteria; age 45-75; Hoehn and Yahr stage greater than 3 in the ON condition</t>
  </si>
  <si>
    <t>prior intake of COMT- or MAO-inhibitors; pregnancy; other diseases; Deep Brain Stimulation</t>
  </si>
  <si>
    <t>200 mg droxidopa td vs. placebo for 6 weeks</t>
  </si>
  <si>
    <t>UPDRS_III_item20__droxidopa_baseline</t>
  </si>
  <si>
    <t>UPDRS_III_item20__droxidopa_follow-up</t>
  </si>
  <si>
    <t>GCI</t>
  </si>
  <si>
    <t>Cochran-Mantel-Haenszel-test; Fisher-exact-test</t>
  </si>
  <si>
    <t>Zhou, H., Ye, M., Xu, W., Yu, M., Liu, X., &amp; Chen, Y.</t>
  </si>
  <si>
    <t>Experimental and therapeutic medicine, 17(5), 3800-3806.</t>
  </si>
  <si>
    <t>DL‑3‑n‑butylphthalide therapy for Parkinson’s disease: A randomized controlled trial</t>
  </si>
  <si>
    <t>investigate effects of DL‑3‑n‑butylphthalide on motor symptoms, sleep and quality of life in iPS-patients</t>
  </si>
  <si>
    <t>single-blinded investigator</t>
  </si>
  <si>
    <t xml:space="preserve">from outpatient clinic </t>
  </si>
  <si>
    <t>First Affiliated Hospital of Bengbu Medical College, Bengbu</t>
  </si>
  <si>
    <t>iPS according to UK Brain Bank criteria; age 40-80; stable medication for 6 weeks or without prior medication; relative or friend willing to participate</t>
  </si>
  <si>
    <t>gastrointestinal, hepatic, renal, respiratory or cardiac disease; infections; alcoholism; drug addiction; hypersensitivity to celery; any factor precluding neuropsychological testing</t>
  </si>
  <si>
    <t>nbp</t>
  </si>
  <si>
    <t>placebo_c</t>
  </si>
  <si>
    <t xml:space="preserve">NBP 200mg td for 24 weeks as an add-on or monotherapy vs. no treatment </t>
  </si>
  <si>
    <t>tremor_score__NBP_baseline</t>
  </si>
  <si>
    <t>tremor_score__NBP_follow-up</t>
  </si>
  <si>
    <t>Mann-Whitney-U-test</t>
  </si>
  <si>
    <t>unclear how these large tremor subscores are calculated - higher than mean total UPDRS III?</t>
  </si>
  <si>
    <t>Ziegler M. &amp; Rondot P.</t>
  </si>
  <si>
    <t>Presse Med. 1999 Sep 11;28(26):1414-8.</t>
  </si>
  <si>
    <t>Activité du piribédil dans la maladie de Parkinson.</t>
  </si>
  <si>
    <t>La presse medicale</t>
  </si>
  <si>
    <t>French</t>
  </si>
  <si>
    <t>To investigate the effects of piribedil on levodopa-naive patients with Parkinson’s disease</t>
  </si>
  <si>
    <t>Patients recruited from outpatients clinics of 23 centres in France</t>
  </si>
  <si>
    <t>Centres in France</t>
  </si>
  <si>
    <t>iPS-patient according to unknown clinical criteria; resting tremor present with a score of more than 1 on the Webster scale; Hoehn and Yahr stages between 1 and 3</t>
  </si>
  <si>
    <t>bradykinetic-rigid subtypes; recent cardiovascular diseases such as myocardial infarction or orthostatic dysfunction; psychiatric comorbidities; chronic renal or liver diseases; treatment with neuroleptics or MAO-inhibitors or medication other than levodopa to treat symptoms before</t>
  </si>
  <si>
    <t>Measurement at baseline and after three months by experienced neurologist and severeity scored by means of the Webster scale</t>
  </si>
  <si>
    <t>Webster-scale_rest-tremor__piribedil_baseline</t>
  </si>
  <si>
    <t>Webster-scale_rest-tremor__piribedil_follow-up</t>
  </si>
  <si>
    <t>Ziegler, M., Castro‐Caldas, A., Del Signore, S., &amp; Rascol, O.</t>
  </si>
  <si>
    <t>Movement disorders: official journal of the Movement Disorder Society, 18(4), 418-425.</t>
  </si>
  <si>
    <t>Efficacy of Piribedil as Early Combination to Levodopa in Patients with Stable Parkinson’s Disease: A 6-Month, Randomized, Placebo-Controlled Study</t>
  </si>
  <si>
    <t>To demonstrate therapeutic benefits of piribedil, in comparison to placebo, as early add-on to levodopa.</t>
  </si>
  <si>
    <t>France; Portugal</t>
  </si>
  <si>
    <t>iPS according to unknown clinical criteria; disease duration of less than 10 years; age between 35 and 75 years; Hoehn and Yahr stage 1 to 3; previous therapy with dopamine agonists, anticholinergics, and amantadine discontinued for at least one month before screening; levodopa treatment for more than six months but less than eight years; residual parkinsonism on a stable dosage of levodopa between 150mg and 800mg qd; patients under treatment with selegiline could participate as long as they were on stable dosage more than one month before enrolment</t>
  </si>
  <si>
    <t>Concomitant treatment with anxiolytics, hypnotics, and antidepressants except for MAO-inhibitors, amineptine, medifoxamine, fluoxetine, and fluphenazine with nortriptyline iff therapies remained unchanged throughout the trial; presence of motor fluctuations</t>
  </si>
  <si>
    <t xml:space="preserve">administration of placebo during 15 days. Random assignment to a. piribedil plus levodopa or b. placebo plus levodopa. Medication was continued for six months. Starting dosage for medication was 50mg qd. , which was increased every two weeks at 50mg steps to 150mg tid. By the fifth week and up to 6 months, subjects received dosage achieved in the titration phase, whereas levodopa was kept stable until fourth month but could be adjusted afterwards if therapeutic efficacy was not maintained. </t>
  </si>
  <si>
    <t>UPDRS_III_item20__piribedil_mean-difference</t>
  </si>
  <si>
    <t xml:space="preserve"> one-sided-t-test; ITT basis</t>
  </si>
  <si>
    <t>Park Relat Disord</t>
  </si>
  <si>
    <t>Parkinsonism &amp; Related Disorders, 60, 146-152.</t>
  </si>
  <si>
    <t>Hattori, N., Takeda, A., Takeda, S., Nishimura, A., Kitagawa, T., Mochizuki, H., ... &amp; Takahashi, R.</t>
  </si>
  <si>
    <t>Rasagiline monotherapy in early Parkinson's disease: A phase 3, randomized study in Japan.</t>
  </si>
  <si>
    <t>To evaluate the efficacy and safety of rasagiline as monoherapy in iPS-patients</t>
  </si>
  <si>
    <t>IPS according to UK Brain Bank criteria; age between 30 to 79 years; Hoehn and Yahr stages of 1 to 3; MDS-UPDRS scores of more than 14</t>
  </si>
  <si>
    <t>Any investigational drug within prior 90 days; previous use of rasagiline; MMSE of less than 24; treatment with amantadine or an anticholinergic drug for more than 180 days; treatment with selegiline, levodopa or dopamine agonists for more 90 days; use of selegiline within 90 days of first visit, or of any medication containing levodopa, dopamine agonists, amantadine or anticholinergic drugs within 30 days of first visit; Concomitant use of antidepressants</t>
  </si>
  <si>
    <t>After initial two-week single-blind run-in period, in which patients received placebo once daily, a 26-week double-blind treatment period was conducted which patients were randomized 1:1 to receive a. placebo or b. oral rasagiline 1 mg qd</t>
  </si>
  <si>
    <t>UPDRS_III_items20_21__rasagiline_mean-difference_baseline</t>
  </si>
  <si>
    <t>UPDRS_III_items20_21__placebo_mean-difference_baseline</t>
  </si>
  <si>
    <t>UPDRS_III_items16_20_21__pramipexole_mean-difference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</si>
</sst>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yyyy\-mm\-dd"/>
    <numFmt numFmtId="165" formatCode="yyyy\-mmm\-dd"/>
    <numFmt numFmtId="166" formatCode="#.00"/>
    <numFmt numFmtId="167" formatCode="0\ %"/>
    <numFmt numFmtId="168" formatCode="dd\-mmm\-yyyy"/>
    <numFmt numFmtId="169" formatCode="0.00\ %"/>
    <numFmt numFmtId="170" formatCode="0.00000"/>
    <numFmt numFmtId="171" formatCode="_-* #,##0.00\ _€_-;\-* #,##0.00\ _€_-;_-* \-??\ _€_-;_-@_-"/>
  </numFmts>
  <fonts count="12" x14ac:knownFonts="1">
    <font>
      <sz val="11"/>
      <color rgb="FF000000"/>
      <name val="Calibri"/>
      <family val="2"/>
      <charset val="1"/>
    </font>
    <font>
      <sz val="10"/>
      <color rgb="FF000000"/>
      <name val="Calibri"/>
      <family val="2"/>
      <charset val="1"/>
    </font>
    <font>
      <b/>
      <sz val="10"/>
      <color rgb="FF000000"/>
      <name val="Calibri"/>
      <family val="2"/>
      <charset val="1"/>
    </font>
    <font>
      <sz val="10"/>
      <color rgb="FF2E2E2E"/>
      <name val="Calibri"/>
      <family val="2"/>
      <charset val="1"/>
    </font>
    <font>
      <u/>
      <sz val="11"/>
      <color rgb="FF0563C1"/>
      <name val="Calibri"/>
      <family val="2"/>
      <charset val="1"/>
    </font>
    <font>
      <u/>
      <sz val="10"/>
      <color rgb="FF0563C1"/>
      <name val="Calibri"/>
      <family val="2"/>
      <charset val="1"/>
    </font>
    <font>
      <i/>
      <sz val="10"/>
      <color rgb="FF000000"/>
      <name val="Calibri"/>
      <family val="2"/>
      <charset val="1"/>
    </font>
    <font>
      <sz val="10"/>
      <color rgb="FF333333"/>
      <name val="Calibri"/>
      <family val="2"/>
      <charset val="1"/>
    </font>
    <font>
      <sz val="10"/>
      <color rgb="FF000000"/>
      <name val="Times New Roman"/>
      <family val="1"/>
      <charset val="1"/>
    </font>
    <font>
      <sz val="10"/>
      <color rgb="FF212121"/>
      <name val="Segoe UI"/>
      <family val="2"/>
      <charset val="1"/>
    </font>
    <font>
      <u/>
      <sz val="10"/>
      <color rgb="FF000000"/>
      <name val="Calibri"/>
      <family val="2"/>
      <charset val="1"/>
    </font>
    <font>
      <sz val="11"/>
      <color rgb="FF000000"/>
      <name val="Calibri"/>
      <family val="2"/>
      <charset val="1"/>
    </font>
  </fonts>
  <fills count="3">
    <fill>
      <patternFill patternType="none"/>
    </fill>
    <fill>
      <patternFill patternType="gray125"/>
    </fill>
    <fill>
      <patternFill patternType="solid">
        <fgColor rgb="FFFFFFFF"/>
        <bgColor rgb="FFFFFFCC"/>
      </patternFill>
    </fill>
  </fills>
  <borders count="1">
    <border>
      <left/>
      <right/>
      <top/>
      <bottom/>
      <diagonal/>
    </border>
  </borders>
  <cellStyleXfs count="4">
    <xf numFmtId="0" fontId="0" fillId="0" borderId="0"/>
    <xf numFmtId="171" fontId="11" fillId="0" borderId="0" applyBorder="0" applyProtection="0"/>
    <xf numFmtId="0" fontId="4" fillId="0" borderId="0" applyBorder="0" applyProtection="0"/>
    <xf numFmtId="0" fontId="11" fillId="0" borderId="0"/>
  </cellStyleXfs>
  <cellXfs count="62">
    <xf numFmtId="0" fontId="0" fillId="0" borderId="0" xfId="0"/>
    <xf numFmtId="0" fontId="1" fillId="0" borderId="0" xfId="0" applyFont="1"/>
    <xf numFmtId="0" fontId="1" fillId="0" borderId="0" xfId="0" applyFont="1" applyAlignment="1">
      <alignment wrapText="1"/>
    </xf>
    <xf numFmtId="0" fontId="2" fillId="0" borderId="0" xfId="0" applyFont="1"/>
    <xf numFmtId="0" fontId="1" fillId="0" borderId="0" xfId="0" applyFont="1" applyBorder="1" applyAlignment="1">
      <alignment horizontal="left"/>
    </xf>
    <xf numFmtId="0" fontId="1" fillId="0" borderId="0" xfId="0" applyFont="1" applyAlignment="1">
      <alignment horizontal="left"/>
    </xf>
    <xf numFmtId="0" fontId="2" fillId="0" borderId="0" xfId="0" applyFont="1" applyBorder="1" applyAlignment="1">
      <alignment horizontal="left"/>
    </xf>
    <xf numFmtId="2" fontId="1" fillId="0" borderId="0" xfId="0" applyNumberFormat="1" applyFont="1" applyAlignment="1">
      <alignment wrapText="1"/>
    </xf>
    <xf numFmtId="0" fontId="2" fillId="0" borderId="0" xfId="0" applyFont="1" applyAlignment="1">
      <alignment horizontal="left"/>
    </xf>
    <xf numFmtId="164" fontId="1" fillId="0" borderId="0" xfId="0" applyNumberFormat="1" applyFont="1" applyAlignment="1">
      <alignment wrapText="1"/>
    </xf>
    <xf numFmtId="2" fontId="1" fillId="0" borderId="0" xfId="0" applyNumberFormat="1" applyFont="1"/>
    <xf numFmtId="0" fontId="1" fillId="0" borderId="0" xfId="3" applyFont="1"/>
    <xf numFmtId="0" fontId="1" fillId="0" borderId="0" xfId="3" applyFont="1" applyAlignment="1">
      <alignment wrapText="1"/>
    </xf>
    <xf numFmtId="0" fontId="2" fillId="0" borderId="0" xfId="3" applyFont="1" applyBorder="1" applyAlignment="1">
      <alignment horizontal="left"/>
    </xf>
    <xf numFmtId="0" fontId="1" fillId="0" borderId="0" xfId="3" applyFont="1" applyAlignment="1">
      <alignment horizontal="left"/>
    </xf>
    <xf numFmtId="0" fontId="3" fillId="0" borderId="0" xfId="0" applyFont="1" applyAlignment="1">
      <alignment wrapText="1"/>
    </xf>
    <xf numFmtId="2" fontId="1" fillId="0" borderId="0" xfId="3" applyNumberFormat="1" applyFont="1" applyAlignment="1">
      <alignment wrapText="1"/>
    </xf>
    <xf numFmtId="2" fontId="1" fillId="0" borderId="0" xfId="3" applyNumberFormat="1" applyFont="1"/>
    <xf numFmtId="16" fontId="1" fillId="0" borderId="0" xfId="0" applyNumberFormat="1" applyFont="1"/>
    <xf numFmtId="0" fontId="5" fillId="0" borderId="0" xfId="2" applyFont="1" applyBorder="1" applyAlignment="1" applyProtection="1"/>
    <xf numFmtId="0" fontId="1" fillId="0" borderId="0" xfId="0" applyFont="1" applyAlignment="1">
      <alignment horizontal="left" vertical="center" wrapText="1"/>
    </xf>
    <xf numFmtId="165" fontId="1" fillId="0" borderId="0" xfId="0" applyNumberFormat="1" applyFont="1" applyAlignment="1">
      <alignment wrapText="1"/>
    </xf>
    <xf numFmtId="166" fontId="1" fillId="0" borderId="0" xfId="0" applyNumberFormat="1" applyFont="1" applyAlignment="1">
      <alignment wrapText="1"/>
    </xf>
    <xf numFmtId="166" fontId="0" fillId="0" borderId="0" xfId="0" applyNumberFormat="1"/>
    <xf numFmtId="0" fontId="4" fillId="0" borderId="0" xfId="2" applyBorder="1" applyProtection="1"/>
    <xf numFmtId="0" fontId="7" fillId="0" borderId="0" xfId="0" applyFont="1" applyAlignment="1">
      <alignment wrapText="1"/>
    </xf>
    <xf numFmtId="1" fontId="1" fillId="0" borderId="0" xfId="0" applyNumberFormat="1" applyFont="1" applyAlignment="1">
      <alignment horizontal="right" vertical="center" wrapText="1"/>
    </xf>
    <xf numFmtId="1" fontId="1" fillId="0" borderId="0" xfId="0" applyNumberFormat="1" applyFont="1" applyAlignment="1">
      <alignment horizontal="right" vertical="center"/>
    </xf>
    <xf numFmtId="2" fontId="1" fillId="0" borderId="0" xfId="0" applyNumberFormat="1" applyFont="1" applyAlignment="1">
      <alignment horizontal="left" wrapText="1"/>
    </xf>
    <xf numFmtId="0" fontId="1" fillId="0" borderId="0" xfId="0" applyFont="1" applyAlignment="1">
      <alignment horizontal="left" wrapText="1"/>
    </xf>
    <xf numFmtId="167" fontId="1" fillId="0" borderId="0" xfId="0" applyNumberFormat="1" applyFont="1" applyAlignment="1">
      <alignment wrapText="1"/>
    </xf>
    <xf numFmtId="168" fontId="1" fillId="0" borderId="0" xfId="0" applyNumberFormat="1" applyFont="1" applyAlignment="1">
      <alignment wrapText="1"/>
    </xf>
    <xf numFmtId="2" fontId="1" fillId="0" borderId="0" xfId="0" applyNumberFormat="1" applyFont="1" applyAlignment="1">
      <alignment horizontal="right" wrapText="1"/>
    </xf>
    <xf numFmtId="0" fontId="1" fillId="0" borderId="0" xfId="0" applyFont="1" applyAlignment="1">
      <alignment horizontal="right" wrapText="1"/>
    </xf>
    <xf numFmtId="0" fontId="2" fillId="0" borderId="0" xfId="3" applyFont="1"/>
    <xf numFmtId="165" fontId="1" fillId="0" borderId="0" xfId="3" applyNumberFormat="1" applyFont="1" applyAlignment="1">
      <alignment wrapText="1"/>
    </xf>
    <xf numFmtId="0" fontId="2" fillId="0" borderId="0" xfId="3" applyFont="1" applyAlignment="1">
      <alignment horizontal="left"/>
    </xf>
    <xf numFmtId="0" fontId="8" fillId="0" borderId="0" xfId="0" applyFont="1"/>
    <xf numFmtId="2" fontId="1" fillId="0" borderId="0" xfId="0" applyNumberFormat="1" applyFont="1" applyAlignment="1">
      <alignment horizontal="left"/>
    </xf>
    <xf numFmtId="0" fontId="6" fillId="0" borderId="0" xfId="0" applyFont="1"/>
    <xf numFmtId="169" fontId="1" fillId="0" borderId="0" xfId="0" applyNumberFormat="1" applyFont="1" applyAlignment="1">
      <alignment wrapText="1"/>
    </xf>
    <xf numFmtId="167" fontId="1" fillId="0" borderId="0" xfId="0" applyNumberFormat="1" applyFont="1"/>
    <xf numFmtId="170" fontId="1" fillId="0" borderId="0" xfId="0" applyNumberFormat="1" applyFont="1" applyAlignment="1">
      <alignment wrapText="1"/>
    </xf>
    <xf numFmtId="169" fontId="1" fillId="0" borderId="0" xfId="0" applyNumberFormat="1" applyFont="1"/>
    <xf numFmtId="0" fontId="1" fillId="0" borderId="0" xfId="0" applyFont="1" applyBorder="1"/>
    <xf numFmtId="0" fontId="1" fillId="0" borderId="0" xfId="0" applyFont="1" applyBorder="1" applyAlignment="1">
      <alignment wrapText="1"/>
    </xf>
    <xf numFmtId="0" fontId="2" fillId="0" borderId="0" xfId="0" applyFont="1" applyBorder="1"/>
    <xf numFmtId="0" fontId="1" fillId="2" borderId="0" xfId="0" applyFont="1" applyFill="1" applyBorder="1" applyAlignment="1">
      <alignment wrapText="1"/>
    </xf>
    <xf numFmtId="0" fontId="6" fillId="0" borderId="0" xfId="0" applyFont="1" applyBorder="1"/>
    <xf numFmtId="2" fontId="1" fillId="0" borderId="0" xfId="1" applyNumberFormat="1" applyFont="1" applyBorder="1" applyAlignment="1" applyProtection="1"/>
    <xf numFmtId="0" fontId="1" fillId="0" borderId="0" xfId="0" applyFont="1" applyAlignment="1">
      <alignment vertical="center"/>
    </xf>
    <xf numFmtId="2" fontId="1" fillId="0" borderId="0" xfId="0" applyNumberFormat="1" applyFont="1" applyBorder="1" applyAlignment="1">
      <alignment wrapText="1"/>
    </xf>
    <xf numFmtId="2" fontId="1" fillId="0" borderId="0" xfId="0" applyNumberFormat="1" applyFont="1" applyBorder="1"/>
    <xf numFmtId="0" fontId="1" fillId="0" borderId="0" xfId="0" applyFont="1" applyBorder="1" applyAlignment="1">
      <alignment horizontal="left" wrapText="1"/>
    </xf>
    <xf numFmtId="0" fontId="1" fillId="0" borderId="0" xfId="3" applyFont="1" applyAlignment="1">
      <alignment horizontal="left" wrapText="1"/>
    </xf>
    <xf numFmtId="0" fontId="1" fillId="0" borderId="0" xfId="0" applyFont="1" applyAlignment="1">
      <alignment vertical="center" wrapText="1"/>
    </xf>
    <xf numFmtId="0" fontId="9" fillId="0" borderId="0" xfId="0" applyFont="1" applyAlignment="1">
      <alignment vertical="center"/>
    </xf>
    <xf numFmtId="0" fontId="10" fillId="0" borderId="0" xfId="0" applyFont="1"/>
    <xf numFmtId="0" fontId="1" fillId="0" borderId="0" xfId="0" applyFont="1" applyBorder="1" applyAlignment="1">
      <alignment horizontal="left"/>
    </xf>
    <xf numFmtId="0" fontId="2" fillId="0" borderId="0" xfId="0" applyFont="1" applyBorder="1" applyAlignment="1">
      <alignment horizontal="left"/>
    </xf>
    <xf numFmtId="0" fontId="2" fillId="0" borderId="0" xfId="3" applyFont="1" applyBorder="1" applyAlignment="1">
      <alignment horizontal="left"/>
    </xf>
    <xf numFmtId="0" fontId="1" fillId="0" borderId="0" xfId="3" applyFont="1" applyBorder="1" applyAlignment="1">
      <alignment horizontal="left"/>
    </xf>
  </cellXfs>
  <cellStyles count="4">
    <cellStyle name="Komma" xfId="1" builtinId="3"/>
    <cellStyle name="Link" xfId="2" builtinId="8"/>
    <cellStyle name="Standard" xfId="0" builtinId="0"/>
    <cellStyle name="Standard 2" xfId="3" xr:uid="{00000000-0005-0000-0000-000006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212121"/>
      <rgbColor rgb="FF2E2E2E"/>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sharedStrings" Target="sharedString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calcChain" Target="calcChain.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theme" Target="theme/theme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0.xml.rels><?xml version="1.0" encoding="UTF-8" standalone="yes"?>
<Relationships xmlns="http://schemas.openxmlformats.org/package/2006/relationships"><Relationship Id="rId1" Type="http://schemas.openxmlformats.org/officeDocument/2006/relationships/hyperlink" Target="https://atozmath.com/example/CONM/Ch2_CombinedSD.aspx?he=e" TargetMode="External"/></Relationships>
</file>

<file path=xl/worksheets/_rels/sheet98.xml.rels><?xml version="1.0" encoding="UTF-8" standalone="yes"?>
<Relationships xmlns="http://schemas.openxmlformats.org/package/2006/relationships"><Relationship Id="rId1" Type="http://schemas.openxmlformats.org/officeDocument/2006/relationships/hyperlink" Target="https://atozmath.com/example/CONM/Ch2_CombinedSD.aspx?he=e" TargetMode="External"/></Relationships>
</file>

<file path=xl/worksheets/_rels/sheet99.xml.rels><?xml version="1.0" encoding="UTF-8" standalone="yes"?>
<Relationships xmlns="http://schemas.openxmlformats.org/package/2006/relationships"><Relationship Id="rId1" Type="http://schemas.openxmlformats.org/officeDocument/2006/relationships/hyperlink" Target="https://atozmath.com/example/CONM/Ch2_CombinedSD.aspx?he=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69"/>
  <sheetViews>
    <sheetView zoomScale="90" zoomScaleNormal="90" workbookViewId="0">
      <selection activeCell="D1" sqref="D1"/>
    </sheetView>
  </sheetViews>
  <sheetFormatPr baseColWidth="10" defaultColWidth="11.41796875" defaultRowHeight="14.4" x14ac:dyDescent="0.55000000000000004"/>
  <cols>
    <col min="1" max="1" width="8.83984375" style="1" customWidth="1"/>
    <col min="2" max="2" width="15.41796875" style="1" customWidth="1"/>
    <col min="3" max="3" width="37.83984375" style="1" customWidth="1"/>
    <col min="4" max="4" width="43.41796875" style="2" customWidth="1"/>
    <col min="5" max="5" width="11.41796875" style="1"/>
    <col min="6" max="6" width="12.41796875" style="1" customWidth="1"/>
    <col min="7" max="7" width="16.41796875" style="1" customWidth="1"/>
    <col min="8" max="8" width="4.41796875" style="1" customWidth="1"/>
    <col min="9" max="1024" width="11.41796875" style="1"/>
  </cols>
  <sheetData>
    <row r="1" spans="1:5" x14ac:dyDescent="0.55000000000000004">
      <c r="A1" s="3" t="s">
        <v>0</v>
      </c>
      <c r="D1" s="2" t="s">
        <v>1</v>
      </c>
    </row>
    <row r="2" spans="1:5" x14ac:dyDescent="0.55000000000000004">
      <c r="A2" s="58" t="s">
        <v>2</v>
      </c>
      <c r="B2" s="58"/>
      <c r="D2" s="1" t="s">
        <v>3</v>
      </c>
    </row>
    <row r="3" spans="1:5" x14ac:dyDescent="0.55000000000000004">
      <c r="A3" s="58"/>
      <c r="B3" s="58"/>
      <c r="C3" s="5" t="s">
        <v>4</v>
      </c>
      <c r="D3" s="1" t="s">
        <v>5</v>
      </c>
    </row>
    <row r="4" spans="1:5" x14ac:dyDescent="0.55000000000000004">
      <c r="A4" s="58"/>
      <c r="B4" s="58"/>
      <c r="C4" s="5" t="s">
        <v>6</v>
      </c>
      <c r="D4" s="2">
        <v>2011</v>
      </c>
    </row>
    <row r="5" spans="1:5" ht="26.1" x14ac:dyDescent="0.55000000000000004">
      <c r="A5" s="58"/>
      <c r="B5" s="58"/>
      <c r="C5" s="5" t="s">
        <v>7</v>
      </c>
      <c r="D5" s="2" t="s">
        <v>8</v>
      </c>
    </row>
    <row r="6" spans="1:5" x14ac:dyDescent="0.55000000000000004">
      <c r="A6" s="58"/>
      <c r="B6" s="58"/>
      <c r="C6" s="5" t="s">
        <v>9</v>
      </c>
      <c r="D6" s="1" t="s">
        <v>10</v>
      </c>
    </row>
    <row r="7" spans="1:5" x14ac:dyDescent="0.55000000000000004">
      <c r="A7" s="58"/>
      <c r="B7" s="58"/>
      <c r="C7" s="5" t="s">
        <v>11</v>
      </c>
      <c r="D7" s="2" t="s">
        <v>12</v>
      </c>
    </row>
    <row r="8" spans="1:5" x14ac:dyDescent="0.55000000000000004">
      <c r="A8" s="59" t="s">
        <v>13</v>
      </c>
      <c r="B8" s="59"/>
      <c r="C8" s="5"/>
    </row>
    <row r="9" spans="1:5" ht="39" x14ac:dyDescent="0.55000000000000004">
      <c r="A9" s="58"/>
      <c r="B9" s="58"/>
      <c r="C9" s="5" t="s">
        <v>14</v>
      </c>
      <c r="D9" s="2" t="s">
        <v>15</v>
      </c>
    </row>
    <row r="10" spans="1:5" x14ac:dyDescent="0.55000000000000004">
      <c r="A10" s="58"/>
      <c r="B10" s="58"/>
      <c r="C10" s="5" t="s">
        <v>16</v>
      </c>
      <c r="D10" s="2" t="s">
        <v>17</v>
      </c>
      <c r="E10" s="1" t="s">
        <v>18</v>
      </c>
    </row>
    <row r="11" spans="1:5" x14ac:dyDescent="0.55000000000000004">
      <c r="A11" s="58"/>
      <c r="B11" s="58"/>
      <c r="C11" s="5" t="s">
        <v>19</v>
      </c>
      <c r="D11" s="2" t="s">
        <v>20</v>
      </c>
    </row>
    <row r="12" spans="1:5" x14ac:dyDescent="0.55000000000000004">
      <c r="A12" s="58"/>
      <c r="B12" s="58"/>
      <c r="C12" s="5" t="s">
        <v>21</v>
      </c>
      <c r="D12" s="2" t="s">
        <v>20</v>
      </c>
    </row>
    <row r="13" spans="1:5" x14ac:dyDescent="0.55000000000000004">
      <c r="A13" s="58"/>
      <c r="B13" s="58"/>
      <c r="C13" s="5" t="s">
        <v>22</v>
      </c>
      <c r="D13" s="2" t="s">
        <v>23</v>
      </c>
    </row>
    <row r="14" spans="1:5" x14ac:dyDescent="0.55000000000000004">
      <c r="A14" s="59" t="s">
        <v>24</v>
      </c>
      <c r="B14" s="59"/>
      <c r="C14" s="5"/>
    </row>
    <row r="15" spans="1:5" x14ac:dyDescent="0.55000000000000004">
      <c r="A15" s="58"/>
      <c r="B15" s="58"/>
      <c r="C15" s="5" t="s">
        <v>25</v>
      </c>
      <c r="D15" s="2" t="s">
        <v>26</v>
      </c>
    </row>
    <row r="16" spans="1:5" ht="26.1" x14ac:dyDescent="0.55000000000000004">
      <c r="A16" s="58"/>
      <c r="B16" s="58"/>
      <c r="C16" s="5" t="s">
        <v>27</v>
      </c>
      <c r="D16" s="2" t="s">
        <v>28</v>
      </c>
    </row>
    <row r="17" spans="1:4" x14ac:dyDescent="0.55000000000000004">
      <c r="A17" s="59" t="s">
        <v>29</v>
      </c>
      <c r="B17" s="59"/>
      <c r="C17" s="5"/>
    </row>
    <row r="18" spans="1:4" x14ac:dyDescent="0.55000000000000004">
      <c r="A18" s="58"/>
      <c r="B18" s="58"/>
      <c r="C18" s="5" t="s">
        <v>30</v>
      </c>
      <c r="D18" s="2" t="s">
        <v>31</v>
      </c>
    </row>
    <row r="19" spans="1:4" ht="142.19999999999999" x14ac:dyDescent="0.55000000000000004">
      <c r="A19" s="58"/>
      <c r="B19" s="58"/>
      <c r="C19" s="5" t="s">
        <v>32</v>
      </c>
      <c r="D19" s="2" t="s">
        <v>33</v>
      </c>
    </row>
    <row r="20" spans="1:4" x14ac:dyDescent="0.55000000000000004">
      <c r="A20" s="59" t="s">
        <v>34</v>
      </c>
      <c r="B20" s="59"/>
      <c r="C20" s="5"/>
      <c r="D20" s="2" t="s">
        <v>35</v>
      </c>
    </row>
    <row r="21" spans="1:4" x14ac:dyDescent="0.55000000000000004">
      <c r="A21" s="58"/>
      <c r="B21" s="58"/>
      <c r="C21" s="5" t="s">
        <v>36</v>
      </c>
      <c r="D21" s="2">
        <v>48</v>
      </c>
    </row>
    <row r="22" spans="1:4" x14ac:dyDescent="0.55000000000000004">
      <c r="A22" s="58"/>
      <c r="B22" s="58"/>
      <c r="C22" s="5" t="s">
        <v>37</v>
      </c>
      <c r="D22" s="2">
        <v>48</v>
      </c>
    </row>
    <row r="23" spans="1:4" x14ac:dyDescent="0.55000000000000004">
      <c r="A23" s="58"/>
      <c r="B23" s="58"/>
      <c r="C23" s="5" t="s">
        <v>38</v>
      </c>
      <c r="D23" s="2">
        <v>48</v>
      </c>
    </row>
    <row r="24" spans="1:4" x14ac:dyDescent="0.55000000000000004">
      <c r="A24" s="58"/>
      <c r="B24" s="58"/>
      <c r="C24" s="5" t="s">
        <v>39</v>
      </c>
      <c r="D24" s="2">
        <v>0</v>
      </c>
    </row>
    <row r="25" spans="1:4" x14ac:dyDescent="0.55000000000000004">
      <c r="A25" s="58"/>
      <c r="B25" s="58"/>
      <c r="C25" s="5" t="s">
        <v>40</v>
      </c>
      <c r="D25" s="7">
        <f>20/45</f>
        <v>0.44444444444444442</v>
      </c>
    </row>
    <row r="26" spans="1:4" x14ac:dyDescent="0.55000000000000004">
      <c r="A26" s="58"/>
      <c r="B26" s="58"/>
      <c r="C26" s="5" t="s">
        <v>41</v>
      </c>
      <c r="D26" s="2">
        <v>65.5</v>
      </c>
    </row>
    <row r="27" spans="1:4" x14ac:dyDescent="0.55000000000000004">
      <c r="A27" s="58"/>
      <c r="B27" s="58"/>
      <c r="C27" s="5" t="s">
        <v>42</v>
      </c>
      <c r="D27" s="2">
        <v>9</v>
      </c>
    </row>
    <row r="28" spans="1:4" x14ac:dyDescent="0.55000000000000004">
      <c r="A28" s="58"/>
      <c r="B28" s="58"/>
      <c r="C28" s="5" t="s">
        <v>43</v>
      </c>
      <c r="D28" s="2" t="s">
        <v>20</v>
      </c>
    </row>
    <row r="29" spans="1:4" x14ac:dyDescent="0.55000000000000004">
      <c r="A29" s="58"/>
      <c r="B29" s="58"/>
      <c r="C29" s="5" t="s">
        <v>44</v>
      </c>
      <c r="D29" s="2" t="s">
        <v>20</v>
      </c>
    </row>
    <row r="30" spans="1:4" x14ac:dyDescent="0.55000000000000004">
      <c r="A30" s="58"/>
      <c r="B30" s="58"/>
      <c r="C30" s="5" t="s">
        <v>45</v>
      </c>
      <c r="D30" s="2">
        <v>43.72</v>
      </c>
    </row>
    <row r="31" spans="1:4" x14ac:dyDescent="0.55000000000000004">
      <c r="A31" s="58"/>
      <c r="B31" s="58"/>
      <c r="C31" s="5" t="s">
        <v>46</v>
      </c>
      <c r="D31" s="2">
        <v>17.57</v>
      </c>
    </row>
    <row r="32" spans="1:4" x14ac:dyDescent="0.55000000000000004">
      <c r="A32" s="59" t="s">
        <v>47</v>
      </c>
      <c r="B32" s="59"/>
      <c r="C32" s="5"/>
    </row>
    <row r="33" spans="1:11" ht="39" x14ac:dyDescent="0.55000000000000004">
      <c r="A33" s="58"/>
      <c r="B33" s="58"/>
      <c r="C33" s="5" t="s">
        <v>48</v>
      </c>
      <c r="D33" s="2" t="s">
        <v>49</v>
      </c>
    </row>
    <row r="34" spans="1:11" x14ac:dyDescent="0.55000000000000004">
      <c r="A34" s="59" t="s">
        <v>50</v>
      </c>
      <c r="B34" s="59"/>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9"/>
      <c r="B36" s="5" t="s">
        <v>59</v>
      </c>
      <c r="C36" s="5"/>
    </row>
    <row r="37" spans="1:11" x14ac:dyDescent="0.55000000000000004">
      <c r="A37" s="59"/>
      <c r="B37" s="5"/>
      <c r="C37" s="5" t="s">
        <v>60</v>
      </c>
      <c r="D37" s="2">
        <v>-1.18</v>
      </c>
      <c r="E37" s="1">
        <v>2.4</v>
      </c>
      <c r="J37" s="1">
        <v>3.21</v>
      </c>
    </row>
    <row r="38" spans="1:11" x14ac:dyDescent="0.55000000000000004">
      <c r="A38" s="59"/>
      <c r="B38" s="5"/>
      <c r="C38" s="5"/>
    </row>
    <row r="39" spans="1:11" x14ac:dyDescent="0.55000000000000004">
      <c r="A39" s="59"/>
      <c r="B39" s="5"/>
      <c r="C39" s="5"/>
    </row>
    <row r="40" spans="1:11" x14ac:dyDescent="0.55000000000000004">
      <c r="A40" s="59"/>
      <c r="B40" s="5"/>
      <c r="C40" s="5"/>
    </row>
    <row r="41" spans="1:11" x14ac:dyDescent="0.55000000000000004">
      <c r="A41" s="59"/>
      <c r="B41" s="5"/>
    </row>
    <row r="42" spans="1:11" x14ac:dyDescent="0.55000000000000004">
      <c r="A42" s="59"/>
      <c r="B42" s="5"/>
    </row>
    <row r="43" spans="1:11" x14ac:dyDescent="0.55000000000000004">
      <c r="A43" s="59"/>
      <c r="B43" s="5"/>
    </row>
    <row r="44" spans="1:11" x14ac:dyDescent="0.55000000000000004">
      <c r="A44" s="59"/>
      <c r="B44" s="5"/>
    </row>
    <row r="45" spans="1:11" x14ac:dyDescent="0.55000000000000004">
      <c r="A45" s="59"/>
      <c r="B45" s="5" t="s">
        <v>61</v>
      </c>
      <c r="C45" s="5"/>
    </row>
    <row r="46" spans="1:11" x14ac:dyDescent="0.55000000000000004">
      <c r="A46" s="59"/>
      <c r="B46" s="5"/>
      <c r="C46" s="5"/>
    </row>
    <row r="47" spans="1:11" x14ac:dyDescent="0.55000000000000004">
      <c r="A47" s="59"/>
      <c r="B47" s="5"/>
      <c r="C47" s="5"/>
    </row>
    <row r="48" spans="1:11" x14ac:dyDescent="0.55000000000000004">
      <c r="A48" s="59"/>
      <c r="B48" s="5"/>
      <c r="C48" s="5"/>
    </row>
    <row r="49" spans="1:3" x14ac:dyDescent="0.55000000000000004">
      <c r="A49" s="59"/>
      <c r="B49" s="5"/>
      <c r="C49" s="5"/>
    </row>
    <row r="50" spans="1:3" x14ac:dyDescent="0.55000000000000004">
      <c r="A50" s="59"/>
      <c r="B50" s="5"/>
      <c r="C50" s="5"/>
    </row>
    <row r="51" spans="1:3" x14ac:dyDescent="0.55000000000000004">
      <c r="A51" s="59"/>
      <c r="B51" s="5"/>
      <c r="C51" s="5"/>
    </row>
    <row r="52" spans="1:3" x14ac:dyDescent="0.55000000000000004">
      <c r="A52" s="59"/>
      <c r="B52" s="5"/>
      <c r="C52" s="5"/>
    </row>
    <row r="53" spans="1:3" x14ac:dyDescent="0.55000000000000004">
      <c r="A53" s="59"/>
      <c r="B53" s="5"/>
      <c r="C53" s="5"/>
    </row>
    <row r="54" spans="1:3" x14ac:dyDescent="0.55000000000000004">
      <c r="A54" s="59"/>
      <c r="B54" s="5"/>
      <c r="C54" s="5"/>
    </row>
    <row r="55" spans="1:3" x14ac:dyDescent="0.55000000000000004">
      <c r="A55" s="59"/>
      <c r="B55" s="5"/>
      <c r="C55" s="5"/>
    </row>
    <row r="56" spans="1:3" x14ac:dyDescent="0.55000000000000004">
      <c r="A56" s="59"/>
      <c r="B56" s="5"/>
      <c r="C56" s="5"/>
    </row>
    <row r="57" spans="1:3" x14ac:dyDescent="0.55000000000000004">
      <c r="A57" s="59"/>
      <c r="B57" s="5"/>
      <c r="C57" s="5"/>
    </row>
    <row r="58" spans="1:3" x14ac:dyDescent="0.55000000000000004">
      <c r="A58" s="59"/>
      <c r="B58" s="5"/>
      <c r="C58" s="5"/>
    </row>
    <row r="59" spans="1:3" x14ac:dyDescent="0.55000000000000004">
      <c r="A59" s="59"/>
      <c r="B59" s="5"/>
      <c r="C59" s="5"/>
    </row>
    <row r="60" spans="1:3" x14ac:dyDescent="0.55000000000000004">
      <c r="A60" s="59"/>
      <c r="B60" s="5"/>
      <c r="C60" s="5"/>
    </row>
    <row r="61" spans="1:3" x14ac:dyDescent="0.55000000000000004">
      <c r="A61" s="59"/>
      <c r="B61" s="5"/>
      <c r="C61" s="5"/>
    </row>
    <row r="62" spans="1:3" x14ac:dyDescent="0.55000000000000004">
      <c r="A62" s="59"/>
      <c r="B62" s="5"/>
      <c r="C62" s="5"/>
    </row>
    <row r="63" spans="1:3" x14ac:dyDescent="0.55000000000000004">
      <c r="A63" s="59"/>
      <c r="B63" s="5"/>
      <c r="C63" s="5"/>
    </row>
    <row r="64" spans="1:3" x14ac:dyDescent="0.55000000000000004">
      <c r="A64" s="59"/>
      <c r="B64" s="5"/>
      <c r="C64" s="5"/>
    </row>
    <row r="65" spans="1:4" x14ac:dyDescent="0.55000000000000004">
      <c r="A65" s="59"/>
      <c r="B65" s="5" t="s">
        <v>62</v>
      </c>
      <c r="D65" s="5">
        <v>14</v>
      </c>
    </row>
    <row r="66" spans="1:4" x14ac:dyDescent="0.55000000000000004">
      <c r="A66" s="59"/>
      <c r="B66" s="5" t="s">
        <v>63</v>
      </c>
      <c r="D66" s="5" t="s">
        <v>64</v>
      </c>
    </row>
    <row r="67" spans="1:4" x14ac:dyDescent="0.55000000000000004">
      <c r="A67" s="59" t="s">
        <v>65</v>
      </c>
      <c r="B67" s="59"/>
      <c r="D67" s="5" t="s">
        <v>66</v>
      </c>
    </row>
    <row r="68" spans="1:4" x14ac:dyDescent="0.55000000000000004">
      <c r="A68" s="3" t="s">
        <v>67</v>
      </c>
    </row>
    <row r="69" spans="1:4" x14ac:dyDescent="0.55000000000000004">
      <c r="A69" s="1" t="s">
        <v>68</v>
      </c>
      <c r="C69" s="1">
        <v>16</v>
      </c>
      <c r="D69" s="2">
        <v>20</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69"/>
  <sheetViews>
    <sheetView zoomScale="90" zoomScaleNormal="90" workbookViewId="0">
      <selection activeCell="C37" sqref="C37"/>
    </sheetView>
  </sheetViews>
  <sheetFormatPr baseColWidth="10" defaultColWidth="11.41796875" defaultRowHeight="14.4" x14ac:dyDescent="0.55000000000000004"/>
  <cols>
    <col min="1" max="1" width="10.83984375" style="1" customWidth="1"/>
    <col min="2" max="2" width="18.83984375" style="1" customWidth="1"/>
    <col min="3" max="3" width="53.41796875" style="1" customWidth="1"/>
    <col min="4" max="4" width="56.15625" style="2" customWidth="1"/>
    <col min="5" max="5" width="5.15625" style="1" customWidth="1"/>
    <col min="6" max="1024" width="11.41796875" style="1"/>
  </cols>
  <sheetData>
    <row r="1" spans="1:5" x14ac:dyDescent="0.55000000000000004">
      <c r="A1" s="3" t="s">
        <v>0</v>
      </c>
      <c r="D1" s="2" t="s">
        <v>209</v>
      </c>
    </row>
    <row r="2" spans="1:5" x14ac:dyDescent="0.55000000000000004">
      <c r="A2" s="58" t="s">
        <v>2</v>
      </c>
      <c r="B2" s="58"/>
      <c r="D2" s="2" t="s">
        <v>210</v>
      </c>
    </row>
    <row r="3" spans="1:5" x14ac:dyDescent="0.55000000000000004">
      <c r="A3" s="58"/>
      <c r="B3" s="58"/>
      <c r="C3" s="5" t="s">
        <v>4</v>
      </c>
      <c r="D3" s="2" t="s">
        <v>211</v>
      </c>
    </row>
    <row r="4" spans="1:5" x14ac:dyDescent="0.55000000000000004">
      <c r="A4" s="58"/>
      <c r="B4" s="58"/>
      <c r="C4" s="5" t="s">
        <v>6</v>
      </c>
      <c r="D4" s="2">
        <v>2021</v>
      </c>
    </row>
    <row r="5" spans="1:5" ht="26.1" x14ac:dyDescent="0.55000000000000004">
      <c r="A5" s="58"/>
      <c r="B5" s="58"/>
      <c r="C5" s="5" t="s">
        <v>7</v>
      </c>
      <c r="D5" s="2" t="s">
        <v>212</v>
      </c>
    </row>
    <row r="6" spans="1:5" x14ac:dyDescent="0.55000000000000004">
      <c r="A6" s="58"/>
      <c r="B6" s="58"/>
      <c r="C6" s="5" t="s">
        <v>9</v>
      </c>
      <c r="D6" s="2" t="s">
        <v>213</v>
      </c>
    </row>
    <row r="7" spans="1:5" x14ac:dyDescent="0.55000000000000004">
      <c r="A7" s="58"/>
      <c r="B7" s="58"/>
      <c r="C7" s="5" t="s">
        <v>11</v>
      </c>
      <c r="D7" s="2" t="s">
        <v>12</v>
      </c>
    </row>
    <row r="8" spans="1:5" x14ac:dyDescent="0.55000000000000004">
      <c r="A8" s="59" t="s">
        <v>13</v>
      </c>
      <c r="B8" s="59"/>
      <c r="C8" s="5"/>
    </row>
    <row r="9" spans="1:5" x14ac:dyDescent="0.55000000000000004">
      <c r="A9" s="58"/>
      <c r="B9" s="58"/>
      <c r="C9" s="5" t="s">
        <v>14</v>
      </c>
      <c r="D9" s="2" t="s">
        <v>214</v>
      </c>
    </row>
    <row r="10" spans="1:5" x14ac:dyDescent="0.55000000000000004">
      <c r="A10" s="58"/>
      <c r="B10" s="58"/>
      <c r="C10" s="5" t="s">
        <v>16</v>
      </c>
      <c r="D10" s="2" t="s">
        <v>86</v>
      </c>
      <c r="E10" s="1" t="s">
        <v>18</v>
      </c>
    </row>
    <row r="11" spans="1:5" x14ac:dyDescent="0.55000000000000004">
      <c r="A11" s="58"/>
      <c r="B11" s="58"/>
      <c r="C11" s="5" t="s">
        <v>19</v>
      </c>
      <c r="D11" s="2" t="s">
        <v>20</v>
      </c>
    </row>
    <row r="12" spans="1:5" x14ac:dyDescent="0.55000000000000004">
      <c r="A12" s="58"/>
      <c r="B12" s="58"/>
      <c r="C12" s="5" t="s">
        <v>21</v>
      </c>
      <c r="D12" s="2" t="s">
        <v>20</v>
      </c>
    </row>
    <row r="13" spans="1:5" x14ac:dyDescent="0.55000000000000004">
      <c r="A13" s="58"/>
      <c r="B13" s="58"/>
      <c r="C13" s="5" t="s">
        <v>22</v>
      </c>
      <c r="D13" s="2" t="s">
        <v>20</v>
      </c>
    </row>
    <row r="14" spans="1:5" x14ac:dyDescent="0.55000000000000004">
      <c r="A14" s="59" t="s">
        <v>24</v>
      </c>
      <c r="B14" s="59"/>
      <c r="C14" s="5"/>
    </row>
    <row r="15" spans="1:5" x14ac:dyDescent="0.55000000000000004">
      <c r="A15" s="58"/>
      <c r="B15" s="58"/>
      <c r="C15" s="5" t="s">
        <v>25</v>
      </c>
      <c r="D15" s="2" t="s">
        <v>181</v>
      </c>
    </row>
    <row r="16" spans="1:5" x14ac:dyDescent="0.55000000000000004">
      <c r="A16" s="58"/>
      <c r="B16" s="58"/>
      <c r="C16" s="5" t="s">
        <v>27</v>
      </c>
      <c r="D16" s="2" t="s">
        <v>215</v>
      </c>
    </row>
    <row r="17" spans="1:4" x14ac:dyDescent="0.55000000000000004">
      <c r="A17" s="59" t="s">
        <v>29</v>
      </c>
      <c r="B17" s="59"/>
      <c r="C17" s="5"/>
    </row>
    <row r="18" spans="1:4" ht="39" x14ac:dyDescent="0.55000000000000004">
      <c r="A18" s="58"/>
      <c r="B18" s="58"/>
      <c r="C18" s="5" t="s">
        <v>30</v>
      </c>
      <c r="D18" s="2" t="s">
        <v>216</v>
      </c>
    </row>
    <row r="19" spans="1:4" x14ac:dyDescent="0.55000000000000004">
      <c r="A19" s="58"/>
      <c r="B19" s="58"/>
      <c r="C19" s="5" t="s">
        <v>32</v>
      </c>
      <c r="D19" s="2" t="s">
        <v>217</v>
      </c>
    </row>
    <row r="20" spans="1:4" x14ac:dyDescent="0.55000000000000004">
      <c r="A20" s="59" t="s">
        <v>34</v>
      </c>
      <c r="B20" s="59"/>
      <c r="C20" s="5"/>
      <c r="D20" s="2" t="s">
        <v>35</v>
      </c>
    </row>
    <row r="21" spans="1:4" x14ac:dyDescent="0.55000000000000004">
      <c r="A21" s="58"/>
      <c r="B21" s="58"/>
      <c r="C21" s="5" t="s">
        <v>36</v>
      </c>
      <c r="D21" s="2" t="s">
        <v>20</v>
      </c>
    </row>
    <row r="22" spans="1:4" x14ac:dyDescent="0.55000000000000004">
      <c r="A22" s="58"/>
      <c r="B22" s="58"/>
      <c r="C22" s="5" t="s">
        <v>37</v>
      </c>
      <c r="D22" s="2">
        <v>14</v>
      </c>
    </row>
    <row r="23" spans="1:4" x14ac:dyDescent="0.55000000000000004">
      <c r="A23" s="58"/>
      <c r="B23" s="58"/>
      <c r="C23" s="5" t="s">
        <v>38</v>
      </c>
      <c r="D23" s="2">
        <v>14</v>
      </c>
    </row>
    <row r="24" spans="1:4" x14ac:dyDescent="0.55000000000000004">
      <c r="A24" s="58"/>
      <c r="B24" s="58"/>
      <c r="C24" s="5" t="s">
        <v>39</v>
      </c>
      <c r="D24" s="2">
        <v>0</v>
      </c>
    </row>
    <row r="25" spans="1:4" x14ac:dyDescent="0.55000000000000004">
      <c r="A25" s="58"/>
      <c r="B25" s="58"/>
      <c r="C25" s="5" t="s">
        <v>40</v>
      </c>
      <c r="D25" s="7">
        <v>35.700000000000003</v>
      </c>
    </row>
    <row r="26" spans="1:4" x14ac:dyDescent="0.55000000000000004">
      <c r="A26" s="58"/>
      <c r="B26" s="58"/>
      <c r="C26" s="5" t="s">
        <v>41</v>
      </c>
      <c r="D26" s="7">
        <v>65.099999999999994</v>
      </c>
    </row>
    <row r="27" spans="1:4" x14ac:dyDescent="0.55000000000000004">
      <c r="A27" s="58"/>
      <c r="B27" s="58"/>
      <c r="C27" s="5" t="s">
        <v>42</v>
      </c>
      <c r="D27" s="7">
        <v>7.76</v>
      </c>
    </row>
    <row r="28" spans="1:4" x14ac:dyDescent="0.55000000000000004">
      <c r="A28" s="58"/>
      <c r="B28" s="58"/>
      <c r="C28" s="5" t="s">
        <v>43</v>
      </c>
      <c r="D28" s="2" t="s">
        <v>20</v>
      </c>
    </row>
    <row r="29" spans="1:4" x14ac:dyDescent="0.55000000000000004">
      <c r="A29" s="58"/>
      <c r="B29" s="58"/>
      <c r="C29" s="5" t="s">
        <v>44</v>
      </c>
      <c r="D29" s="2" t="s">
        <v>20</v>
      </c>
    </row>
    <row r="30" spans="1:4" x14ac:dyDescent="0.55000000000000004">
      <c r="A30" s="58"/>
      <c r="B30" s="58"/>
      <c r="C30" s="5" t="s">
        <v>45</v>
      </c>
      <c r="D30" s="7">
        <v>52.4</v>
      </c>
    </row>
    <row r="31" spans="1:4" x14ac:dyDescent="0.55000000000000004">
      <c r="A31" s="58"/>
      <c r="B31" s="58"/>
      <c r="C31" s="5" t="s">
        <v>46</v>
      </c>
      <c r="D31" s="7">
        <v>12</v>
      </c>
    </row>
    <row r="32" spans="1:4" x14ac:dyDescent="0.55000000000000004">
      <c r="A32" s="59" t="s">
        <v>47</v>
      </c>
      <c r="B32" s="59"/>
      <c r="C32" s="5"/>
    </row>
    <row r="33" spans="1:11" x14ac:dyDescent="0.55000000000000004">
      <c r="A33" s="58"/>
      <c r="B33" s="58"/>
      <c r="C33" s="5" t="s">
        <v>48</v>
      </c>
      <c r="D33" s="2" t="s">
        <v>218</v>
      </c>
    </row>
    <row r="34" spans="1:11" x14ac:dyDescent="0.55000000000000004">
      <c r="A34" s="59" t="s">
        <v>50</v>
      </c>
      <c r="B34" s="59"/>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9"/>
      <c r="B36" s="5" t="s">
        <v>59</v>
      </c>
      <c r="C36" s="5"/>
    </row>
    <row r="37" spans="1:11" x14ac:dyDescent="0.55000000000000004">
      <c r="A37" s="59"/>
      <c r="B37" s="5"/>
      <c r="C37" s="5" t="s">
        <v>219</v>
      </c>
      <c r="D37" s="7">
        <v>19.100000000000001</v>
      </c>
      <c r="E37" s="1">
        <f>F37*SQRT(D22)</f>
        <v>14.218298069740976</v>
      </c>
      <c r="F37" s="10">
        <v>3.8</v>
      </c>
    </row>
    <row r="38" spans="1:11" x14ac:dyDescent="0.55000000000000004">
      <c r="A38" s="59"/>
      <c r="B38" s="5"/>
      <c r="C38" s="5" t="s">
        <v>220</v>
      </c>
      <c r="D38" s="7">
        <v>11.4</v>
      </c>
      <c r="E38" s="1">
        <f>F38*SQRT(D23)</f>
        <v>16.837458240482736</v>
      </c>
      <c r="F38" s="10">
        <v>4.5</v>
      </c>
    </row>
    <row r="39" spans="1:11" x14ac:dyDescent="0.55000000000000004">
      <c r="A39" s="59"/>
      <c r="B39" s="5"/>
      <c r="C39" s="5"/>
      <c r="D39" s="7"/>
      <c r="E39" s="10"/>
    </row>
    <row r="40" spans="1:11" x14ac:dyDescent="0.55000000000000004">
      <c r="A40" s="59"/>
      <c r="B40" s="5"/>
      <c r="C40" s="5"/>
      <c r="D40" s="7"/>
      <c r="E40" s="10"/>
    </row>
    <row r="41" spans="1:11" x14ac:dyDescent="0.55000000000000004">
      <c r="A41" s="59"/>
      <c r="B41" s="5"/>
      <c r="C41" s="5"/>
      <c r="D41" s="7"/>
      <c r="E41" s="10"/>
    </row>
    <row r="42" spans="1:11" x14ac:dyDescent="0.55000000000000004">
      <c r="A42" s="59"/>
      <c r="B42" s="5"/>
      <c r="C42" s="5"/>
      <c r="D42" s="7"/>
      <c r="E42" s="10"/>
    </row>
    <row r="43" spans="1:11" x14ac:dyDescent="0.55000000000000004">
      <c r="A43" s="59"/>
      <c r="B43" s="5"/>
      <c r="C43" s="5"/>
      <c r="D43" s="7"/>
      <c r="E43" s="10"/>
    </row>
    <row r="44" spans="1:11" x14ac:dyDescent="0.55000000000000004">
      <c r="A44" s="59"/>
      <c r="B44" s="5"/>
      <c r="C44" s="5"/>
      <c r="D44" s="7"/>
      <c r="E44" s="10"/>
    </row>
    <row r="45" spans="1:11" x14ac:dyDescent="0.55000000000000004">
      <c r="A45" s="59"/>
      <c r="B45" s="5" t="s">
        <v>61</v>
      </c>
      <c r="C45" s="5"/>
      <c r="D45" s="7"/>
      <c r="E45" s="10"/>
    </row>
    <row r="46" spans="1:11" x14ac:dyDescent="0.55000000000000004">
      <c r="A46" s="59"/>
      <c r="B46" s="5"/>
      <c r="C46" s="5" t="s">
        <v>79</v>
      </c>
      <c r="D46" s="2">
        <v>1</v>
      </c>
      <c r="E46" s="10"/>
    </row>
    <row r="47" spans="1:11" x14ac:dyDescent="0.55000000000000004">
      <c r="A47" s="59"/>
      <c r="B47" s="5"/>
      <c r="C47" s="5"/>
      <c r="D47" s="7"/>
      <c r="E47" s="10"/>
    </row>
    <row r="48" spans="1:11" x14ac:dyDescent="0.55000000000000004">
      <c r="A48" s="59"/>
      <c r="B48" s="5"/>
    </row>
    <row r="49" spans="1:3" x14ac:dyDescent="0.55000000000000004">
      <c r="A49" s="59"/>
      <c r="B49" s="5"/>
    </row>
    <row r="50" spans="1:3" x14ac:dyDescent="0.55000000000000004">
      <c r="A50" s="59"/>
      <c r="B50" s="5"/>
      <c r="C50" s="5"/>
    </row>
    <row r="51" spans="1:3" x14ac:dyDescent="0.55000000000000004">
      <c r="A51" s="59"/>
      <c r="B51" s="5"/>
      <c r="C51" s="5"/>
    </row>
    <row r="52" spans="1:3" x14ac:dyDescent="0.55000000000000004">
      <c r="A52" s="59"/>
      <c r="B52" s="5"/>
      <c r="C52" s="5"/>
    </row>
    <row r="53" spans="1:3" x14ac:dyDescent="0.55000000000000004">
      <c r="A53" s="59"/>
      <c r="B53" s="5"/>
      <c r="C53" s="5"/>
    </row>
    <row r="54" spans="1:3" x14ac:dyDescent="0.55000000000000004">
      <c r="A54" s="59"/>
      <c r="B54" s="5"/>
      <c r="C54" s="5"/>
    </row>
    <row r="55" spans="1:3" x14ac:dyDescent="0.55000000000000004">
      <c r="A55" s="59"/>
      <c r="B55" s="5"/>
      <c r="C55" s="5"/>
    </row>
    <row r="56" spans="1:3" x14ac:dyDescent="0.55000000000000004">
      <c r="A56" s="59"/>
      <c r="B56" s="5"/>
      <c r="C56" s="5"/>
    </row>
    <row r="57" spans="1:3" x14ac:dyDescent="0.55000000000000004">
      <c r="A57" s="59"/>
      <c r="B57" s="5"/>
      <c r="C57" s="5"/>
    </row>
    <row r="58" spans="1:3" x14ac:dyDescent="0.55000000000000004">
      <c r="A58" s="59"/>
      <c r="B58" s="5"/>
      <c r="C58" s="5"/>
    </row>
    <row r="59" spans="1:3" x14ac:dyDescent="0.55000000000000004">
      <c r="A59" s="59"/>
      <c r="B59" s="5"/>
      <c r="C59" s="5"/>
    </row>
    <row r="60" spans="1:3" x14ac:dyDescent="0.55000000000000004">
      <c r="A60" s="59"/>
      <c r="B60" s="5"/>
      <c r="C60" s="5"/>
    </row>
    <row r="61" spans="1:3" x14ac:dyDescent="0.55000000000000004">
      <c r="A61" s="59"/>
      <c r="B61" s="5"/>
      <c r="C61" s="5"/>
    </row>
    <row r="62" spans="1:3" x14ac:dyDescent="0.55000000000000004">
      <c r="A62" s="59"/>
      <c r="B62" s="5"/>
    </row>
    <row r="63" spans="1:3" x14ac:dyDescent="0.55000000000000004">
      <c r="A63" s="59"/>
      <c r="B63" s="5"/>
    </row>
    <row r="64" spans="1:3" x14ac:dyDescent="0.55000000000000004">
      <c r="A64" s="59"/>
      <c r="B64" s="5"/>
    </row>
    <row r="65" spans="1:6" x14ac:dyDescent="0.55000000000000004">
      <c r="A65" s="59"/>
      <c r="B65" s="5" t="s">
        <v>62</v>
      </c>
      <c r="D65" s="2">
        <v>7</v>
      </c>
    </row>
    <row r="66" spans="1:6" x14ac:dyDescent="0.55000000000000004">
      <c r="A66" s="59"/>
      <c r="B66" s="5" t="s">
        <v>63</v>
      </c>
      <c r="D66" s="2" t="s">
        <v>221</v>
      </c>
    </row>
    <row r="67" spans="1:6" x14ac:dyDescent="0.55000000000000004">
      <c r="A67" s="59" t="s">
        <v>65</v>
      </c>
      <c r="B67" s="59"/>
      <c r="D67" s="2">
        <v>7</v>
      </c>
    </row>
    <row r="68" spans="1:6" x14ac:dyDescent="0.55000000000000004">
      <c r="A68" s="3" t="s">
        <v>67</v>
      </c>
    </row>
    <row r="69" spans="1:6" x14ac:dyDescent="0.55000000000000004">
      <c r="A69" s="1" t="s">
        <v>68</v>
      </c>
      <c r="C69" s="1">
        <v>17</v>
      </c>
      <c r="D69" s="2">
        <v>20</v>
      </c>
      <c r="E69" s="1">
        <v>7</v>
      </c>
      <c r="F69" s="1">
        <v>20</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dimension ref="A1:AMJ80"/>
  <sheetViews>
    <sheetView topLeftCell="A3" zoomScale="90" zoomScaleNormal="90" workbookViewId="0">
      <selection activeCell="J37" sqref="J37"/>
    </sheetView>
  </sheetViews>
  <sheetFormatPr baseColWidth="10" defaultColWidth="11.41796875" defaultRowHeight="14.4" x14ac:dyDescent="0.55000000000000004"/>
  <cols>
    <col min="1" max="1" width="57.15625" style="1" customWidth="1"/>
    <col min="2" max="2" width="18.83984375" style="1" customWidth="1"/>
    <col min="3" max="3" width="57.578125" style="1" customWidth="1"/>
    <col min="4" max="4" width="56.15625" style="2" customWidth="1"/>
    <col min="5" max="5" width="22.15625" style="1" customWidth="1"/>
    <col min="6" max="6" width="15.15625" style="1" customWidth="1"/>
    <col min="7" max="7" width="5.15625" style="1" customWidth="1"/>
    <col min="8" max="8" width="5.83984375" style="1" customWidth="1"/>
    <col min="9" max="1024" width="11.41796875" style="1"/>
  </cols>
  <sheetData>
    <row r="1" spans="1:4" x14ac:dyDescent="0.55000000000000004">
      <c r="A1" s="19" t="s">
        <v>1457</v>
      </c>
      <c r="D1" s="2" t="s">
        <v>1485</v>
      </c>
    </row>
    <row r="2" spans="1:4" x14ac:dyDescent="0.55000000000000004">
      <c r="A2" s="58" t="s">
        <v>2</v>
      </c>
      <c r="B2" s="58"/>
      <c r="D2" s="1" t="s">
        <v>1458</v>
      </c>
    </row>
    <row r="3" spans="1:4" x14ac:dyDescent="0.55000000000000004">
      <c r="A3" s="58"/>
      <c r="B3" s="58"/>
      <c r="C3" s="5" t="s">
        <v>4</v>
      </c>
      <c r="D3" s="2" t="s">
        <v>1459</v>
      </c>
    </row>
    <row r="4" spans="1:4" x14ac:dyDescent="0.55000000000000004">
      <c r="A4" s="58"/>
      <c r="B4" s="58"/>
      <c r="C4" s="5" t="s">
        <v>6</v>
      </c>
      <c r="D4" s="2">
        <v>2002</v>
      </c>
    </row>
    <row r="5" spans="1:4" x14ac:dyDescent="0.55000000000000004">
      <c r="A5" s="58"/>
      <c r="B5" s="58"/>
      <c r="C5" s="5" t="s">
        <v>7</v>
      </c>
      <c r="D5" s="2" t="s">
        <v>1460</v>
      </c>
    </row>
    <row r="6" spans="1:4" x14ac:dyDescent="0.55000000000000004">
      <c r="A6" s="58"/>
      <c r="B6" s="58"/>
      <c r="C6" s="5" t="s">
        <v>9</v>
      </c>
      <c r="D6" s="2" t="s">
        <v>1461</v>
      </c>
    </row>
    <row r="7" spans="1:4" x14ac:dyDescent="0.55000000000000004">
      <c r="A7" s="58"/>
      <c r="B7" s="58"/>
      <c r="C7" s="5" t="s">
        <v>11</v>
      </c>
      <c r="D7" s="2" t="s">
        <v>12</v>
      </c>
    </row>
    <row r="8" spans="1:4" x14ac:dyDescent="0.55000000000000004">
      <c r="A8" s="59" t="s">
        <v>13</v>
      </c>
      <c r="B8" s="59"/>
      <c r="C8" s="5"/>
    </row>
    <row r="9" spans="1:4" x14ac:dyDescent="0.55000000000000004">
      <c r="A9" s="58"/>
      <c r="B9" s="58"/>
      <c r="C9" s="5" t="s">
        <v>14</v>
      </c>
      <c r="D9" s="2" t="s">
        <v>1462</v>
      </c>
    </row>
    <row r="10" spans="1:4" x14ac:dyDescent="0.55000000000000004">
      <c r="A10" s="58"/>
      <c r="B10" s="58"/>
      <c r="C10" s="5" t="s">
        <v>16</v>
      </c>
      <c r="D10" s="2" t="s">
        <v>165</v>
      </c>
    </row>
    <row r="11" spans="1:4" x14ac:dyDescent="0.55000000000000004">
      <c r="A11" s="58"/>
      <c r="B11" s="58"/>
      <c r="C11" s="5" t="s">
        <v>19</v>
      </c>
      <c r="D11" s="2" t="s">
        <v>20</v>
      </c>
    </row>
    <row r="12" spans="1:4" x14ac:dyDescent="0.55000000000000004">
      <c r="A12" s="58"/>
      <c r="B12" s="58"/>
      <c r="C12" s="5" t="s">
        <v>21</v>
      </c>
      <c r="D12" s="2" t="s">
        <v>20</v>
      </c>
    </row>
    <row r="13" spans="1:4" x14ac:dyDescent="0.55000000000000004">
      <c r="A13" s="58"/>
      <c r="B13" s="58"/>
      <c r="C13" s="5" t="s">
        <v>22</v>
      </c>
      <c r="D13" s="2" t="s">
        <v>20</v>
      </c>
    </row>
    <row r="14" spans="1:4" x14ac:dyDescent="0.55000000000000004">
      <c r="A14" s="59" t="s">
        <v>24</v>
      </c>
      <c r="B14" s="59"/>
      <c r="C14" s="5"/>
    </row>
    <row r="15" spans="1:4" x14ac:dyDescent="0.55000000000000004">
      <c r="A15" s="58"/>
      <c r="B15" s="58"/>
      <c r="C15" s="5" t="s">
        <v>25</v>
      </c>
      <c r="D15" s="2" t="s">
        <v>537</v>
      </c>
    </row>
    <row r="16" spans="1:4" x14ac:dyDescent="0.55000000000000004">
      <c r="A16" s="58"/>
      <c r="B16" s="58"/>
      <c r="C16" s="5" t="s">
        <v>27</v>
      </c>
      <c r="D16" s="2" t="s">
        <v>1463</v>
      </c>
    </row>
    <row r="17" spans="1:6" x14ac:dyDescent="0.55000000000000004">
      <c r="A17" s="59" t="s">
        <v>29</v>
      </c>
      <c r="B17" s="59"/>
      <c r="C17" s="5"/>
    </row>
    <row r="18" spans="1:6" ht="51.9" x14ac:dyDescent="0.55000000000000004">
      <c r="A18" s="58"/>
      <c r="B18" s="58"/>
      <c r="C18" s="5" t="s">
        <v>30</v>
      </c>
      <c r="D18" s="2" t="s">
        <v>1486</v>
      </c>
    </row>
    <row r="19" spans="1:6" ht="64.8" x14ac:dyDescent="0.55000000000000004">
      <c r="A19" s="58"/>
      <c r="B19" s="58"/>
      <c r="C19" s="5" t="s">
        <v>32</v>
      </c>
      <c r="D19" s="2" t="s">
        <v>1487</v>
      </c>
    </row>
    <row r="20" spans="1:6" x14ac:dyDescent="0.55000000000000004">
      <c r="A20" s="59" t="s">
        <v>34</v>
      </c>
      <c r="B20" s="59"/>
      <c r="C20" s="5"/>
      <c r="D20" s="2" t="s">
        <v>193</v>
      </c>
      <c r="E20" s="1" t="s">
        <v>69</v>
      </c>
      <c r="F20" s="1" t="s">
        <v>35</v>
      </c>
    </row>
    <row r="21" spans="1:6" x14ac:dyDescent="0.55000000000000004">
      <c r="A21" s="58"/>
      <c r="B21" s="58"/>
      <c r="C21" s="5" t="s">
        <v>36</v>
      </c>
      <c r="D21" s="2" t="s">
        <v>20</v>
      </c>
      <c r="E21" s="1" t="s">
        <v>20</v>
      </c>
      <c r="F21" s="1">
        <v>282</v>
      </c>
    </row>
    <row r="22" spans="1:6" x14ac:dyDescent="0.55000000000000004">
      <c r="A22" s="58"/>
      <c r="B22" s="58"/>
      <c r="C22" s="5" t="s">
        <v>37</v>
      </c>
      <c r="D22" s="2">
        <v>179</v>
      </c>
      <c r="E22" s="1">
        <v>89</v>
      </c>
      <c r="F22" s="1">
        <f>SUM(D22:E22)</f>
        <v>268</v>
      </c>
    </row>
    <row r="23" spans="1:6" x14ac:dyDescent="0.55000000000000004">
      <c r="A23" s="58"/>
      <c r="B23" s="58"/>
      <c r="C23" s="5" t="s">
        <v>38</v>
      </c>
      <c r="D23" s="2">
        <v>162</v>
      </c>
      <c r="E23" s="1">
        <v>81</v>
      </c>
      <c r="F23" s="1">
        <f>SUM(D23:E23)</f>
        <v>243</v>
      </c>
    </row>
    <row r="24" spans="1:6" x14ac:dyDescent="0.55000000000000004">
      <c r="A24" s="58"/>
      <c r="B24" s="58"/>
      <c r="C24" s="5" t="s">
        <v>39</v>
      </c>
      <c r="D24" s="2">
        <f>D22-D23</f>
        <v>17</v>
      </c>
      <c r="E24" s="1">
        <f>E22-E23</f>
        <v>8</v>
      </c>
      <c r="F24" s="1">
        <f>F22-F23</f>
        <v>25</v>
      </c>
    </row>
    <row r="25" spans="1:6" x14ac:dyDescent="0.55000000000000004">
      <c r="A25" s="58"/>
      <c r="B25" s="58"/>
      <c r="C25" s="5" t="s">
        <v>40</v>
      </c>
      <c r="D25" s="7">
        <v>0.37</v>
      </c>
      <c r="E25" s="10">
        <v>0.43</v>
      </c>
      <c r="F25" s="10">
        <f>(D25*D$22+E25*E$22)/SUM(D$22:E$22)</f>
        <v>0.38992537313432835</v>
      </c>
    </row>
    <row r="26" spans="1:6" x14ac:dyDescent="0.55000000000000004">
      <c r="A26" s="58"/>
      <c r="B26" s="58"/>
      <c r="C26" s="5" t="s">
        <v>41</v>
      </c>
      <c r="D26" s="7">
        <v>63</v>
      </c>
      <c r="E26" s="10">
        <v>63</v>
      </c>
      <c r="F26" s="10">
        <f>(D26*D22+E26*E22)/SUM(D22:E22)</f>
        <v>63</v>
      </c>
    </row>
    <row r="27" spans="1:6" x14ac:dyDescent="0.55000000000000004">
      <c r="A27" s="58"/>
      <c r="B27" s="58"/>
      <c r="C27" s="5" t="s">
        <v>42</v>
      </c>
      <c r="D27" s="7">
        <v>9</v>
      </c>
      <c r="E27" s="10">
        <v>9</v>
      </c>
      <c r="F27" s="10">
        <f>SQRT((D22*(D27^2+(F$26-D26)^2)+E22*(E27^2+(F$26-E26)^2))/F$22)</f>
        <v>9</v>
      </c>
    </row>
    <row r="28" spans="1:6" x14ac:dyDescent="0.55000000000000004">
      <c r="A28" s="58"/>
      <c r="B28" s="58"/>
      <c r="C28" s="5" t="s">
        <v>43</v>
      </c>
      <c r="D28" s="2" t="s">
        <v>20</v>
      </c>
      <c r="E28" s="1" t="s">
        <v>20</v>
      </c>
      <c r="F28" s="1" t="s">
        <v>20</v>
      </c>
    </row>
    <row r="29" spans="1:6" x14ac:dyDescent="0.55000000000000004">
      <c r="A29" s="58"/>
      <c r="B29" s="58"/>
      <c r="C29" s="5" t="s">
        <v>44</v>
      </c>
      <c r="D29" s="2">
        <v>2</v>
      </c>
      <c r="E29" s="1">
        <v>2</v>
      </c>
      <c r="F29" s="1">
        <v>2</v>
      </c>
    </row>
    <row r="30" spans="1:6" x14ac:dyDescent="0.55000000000000004">
      <c r="A30" s="58"/>
      <c r="B30" s="58"/>
      <c r="C30" s="5" t="s">
        <v>45</v>
      </c>
      <c r="D30" s="7">
        <v>21.5</v>
      </c>
      <c r="E30" s="10">
        <v>21.7</v>
      </c>
      <c r="F30" s="10">
        <f>(D30*D$22+E30*E$22)/SUM(D$22:E$22)</f>
        <v>21.566417910447761</v>
      </c>
    </row>
    <row r="31" spans="1:6" x14ac:dyDescent="0.55000000000000004">
      <c r="A31" s="58"/>
      <c r="B31" s="58"/>
      <c r="C31" s="5" t="s">
        <v>46</v>
      </c>
      <c r="D31" s="7">
        <v>10.5</v>
      </c>
      <c r="E31" s="10">
        <v>11.3</v>
      </c>
      <c r="F31" s="10">
        <f>SQRT((D22*(D31^2+(F$30-D30)^2)+E22*(E31^2+(F$30-E30)^2))/F$22)</f>
        <v>10.77267441419753</v>
      </c>
    </row>
    <row r="32" spans="1:6" x14ac:dyDescent="0.55000000000000004">
      <c r="A32" s="59" t="s">
        <v>47</v>
      </c>
      <c r="B32" s="59"/>
      <c r="C32" s="5"/>
    </row>
    <row r="33" spans="1:11" ht="90.6" x14ac:dyDescent="0.55000000000000004">
      <c r="A33" s="58"/>
      <c r="B33" s="58"/>
      <c r="C33" s="5" t="s">
        <v>48</v>
      </c>
      <c r="D33" s="2" t="s">
        <v>1488</v>
      </c>
    </row>
    <row r="34" spans="1:11" x14ac:dyDescent="0.55000000000000004">
      <c r="A34" s="59" t="s">
        <v>50</v>
      </c>
      <c r="B34" s="59"/>
      <c r="C34" s="5"/>
    </row>
    <row r="35" spans="1:11" x14ac:dyDescent="0.55000000000000004">
      <c r="A35" s="8"/>
      <c r="B35" s="8"/>
      <c r="C35" s="5"/>
    </row>
    <row r="36" spans="1:11" x14ac:dyDescent="0.55000000000000004">
      <c r="A36" s="59"/>
      <c r="B36" s="5" t="s">
        <v>59</v>
      </c>
      <c r="C36" s="5"/>
      <c r="D36" s="2" t="s">
        <v>51</v>
      </c>
      <c r="E36" s="1" t="s">
        <v>52</v>
      </c>
      <c r="F36" s="1" t="s">
        <v>53</v>
      </c>
      <c r="G36" s="1" t="s">
        <v>54</v>
      </c>
      <c r="H36" s="1" t="s">
        <v>55</v>
      </c>
      <c r="I36" s="1" t="s">
        <v>56</v>
      </c>
      <c r="J36" s="1" t="s">
        <v>57</v>
      </c>
      <c r="K36" s="1" t="s">
        <v>58</v>
      </c>
    </row>
    <row r="37" spans="1:11" x14ac:dyDescent="0.55000000000000004">
      <c r="A37" s="59"/>
      <c r="B37" s="5"/>
      <c r="C37" s="5" t="s">
        <v>204</v>
      </c>
      <c r="D37" s="2">
        <v>-0.79</v>
      </c>
      <c r="E37" s="1">
        <v>1.8</v>
      </c>
      <c r="I37" s="1">
        <v>5.0000000000000001E-4</v>
      </c>
      <c r="J37" s="1">
        <v>2.6</v>
      </c>
    </row>
    <row r="38" spans="1:11" x14ac:dyDescent="0.55000000000000004">
      <c r="A38" s="59"/>
      <c r="B38" s="5"/>
      <c r="C38" s="5" t="s">
        <v>205</v>
      </c>
      <c r="D38" s="2">
        <v>-0.28999999999999998</v>
      </c>
      <c r="E38" s="1">
        <v>3.11</v>
      </c>
      <c r="I38" s="1">
        <v>3.0000000000000001E-3</v>
      </c>
      <c r="J38" s="1">
        <v>2.15</v>
      </c>
    </row>
    <row r="39" spans="1:11" x14ac:dyDescent="0.55000000000000004">
      <c r="A39" s="59"/>
      <c r="B39" s="5"/>
    </row>
    <row r="40" spans="1:11" x14ac:dyDescent="0.55000000000000004">
      <c r="A40" s="59"/>
      <c r="B40" s="5"/>
    </row>
    <row r="41" spans="1:11" x14ac:dyDescent="0.55000000000000004">
      <c r="A41" s="59"/>
      <c r="B41" s="5"/>
      <c r="C41" s="5"/>
      <c r="D41" s="7"/>
      <c r="E41" s="10"/>
    </row>
    <row r="42" spans="1:11" x14ac:dyDescent="0.55000000000000004">
      <c r="A42" s="59"/>
      <c r="B42" s="5"/>
      <c r="C42" s="5"/>
      <c r="D42" s="7"/>
      <c r="E42" s="10"/>
    </row>
    <row r="43" spans="1:11" x14ac:dyDescent="0.55000000000000004">
      <c r="A43" s="59"/>
      <c r="B43" s="5"/>
      <c r="C43" s="5"/>
      <c r="D43" s="7"/>
      <c r="E43" s="10"/>
    </row>
    <row r="44" spans="1:11" x14ac:dyDescent="0.55000000000000004">
      <c r="A44" s="59"/>
      <c r="B44" s="5"/>
      <c r="C44" s="5"/>
      <c r="D44" s="7"/>
      <c r="E44" s="10"/>
    </row>
    <row r="45" spans="1:11" x14ac:dyDescent="0.55000000000000004">
      <c r="A45" s="59"/>
      <c r="B45" s="5"/>
      <c r="C45" s="5"/>
    </row>
    <row r="46" spans="1:11" x14ac:dyDescent="0.55000000000000004">
      <c r="A46" s="59"/>
      <c r="B46" s="5"/>
      <c r="C46" s="5"/>
    </row>
    <row r="47" spans="1:11" x14ac:dyDescent="0.55000000000000004">
      <c r="A47" s="59"/>
      <c r="B47" s="5"/>
      <c r="C47" s="5"/>
    </row>
    <row r="48" spans="1:11" x14ac:dyDescent="0.55000000000000004">
      <c r="A48" s="59"/>
      <c r="B48" s="5"/>
      <c r="C48" s="5"/>
    </row>
    <row r="49" spans="1:4" x14ac:dyDescent="0.55000000000000004">
      <c r="A49" s="59"/>
      <c r="B49" s="5"/>
      <c r="C49" s="5"/>
    </row>
    <row r="50" spans="1:4" x14ac:dyDescent="0.55000000000000004">
      <c r="A50" s="59"/>
      <c r="B50" s="5" t="s">
        <v>61</v>
      </c>
      <c r="C50" s="5"/>
    </row>
    <row r="51" spans="1:4" x14ac:dyDescent="0.55000000000000004">
      <c r="A51" s="59"/>
      <c r="B51" s="5"/>
      <c r="C51" s="5" t="s">
        <v>206</v>
      </c>
      <c r="D51" s="2">
        <v>0</v>
      </c>
    </row>
    <row r="52" spans="1:4" x14ac:dyDescent="0.55000000000000004">
      <c r="A52" s="59"/>
      <c r="B52" s="5"/>
      <c r="C52" s="5"/>
    </row>
    <row r="53" spans="1:4" x14ac:dyDescent="0.55000000000000004">
      <c r="A53" s="59"/>
      <c r="B53" s="5"/>
      <c r="C53" s="5"/>
    </row>
    <row r="54" spans="1:4" x14ac:dyDescent="0.55000000000000004">
      <c r="A54" s="59"/>
      <c r="B54" s="5"/>
      <c r="C54" s="5"/>
    </row>
    <row r="55" spans="1:4" x14ac:dyDescent="0.55000000000000004">
      <c r="A55" s="59"/>
      <c r="B55" s="5"/>
      <c r="C55" s="5"/>
    </row>
    <row r="56" spans="1:4" x14ac:dyDescent="0.55000000000000004">
      <c r="A56" s="59"/>
      <c r="B56" s="5"/>
      <c r="C56" s="5"/>
    </row>
    <row r="57" spans="1:4" x14ac:dyDescent="0.55000000000000004">
      <c r="A57" s="59"/>
      <c r="B57" s="5"/>
      <c r="C57" s="5"/>
    </row>
    <row r="58" spans="1:4" x14ac:dyDescent="0.55000000000000004">
      <c r="A58" s="59"/>
      <c r="B58" s="5"/>
      <c r="C58" s="5"/>
    </row>
    <row r="59" spans="1:4" x14ac:dyDescent="0.55000000000000004">
      <c r="A59" s="59"/>
      <c r="B59" s="5"/>
      <c r="C59" s="5"/>
    </row>
    <row r="60" spans="1:4" x14ac:dyDescent="0.55000000000000004">
      <c r="A60" s="59"/>
      <c r="B60" s="5"/>
      <c r="C60" s="5"/>
    </row>
    <row r="61" spans="1:4" x14ac:dyDescent="0.55000000000000004">
      <c r="A61" s="59"/>
      <c r="B61" s="5"/>
      <c r="C61" s="5"/>
    </row>
    <row r="62" spans="1:4" x14ac:dyDescent="0.55000000000000004">
      <c r="A62" s="59"/>
      <c r="B62" s="5"/>
      <c r="C62" s="5"/>
    </row>
    <row r="63" spans="1:4" x14ac:dyDescent="0.55000000000000004">
      <c r="A63" s="59"/>
      <c r="B63" s="5"/>
      <c r="C63" s="5"/>
    </row>
    <row r="64" spans="1:4" x14ac:dyDescent="0.55000000000000004">
      <c r="A64" s="59"/>
      <c r="B64" s="5"/>
      <c r="C64" s="5"/>
    </row>
    <row r="65" spans="1:11" x14ac:dyDescent="0.55000000000000004">
      <c r="A65" s="59"/>
      <c r="B65" s="5" t="s">
        <v>62</v>
      </c>
      <c r="C65" s="5"/>
      <c r="D65" s="2">
        <v>182</v>
      </c>
    </row>
    <row r="66" spans="1:11" ht="25.8" x14ac:dyDescent="0.55000000000000004">
      <c r="A66" s="59"/>
      <c r="B66" s="5" t="s">
        <v>63</v>
      </c>
      <c r="C66" s="5"/>
      <c r="D66" s="2" t="s">
        <v>207</v>
      </c>
      <c r="E66" s="20" t="s">
        <v>1468</v>
      </c>
    </row>
    <row r="67" spans="1:11" ht="64.8" x14ac:dyDescent="0.55000000000000004">
      <c r="A67" s="59" t="s">
        <v>65</v>
      </c>
      <c r="B67" s="59"/>
      <c r="C67" s="5"/>
      <c r="D67" s="2" t="s">
        <v>1489</v>
      </c>
    </row>
    <row r="68" spans="1:11" x14ac:dyDescent="0.55000000000000004">
      <c r="A68" s="3" t="s">
        <v>67</v>
      </c>
    </row>
    <row r="69" spans="1:11" x14ac:dyDescent="0.55000000000000004">
      <c r="A69" s="1" t="s">
        <v>68</v>
      </c>
      <c r="C69" s="1">
        <v>17</v>
      </c>
      <c r="D69" s="2">
        <v>18</v>
      </c>
    </row>
    <row r="70" spans="1:11" x14ac:dyDescent="0.55000000000000004">
      <c r="B70" s="1" t="s">
        <v>94</v>
      </c>
      <c r="I70" s="1" t="s">
        <v>56</v>
      </c>
    </row>
    <row r="71" spans="1:11" x14ac:dyDescent="0.55000000000000004">
      <c r="C71" s="5" t="s">
        <v>204</v>
      </c>
      <c r="D71" s="2">
        <v>-0.8</v>
      </c>
      <c r="E71" s="1">
        <v>1.9</v>
      </c>
      <c r="I71" s="1">
        <v>5.0000000000000001E-4</v>
      </c>
    </row>
    <row r="72" spans="1:11" x14ac:dyDescent="0.55000000000000004">
      <c r="C72" s="5" t="s">
        <v>205</v>
      </c>
      <c r="D72" s="2">
        <v>-0.8</v>
      </c>
      <c r="E72" s="1">
        <v>1.5</v>
      </c>
      <c r="I72" s="1">
        <v>3.0000000000000001E-3</v>
      </c>
    </row>
    <row r="73" spans="1:11" x14ac:dyDescent="0.55000000000000004">
      <c r="C73" s="5" t="s">
        <v>1470</v>
      </c>
      <c r="D73" s="7">
        <v>-0.3</v>
      </c>
      <c r="E73" s="10">
        <v>1.1000000000000001</v>
      </c>
      <c r="I73" s="1">
        <v>5.0000000000000001E-3</v>
      </c>
    </row>
    <row r="74" spans="1:11" x14ac:dyDescent="0.55000000000000004">
      <c r="C74" s="5" t="s">
        <v>1490</v>
      </c>
      <c r="D74" s="7">
        <v>-0.4</v>
      </c>
      <c r="E74" s="10">
        <v>1</v>
      </c>
      <c r="I74" s="1">
        <v>0.08</v>
      </c>
    </row>
    <row r="75" spans="1:11" x14ac:dyDescent="0.55000000000000004">
      <c r="C75" s="5" t="s">
        <v>1472</v>
      </c>
      <c r="D75" s="2">
        <v>2.5</v>
      </c>
      <c r="E75" s="1">
        <v>2.2999999999999998</v>
      </c>
    </row>
    <row r="76" spans="1:11" x14ac:dyDescent="0.55000000000000004">
      <c r="C76" s="5" t="s">
        <v>1491</v>
      </c>
      <c r="D76" s="2">
        <v>2.2999999999999998</v>
      </c>
      <c r="E76" s="1">
        <v>2.2999999999999998</v>
      </c>
    </row>
    <row r="77" spans="1:11" x14ac:dyDescent="0.55000000000000004">
      <c r="C77" s="5" t="s">
        <v>1473</v>
      </c>
      <c r="D77" s="2">
        <v>0.9</v>
      </c>
      <c r="E77" s="1">
        <v>1.1000000000000001</v>
      </c>
    </row>
    <row r="78" spans="1:11" x14ac:dyDescent="0.55000000000000004">
      <c r="C78" s="5" t="s">
        <v>1492</v>
      </c>
      <c r="D78" s="2">
        <v>0.9</v>
      </c>
      <c r="E78" s="1">
        <v>1.2</v>
      </c>
    </row>
    <row r="79" spans="1:11" x14ac:dyDescent="0.55000000000000004">
      <c r="C79" s="5" t="s">
        <v>1474</v>
      </c>
      <c r="D79" s="7">
        <f>D71+D73</f>
        <v>-1.1000000000000001</v>
      </c>
      <c r="J79" s="10">
        <f>SQRT((((D23-1)*E75^2)+((E23-1)*E77^2))/(D23+E23-2))</f>
        <v>1.9838455467921312</v>
      </c>
      <c r="K79" s="10">
        <f>SQRT((((D23-1)*E71^2)+((E23-1)*E73^2))/(D23+E23-2))</f>
        <v>1.6772952936423238</v>
      </c>
    </row>
    <row r="80" spans="1:11" x14ac:dyDescent="0.55000000000000004">
      <c r="C80" s="5" t="s">
        <v>1493</v>
      </c>
      <c r="D80" s="7">
        <f>D72+D74</f>
        <v>-1.2000000000000002</v>
      </c>
      <c r="J80" s="10">
        <f>SQRT((((D23-1)*E76^2)+((E23-1)*E78^2))/(D23+E23-2))</f>
        <v>2.0029956817838657</v>
      </c>
      <c r="K80" s="10">
        <f>SQRT((((D23-1)*E72^2)+((E23-1)*E74^2))/(D23+E23-2))</f>
        <v>1.3546446916678558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hyperlinks>
    <hyperlink ref="A1" r:id="rId1" xr:uid="{00000000-0004-0000-6200-000000000000}"/>
  </hyperlinks>
  <pageMargins left="0.7" right="0.7" top="0.78749999999999998" bottom="0.78749999999999998" header="0.511811023622047" footer="0.511811023622047"/>
  <pageSetup paperSize="9" orientation="portrait" horizontalDpi="300" verticalDpi="300"/>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dimension ref="A1:AMJ69"/>
  <sheetViews>
    <sheetView zoomScale="90" zoomScaleNormal="90" workbookViewId="0">
      <selection activeCell="D5" sqref="D5"/>
    </sheetView>
  </sheetViews>
  <sheetFormatPr baseColWidth="10" defaultColWidth="11.41796875" defaultRowHeight="14.4" x14ac:dyDescent="0.55000000000000004"/>
  <cols>
    <col min="1" max="1" width="10.83984375" style="1" customWidth="1"/>
    <col min="2" max="2" width="18.83984375" style="1" customWidth="1"/>
    <col min="3" max="3" width="45.15625" style="1" customWidth="1"/>
    <col min="4" max="4" width="56.15625" style="2" customWidth="1"/>
    <col min="5" max="5" width="14.41796875" style="1" customWidth="1"/>
    <col min="6" max="6" width="5.15625" style="1" customWidth="1"/>
    <col min="7" max="1024" width="11.41796875" style="1"/>
  </cols>
  <sheetData>
    <row r="1" spans="1:5" x14ac:dyDescent="0.55000000000000004">
      <c r="A1" s="3" t="s">
        <v>0</v>
      </c>
      <c r="D1" s="2" t="s">
        <v>1494</v>
      </c>
    </row>
    <row r="2" spans="1:5" ht="26.1" x14ac:dyDescent="0.55000000000000004">
      <c r="A2" s="58" t="s">
        <v>2</v>
      </c>
      <c r="B2" s="58"/>
      <c r="D2" s="2" t="s">
        <v>1495</v>
      </c>
    </row>
    <row r="3" spans="1:5" x14ac:dyDescent="0.55000000000000004">
      <c r="A3" s="58"/>
      <c r="B3" s="58"/>
      <c r="C3" s="5" t="s">
        <v>4</v>
      </c>
      <c r="D3" s="2" t="s">
        <v>1496</v>
      </c>
    </row>
    <row r="4" spans="1:5" x14ac:dyDescent="0.55000000000000004">
      <c r="A4" s="58"/>
      <c r="B4" s="58"/>
      <c r="C4" s="5" t="s">
        <v>6</v>
      </c>
      <c r="D4" s="2">
        <v>1989</v>
      </c>
    </row>
    <row r="5" spans="1:5" ht="26.1" x14ac:dyDescent="0.55000000000000004">
      <c r="A5" s="58"/>
      <c r="B5" s="58"/>
      <c r="C5" s="5" t="s">
        <v>7</v>
      </c>
      <c r="D5" s="2" t="s">
        <v>1497</v>
      </c>
    </row>
    <row r="6" spans="1:5" x14ac:dyDescent="0.55000000000000004">
      <c r="A6" s="58"/>
      <c r="B6" s="58"/>
      <c r="C6" s="5" t="s">
        <v>9</v>
      </c>
      <c r="D6" s="2" t="s">
        <v>494</v>
      </c>
    </row>
    <row r="7" spans="1:5" x14ac:dyDescent="0.55000000000000004">
      <c r="A7" s="58"/>
      <c r="B7" s="58"/>
      <c r="C7" s="5" t="s">
        <v>11</v>
      </c>
      <c r="D7" s="2" t="s">
        <v>12</v>
      </c>
    </row>
    <row r="8" spans="1:5" x14ac:dyDescent="0.55000000000000004">
      <c r="A8" s="59" t="s">
        <v>13</v>
      </c>
      <c r="B8" s="59"/>
      <c r="C8" s="5"/>
    </row>
    <row r="9" spans="1:5" x14ac:dyDescent="0.55000000000000004">
      <c r="A9" s="58"/>
      <c r="B9" s="58"/>
      <c r="C9" s="5" t="s">
        <v>14</v>
      </c>
      <c r="D9" s="2" t="s">
        <v>1498</v>
      </c>
    </row>
    <row r="10" spans="1:5" x14ac:dyDescent="0.55000000000000004">
      <c r="A10" s="58"/>
      <c r="B10" s="58"/>
      <c r="C10" s="5" t="s">
        <v>16</v>
      </c>
      <c r="D10" s="2" t="s">
        <v>454</v>
      </c>
      <c r="E10" s="1" t="s">
        <v>496</v>
      </c>
    </row>
    <row r="11" spans="1:5" x14ac:dyDescent="0.55000000000000004">
      <c r="A11" s="58"/>
      <c r="B11" s="58"/>
      <c r="C11" s="5" t="s">
        <v>19</v>
      </c>
      <c r="D11" s="2" t="s">
        <v>20</v>
      </c>
    </row>
    <row r="12" spans="1:5" x14ac:dyDescent="0.55000000000000004">
      <c r="A12" s="58"/>
      <c r="B12" s="58"/>
      <c r="C12" s="5" t="s">
        <v>21</v>
      </c>
      <c r="D12" s="2" t="s">
        <v>20</v>
      </c>
    </row>
    <row r="13" spans="1:5" x14ac:dyDescent="0.55000000000000004">
      <c r="A13" s="58"/>
      <c r="B13" s="58"/>
      <c r="C13" s="5" t="s">
        <v>22</v>
      </c>
      <c r="D13" s="2" t="s">
        <v>20</v>
      </c>
    </row>
    <row r="14" spans="1:5" x14ac:dyDescent="0.55000000000000004">
      <c r="A14" s="59" t="s">
        <v>24</v>
      </c>
      <c r="B14" s="59"/>
      <c r="C14" s="5"/>
    </row>
    <row r="15" spans="1:5" x14ac:dyDescent="0.55000000000000004">
      <c r="A15" s="58"/>
      <c r="B15" s="58"/>
      <c r="C15" s="5" t="s">
        <v>25</v>
      </c>
      <c r="D15" s="2" t="s">
        <v>1499</v>
      </c>
    </row>
    <row r="16" spans="1:5" x14ac:dyDescent="0.55000000000000004">
      <c r="A16" s="58"/>
      <c r="B16" s="58"/>
      <c r="C16" s="5" t="s">
        <v>27</v>
      </c>
      <c r="D16" s="2" t="s">
        <v>1500</v>
      </c>
    </row>
    <row r="17" spans="1:6" x14ac:dyDescent="0.55000000000000004">
      <c r="A17" s="59" t="s">
        <v>29</v>
      </c>
      <c r="B17" s="59"/>
      <c r="C17" s="5"/>
    </row>
    <row r="18" spans="1:6" ht="26.1" x14ac:dyDescent="0.55000000000000004">
      <c r="A18" s="58"/>
      <c r="B18" s="58"/>
      <c r="C18" s="5" t="s">
        <v>30</v>
      </c>
      <c r="D18" s="2" t="s">
        <v>1501</v>
      </c>
    </row>
    <row r="19" spans="1:6" ht="26.1" x14ac:dyDescent="0.55000000000000004">
      <c r="A19" s="58"/>
      <c r="B19" s="58"/>
      <c r="C19" s="5" t="s">
        <v>32</v>
      </c>
      <c r="D19" s="2" t="s">
        <v>1502</v>
      </c>
    </row>
    <row r="20" spans="1:6" x14ac:dyDescent="0.55000000000000004">
      <c r="A20" s="59" t="s">
        <v>34</v>
      </c>
      <c r="B20" s="59"/>
      <c r="C20" s="5"/>
      <c r="D20" s="2" t="s">
        <v>109</v>
      </c>
      <c r="E20" s="1" t="s">
        <v>185</v>
      </c>
      <c r="F20" s="1" t="s">
        <v>35</v>
      </c>
    </row>
    <row r="21" spans="1:6" x14ac:dyDescent="0.55000000000000004">
      <c r="A21" s="58"/>
      <c r="B21" s="58"/>
      <c r="C21" s="5" t="s">
        <v>36</v>
      </c>
      <c r="D21" s="2" t="s">
        <v>20</v>
      </c>
      <c r="E21" s="2" t="s">
        <v>20</v>
      </c>
      <c r="F21" s="2" t="s">
        <v>20</v>
      </c>
    </row>
    <row r="22" spans="1:6" x14ac:dyDescent="0.55000000000000004">
      <c r="A22" s="58"/>
      <c r="B22" s="58"/>
      <c r="C22" s="5" t="s">
        <v>37</v>
      </c>
      <c r="D22" s="2" t="s">
        <v>20</v>
      </c>
      <c r="E22" s="2" t="s">
        <v>20</v>
      </c>
      <c r="F22" s="1">
        <v>42</v>
      </c>
    </row>
    <row r="23" spans="1:6" x14ac:dyDescent="0.55000000000000004">
      <c r="A23" s="58"/>
      <c r="B23" s="58"/>
      <c r="C23" s="5" t="s">
        <v>38</v>
      </c>
      <c r="D23" s="2" t="s">
        <v>20</v>
      </c>
      <c r="E23" s="2" t="s">
        <v>20</v>
      </c>
      <c r="F23" s="1">
        <f>SUM(D23:E23)</f>
        <v>0</v>
      </c>
    </row>
    <row r="24" spans="1:6" x14ac:dyDescent="0.55000000000000004">
      <c r="A24" s="58"/>
      <c r="B24" s="58"/>
      <c r="C24" s="5" t="s">
        <v>39</v>
      </c>
      <c r="D24" s="2" t="s">
        <v>20</v>
      </c>
      <c r="E24" s="2" t="s">
        <v>20</v>
      </c>
      <c r="F24" s="1">
        <v>4</v>
      </c>
    </row>
    <row r="25" spans="1:6" x14ac:dyDescent="0.55000000000000004">
      <c r="A25" s="58"/>
      <c r="B25" s="58"/>
      <c r="C25" s="5" t="s">
        <v>40</v>
      </c>
      <c r="D25" s="2" t="s">
        <v>20</v>
      </c>
      <c r="E25" s="1" t="s">
        <v>20</v>
      </c>
      <c r="F25" s="10">
        <f>16/38</f>
        <v>0.42105263157894735</v>
      </c>
    </row>
    <row r="26" spans="1:6" x14ac:dyDescent="0.55000000000000004">
      <c r="A26" s="58"/>
      <c r="B26" s="58"/>
      <c r="C26" s="5" t="s">
        <v>41</v>
      </c>
      <c r="D26" s="2" t="s">
        <v>20</v>
      </c>
      <c r="E26" s="2" t="s">
        <v>20</v>
      </c>
      <c r="F26" s="10">
        <v>68.900000000000006</v>
      </c>
    </row>
    <row r="27" spans="1:6" x14ac:dyDescent="0.55000000000000004">
      <c r="A27" s="58"/>
      <c r="B27" s="58"/>
      <c r="C27" s="5" t="s">
        <v>42</v>
      </c>
      <c r="D27" s="2" t="s">
        <v>20</v>
      </c>
      <c r="E27" s="2" t="s">
        <v>20</v>
      </c>
      <c r="F27" s="10">
        <v>7.4</v>
      </c>
    </row>
    <row r="28" spans="1:6" x14ac:dyDescent="0.55000000000000004">
      <c r="A28" s="58"/>
      <c r="B28" s="58"/>
      <c r="C28" s="5" t="s">
        <v>43</v>
      </c>
      <c r="D28" s="2" t="s">
        <v>20</v>
      </c>
      <c r="E28" s="2" t="s">
        <v>20</v>
      </c>
      <c r="F28" s="1" t="s">
        <v>20</v>
      </c>
    </row>
    <row r="29" spans="1:6" x14ac:dyDescent="0.55000000000000004">
      <c r="A29" s="58"/>
      <c r="B29" s="58"/>
      <c r="C29" s="5" t="s">
        <v>44</v>
      </c>
      <c r="D29" s="2" t="s">
        <v>20</v>
      </c>
      <c r="E29" s="1" t="s">
        <v>20</v>
      </c>
      <c r="F29" s="1">
        <v>2</v>
      </c>
    </row>
    <row r="30" spans="1:6" x14ac:dyDescent="0.55000000000000004">
      <c r="A30" s="58"/>
      <c r="B30" s="58"/>
      <c r="C30" s="5" t="s">
        <v>45</v>
      </c>
      <c r="D30" s="2" t="s">
        <v>20</v>
      </c>
    </row>
    <row r="31" spans="1:6" x14ac:dyDescent="0.55000000000000004">
      <c r="A31" s="58"/>
      <c r="B31" s="58"/>
      <c r="C31" s="5" t="s">
        <v>46</v>
      </c>
      <c r="D31" s="2" t="s">
        <v>20</v>
      </c>
    </row>
    <row r="32" spans="1:6" x14ac:dyDescent="0.55000000000000004">
      <c r="A32" s="59" t="s">
        <v>47</v>
      </c>
      <c r="B32" s="59"/>
      <c r="C32" s="5"/>
    </row>
    <row r="33" spans="1:10" ht="26.1" x14ac:dyDescent="0.55000000000000004">
      <c r="A33" s="58"/>
      <c r="B33" s="58"/>
      <c r="C33" s="5" t="s">
        <v>48</v>
      </c>
      <c r="D33" s="2" t="s">
        <v>1503</v>
      </c>
    </row>
    <row r="34" spans="1:10" x14ac:dyDescent="0.55000000000000004">
      <c r="A34" s="59" t="s">
        <v>50</v>
      </c>
      <c r="B34" s="59"/>
      <c r="C34" s="5"/>
    </row>
    <row r="35" spans="1:10" x14ac:dyDescent="0.55000000000000004">
      <c r="A35" s="8"/>
      <c r="B35" s="8"/>
      <c r="C35" s="5"/>
    </row>
    <row r="36" spans="1:10" x14ac:dyDescent="0.55000000000000004">
      <c r="A36" s="59"/>
      <c r="B36" s="5" t="s">
        <v>59</v>
      </c>
      <c r="C36" s="5"/>
      <c r="D36" s="2" t="s">
        <v>51</v>
      </c>
      <c r="E36" s="1" t="s">
        <v>52</v>
      </c>
      <c r="F36" s="1" t="s">
        <v>53</v>
      </c>
      <c r="G36" s="1" t="s">
        <v>54</v>
      </c>
      <c r="H36" s="1" t="s">
        <v>55</v>
      </c>
      <c r="I36" s="1" t="s">
        <v>56</v>
      </c>
      <c r="J36" s="1" t="s">
        <v>57</v>
      </c>
    </row>
    <row r="37" spans="1:10" x14ac:dyDescent="0.55000000000000004">
      <c r="A37" s="59"/>
      <c r="B37" s="5"/>
      <c r="C37" s="5"/>
    </row>
    <row r="38" spans="1:10" x14ac:dyDescent="0.55000000000000004">
      <c r="A38" s="59"/>
      <c r="B38" s="5"/>
      <c r="C38" s="5"/>
    </row>
    <row r="39" spans="1:10" x14ac:dyDescent="0.55000000000000004">
      <c r="A39" s="59"/>
      <c r="B39" s="5"/>
      <c r="C39" s="5"/>
    </row>
    <row r="40" spans="1:10" x14ac:dyDescent="0.55000000000000004">
      <c r="A40" s="59"/>
      <c r="B40" s="5"/>
      <c r="C40" s="5"/>
    </row>
    <row r="41" spans="1:10" x14ac:dyDescent="0.55000000000000004">
      <c r="A41" s="59"/>
      <c r="B41" s="5"/>
      <c r="C41" s="5"/>
    </row>
    <row r="42" spans="1:10" x14ac:dyDescent="0.55000000000000004">
      <c r="A42" s="59"/>
      <c r="B42" s="5"/>
      <c r="C42" s="5"/>
    </row>
    <row r="43" spans="1:10" x14ac:dyDescent="0.55000000000000004">
      <c r="A43" s="59"/>
      <c r="B43" s="5"/>
      <c r="C43" s="5"/>
    </row>
    <row r="44" spans="1:10" x14ac:dyDescent="0.55000000000000004">
      <c r="A44" s="59"/>
      <c r="B44" s="5"/>
      <c r="C44" s="5"/>
    </row>
    <row r="45" spans="1:10" x14ac:dyDescent="0.55000000000000004">
      <c r="A45" s="59"/>
      <c r="B45" s="5" t="s">
        <v>61</v>
      </c>
      <c r="C45" s="5"/>
    </row>
    <row r="46" spans="1:10" x14ac:dyDescent="0.55000000000000004">
      <c r="A46" s="59"/>
      <c r="B46" s="5"/>
      <c r="C46" s="5" t="s">
        <v>1504</v>
      </c>
      <c r="D46" s="10">
        <v>1.89261515036163</v>
      </c>
    </row>
    <row r="47" spans="1:10" x14ac:dyDescent="0.55000000000000004">
      <c r="A47" s="59"/>
      <c r="B47" s="5"/>
      <c r="C47" s="5" t="s">
        <v>1505</v>
      </c>
      <c r="D47" s="10">
        <v>1.5005405405405501</v>
      </c>
    </row>
    <row r="48" spans="1:10" x14ac:dyDescent="0.55000000000000004">
      <c r="A48" s="59"/>
      <c r="B48" s="5"/>
      <c r="C48" s="5" t="s">
        <v>1506</v>
      </c>
      <c r="D48" s="10">
        <v>1.89365816520749</v>
      </c>
    </row>
    <row r="49" spans="1:4" x14ac:dyDescent="0.55000000000000004">
      <c r="A49" s="59"/>
      <c r="B49" s="5"/>
      <c r="C49" s="5" t="s">
        <v>1507</v>
      </c>
      <c r="D49" s="10">
        <v>1.99458698134759</v>
      </c>
    </row>
    <row r="50" spans="1:4" x14ac:dyDescent="0.55000000000000004">
      <c r="A50" s="59"/>
      <c r="B50" s="5"/>
      <c r="C50" s="5" t="s">
        <v>79</v>
      </c>
      <c r="D50" s="2">
        <v>1</v>
      </c>
    </row>
    <row r="51" spans="1:4" x14ac:dyDescent="0.55000000000000004">
      <c r="A51" s="59"/>
      <c r="B51" s="5"/>
      <c r="C51" s="5"/>
    </row>
    <row r="52" spans="1:4" x14ac:dyDescent="0.55000000000000004">
      <c r="A52" s="59"/>
      <c r="B52" s="5"/>
      <c r="C52" s="5"/>
    </row>
    <row r="53" spans="1:4" x14ac:dyDescent="0.55000000000000004">
      <c r="A53" s="59"/>
      <c r="B53" s="5"/>
      <c r="C53" s="5"/>
    </row>
    <row r="54" spans="1:4" x14ac:dyDescent="0.55000000000000004">
      <c r="A54" s="59"/>
      <c r="B54" s="5"/>
      <c r="C54" s="5"/>
    </row>
    <row r="55" spans="1:4" x14ac:dyDescent="0.55000000000000004">
      <c r="A55" s="59"/>
      <c r="B55" s="5"/>
      <c r="C55" s="5"/>
    </row>
    <row r="56" spans="1:4" x14ac:dyDescent="0.55000000000000004">
      <c r="A56" s="59"/>
      <c r="B56" s="5"/>
      <c r="C56" s="5"/>
    </row>
    <row r="57" spans="1:4" x14ac:dyDescent="0.55000000000000004">
      <c r="A57" s="59"/>
      <c r="B57" s="5"/>
    </row>
    <row r="58" spans="1:4" x14ac:dyDescent="0.55000000000000004">
      <c r="A58" s="59"/>
      <c r="B58" s="5"/>
      <c r="C58" s="5"/>
    </row>
    <row r="59" spans="1:4" x14ac:dyDescent="0.55000000000000004">
      <c r="A59" s="59"/>
      <c r="B59" s="5"/>
      <c r="C59" s="5"/>
    </row>
    <row r="60" spans="1:4" x14ac:dyDescent="0.55000000000000004">
      <c r="A60" s="59"/>
      <c r="B60" s="5"/>
      <c r="C60" s="5"/>
    </row>
    <row r="61" spans="1:4" x14ac:dyDescent="0.55000000000000004">
      <c r="A61" s="59"/>
      <c r="B61" s="5"/>
      <c r="C61" s="5"/>
    </row>
    <row r="62" spans="1:4" x14ac:dyDescent="0.55000000000000004">
      <c r="A62" s="59"/>
      <c r="B62" s="5"/>
      <c r="C62" s="5"/>
    </row>
    <row r="63" spans="1:4" x14ac:dyDescent="0.55000000000000004">
      <c r="A63" s="59"/>
      <c r="B63" s="5"/>
      <c r="C63" s="5"/>
    </row>
    <row r="64" spans="1:4" x14ac:dyDescent="0.55000000000000004">
      <c r="A64" s="59"/>
      <c r="B64" s="5"/>
      <c r="C64" s="5"/>
    </row>
    <row r="65" spans="1:4" x14ac:dyDescent="0.55000000000000004">
      <c r="A65" s="59"/>
      <c r="B65" s="5" t="s">
        <v>62</v>
      </c>
      <c r="C65" s="5"/>
      <c r="D65" s="2">
        <f>8*7</f>
        <v>56</v>
      </c>
    </row>
    <row r="66" spans="1:4" x14ac:dyDescent="0.55000000000000004">
      <c r="A66" s="59"/>
      <c r="B66" s="5" t="s">
        <v>63</v>
      </c>
      <c r="C66" s="5"/>
      <c r="D66" s="2" t="s">
        <v>64</v>
      </c>
    </row>
    <row r="67" spans="1:4" x14ac:dyDescent="0.55000000000000004">
      <c r="A67" s="59" t="s">
        <v>65</v>
      </c>
      <c r="B67" s="59"/>
      <c r="C67" s="5"/>
      <c r="D67" s="2" t="s">
        <v>1508</v>
      </c>
    </row>
    <row r="68" spans="1:4" x14ac:dyDescent="0.55000000000000004">
      <c r="A68" s="3" t="s">
        <v>67</v>
      </c>
      <c r="C68" s="1">
        <v>16</v>
      </c>
    </row>
    <row r="69" spans="1:4" x14ac:dyDescent="0.55000000000000004">
      <c r="A69" s="1" t="s">
        <v>68</v>
      </c>
      <c r="D69" s="2">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dimension ref="A1:AMJ78"/>
  <sheetViews>
    <sheetView topLeftCell="A16" zoomScale="90" zoomScaleNormal="90" workbookViewId="0">
      <selection activeCell="D1" sqref="D1"/>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1.15625" style="1" customWidth="1"/>
    <col min="6" max="6" width="3.41796875" style="1" customWidth="1"/>
    <col min="7" max="1024" width="11.41796875" style="1"/>
  </cols>
  <sheetData>
    <row r="1" spans="1:5" x14ac:dyDescent="0.55000000000000004">
      <c r="A1" s="3" t="s">
        <v>0</v>
      </c>
      <c r="D1" s="2" t="s">
        <v>861</v>
      </c>
    </row>
    <row r="2" spans="1:5" ht="26.1" x14ac:dyDescent="0.55000000000000004">
      <c r="A2" s="58" t="s">
        <v>2</v>
      </c>
      <c r="B2" s="58"/>
      <c r="D2" s="2" t="s">
        <v>1509</v>
      </c>
    </row>
    <row r="3" spans="1:5" x14ac:dyDescent="0.55000000000000004">
      <c r="A3" s="58"/>
      <c r="B3" s="58"/>
      <c r="C3" s="5" t="s">
        <v>4</v>
      </c>
      <c r="D3" s="2" t="s">
        <v>1510</v>
      </c>
    </row>
    <row r="4" spans="1:5" x14ac:dyDescent="0.55000000000000004">
      <c r="A4" s="58"/>
      <c r="B4" s="58"/>
      <c r="C4" s="5" t="s">
        <v>6</v>
      </c>
      <c r="D4" s="2">
        <v>1995</v>
      </c>
    </row>
    <row r="5" spans="1:5" ht="26.1" x14ac:dyDescent="0.55000000000000004">
      <c r="A5" s="58"/>
      <c r="B5" s="58"/>
      <c r="C5" s="5" t="s">
        <v>7</v>
      </c>
      <c r="D5" s="2" t="s">
        <v>1511</v>
      </c>
    </row>
    <row r="6" spans="1:5" x14ac:dyDescent="0.55000000000000004">
      <c r="A6" s="58"/>
      <c r="B6" s="58"/>
      <c r="C6" s="5" t="s">
        <v>9</v>
      </c>
      <c r="D6" s="2" t="s">
        <v>1512</v>
      </c>
    </row>
    <row r="7" spans="1:5" x14ac:dyDescent="0.55000000000000004">
      <c r="A7" s="58"/>
      <c r="B7" s="58"/>
      <c r="C7" s="5" t="s">
        <v>11</v>
      </c>
      <c r="D7" s="2" t="s">
        <v>12</v>
      </c>
    </row>
    <row r="8" spans="1:5" x14ac:dyDescent="0.55000000000000004">
      <c r="A8" s="59" t="s">
        <v>13</v>
      </c>
      <c r="B8" s="59"/>
      <c r="C8" s="5"/>
    </row>
    <row r="9" spans="1:5" ht="26.1" x14ac:dyDescent="0.55000000000000004">
      <c r="A9" s="58"/>
      <c r="B9" s="58"/>
      <c r="C9" s="5" t="s">
        <v>14</v>
      </c>
      <c r="D9" s="2" t="s">
        <v>1513</v>
      </c>
    </row>
    <row r="10" spans="1:5" x14ac:dyDescent="0.55000000000000004">
      <c r="A10" s="58"/>
      <c r="B10" s="58"/>
      <c r="C10" s="5" t="s">
        <v>16</v>
      </c>
      <c r="D10" s="2" t="s">
        <v>17</v>
      </c>
      <c r="E10" s="1" t="s">
        <v>18</v>
      </c>
    </row>
    <row r="11" spans="1:5" x14ac:dyDescent="0.55000000000000004">
      <c r="A11" s="58"/>
      <c r="B11" s="58"/>
      <c r="C11" s="5" t="s">
        <v>19</v>
      </c>
      <c r="D11" s="2" t="s">
        <v>20</v>
      </c>
    </row>
    <row r="12" spans="1:5" x14ac:dyDescent="0.55000000000000004">
      <c r="A12" s="58"/>
      <c r="B12" s="58"/>
      <c r="C12" s="5" t="s">
        <v>21</v>
      </c>
      <c r="D12" s="2" t="s">
        <v>20</v>
      </c>
    </row>
    <row r="13" spans="1:5" x14ac:dyDescent="0.55000000000000004">
      <c r="A13" s="58"/>
      <c r="B13" s="58"/>
      <c r="C13" s="5" t="s">
        <v>22</v>
      </c>
      <c r="D13" s="2" t="s">
        <v>20</v>
      </c>
    </row>
    <row r="14" spans="1:5" x14ac:dyDescent="0.55000000000000004">
      <c r="A14" s="59" t="s">
        <v>24</v>
      </c>
      <c r="B14" s="59"/>
      <c r="C14" s="5"/>
    </row>
    <row r="15" spans="1:5" x14ac:dyDescent="0.55000000000000004">
      <c r="A15" s="58"/>
      <c r="B15" s="58"/>
      <c r="C15" s="5" t="s">
        <v>25</v>
      </c>
      <c r="D15" s="2" t="s">
        <v>87</v>
      </c>
    </row>
    <row r="16" spans="1:5" x14ac:dyDescent="0.55000000000000004">
      <c r="A16" s="58"/>
      <c r="B16" s="58"/>
      <c r="C16" s="5" t="s">
        <v>27</v>
      </c>
      <c r="D16" s="2" t="s">
        <v>1514</v>
      </c>
    </row>
    <row r="17" spans="1:4" x14ac:dyDescent="0.55000000000000004">
      <c r="A17" s="59" t="s">
        <v>29</v>
      </c>
      <c r="B17" s="59"/>
      <c r="C17" s="5"/>
    </row>
    <row r="18" spans="1:4" x14ac:dyDescent="0.55000000000000004">
      <c r="A18" s="58"/>
      <c r="B18" s="58"/>
      <c r="C18" s="5" t="s">
        <v>30</v>
      </c>
      <c r="D18" s="2" t="s">
        <v>1515</v>
      </c>
    </row>
    <row r="19" spans="1:4" x14ac:dyDescent="0.55000000000000004">
      <c r="A19" s="58"/>
      <c r="B19" s="58"/>
      <c r="C19" s="5" t="s">
        <v>32</v>
      </c>
      <c r="D19" s="2" t="s">
        <v>1516</v>
      </c>
    </row>
    <row r="20" spans="1:4" x14ac:dyDescent="0.55000000000000004">
      <c r="A20" s="59" t="s">
        <v>34</v>
      </c>
      <c r="B20" s="59"/>
      <c r="C20" s="5"/>
      <c r="D20" s="2" t="s">
        <v>35</v>
      </c>
    </row>
    <row r="21" spans="1:4" x14ac:dyDescent="0.55000000000000004">
      <c r="A21" s="58"/>
      <c r="B21" s="58"/>
      <c r="C21" s="5" t="s">
        <v>36</v>
      </c>
      <c r="D21" s="2" t="s">
        <v>20</v>
      </c>
    </row>
    <row r="22" spans="1:4" x14ac:dyDescent="0.55000000000000004">
      <c r="A22" s="58"/>
      <c r="B22" s="58"/>
      <c r="C22" s="5" t="s">
        <v>37</v>
      </c>
      <c r="D22" s="2">
        <v>11</v>
      </c>
    </row>
    <row r="23" spans="1:4" x14ac:dyDescent="0.55000000000000004">
      <c r="A23" s="58"/>
      <c r="B23" s="58"/>
      <c r="C23" s="5" t="s">
        <v>38</v>
      </c>
      <c r="D23" s="2">
        <v>9</v>
      </c>
    </row>
    <row r="24" spans="1:4" x14ac:dyDescent="0.55000000000000004">
      <c r="A24" s="58"/>
      <c r="B24" s="58"/>
      <c r="C24" s="5" t="s">
        <v>39</v>
      </c>
      <c r="D24" s="2">
        <v>2</v>
      </c>
    </row>
    <row r="25" spans="1:4" x14ac:dyDescent="0.55000000000000004">
      <c r="A25" s="58"/>
      <c r="B25" s="58"/>
      <c r="C25" s="5" t="s">
        <v>40</v>
      </c>
      <c r="D25" s="7">
        <f>6/11</f>
        <v>0.54545454545454541</v>
      </c>
    </row>
    <row r="26" spans="1:4" x14ac:dyDescent="0.55000000000000004">
      <c r="A26" s="58"/>
      <c r="B26" s="58"/>
      <c r="C26" s="5" t="s">
        <v>41</v>
      </c>
      <c r="D26" s="7">
        <v>65.909090909090907</v>
      </c>
    </row>
    <row r="27" spans="1:4" x14ac:dyDescent="0.55000000000000004">
      <c r="A27" s="58"/>
      <c r="B27" s="58"/>
      <c r="C27" s="5" t="s">
        <v>42</v>
      </c>
      <c r="D27" s="7">
        <v>9.8852925229586806</v>
      </c>
    </row>
    <row r="28" spans="1:4" x14ac:dyDescent="0.55000000000000004">
      <c r="A28" s="58"/>
      <c r="B28" s="58"/>
      <c r="C28" s="5" t="s">
        <v>43</v>
      </c>
      <c r="D28" s="2" t="s">
        <v>20</v>
      </c>
    </row>
    <row r="29" spans="1:4" x14ac:dyDescent="0.55000000000000004">
      <c r="A29" s="58"/>
      <c r="B29" s="58"/>
      <c r="C29" s="5" t="s">
        <v>44</v>
      </c>
      <c r="D29" s="2">
        <v>2</v>
      </c>
    </row>
    <row r="30" spans="1:4" x14ac:dyDescent="0.55000000000000004">
      <c r="A30" s="58"/>
      <c r="B30" s="58"/>
      <c r="C30" s="5" t="s">
        <v>45</v>
      </c>
      <c r="D30" s="2">
        <v>40</v>
      </c>
    </row>
    <row r="31" spans="1:4" x14ac:dyDescent="0.55000000000000004">
      <c r="A31" s="58"/>
      <c r="B31" s="58"/>
      <c r="C31" s="5" t="s">
        <v>46</v>
      </c>
      <c r="D31" s="7">
        <v>7.4</v>
      </c>
    </row>
    <row r="32" spans="1:4" x14ac:dyDescent="0.55000000000000004">
      <c r="A32" s="59" t="s">
        <v>47</v>
      </c>
      <c r="B32" s="59"/>
      <c r="C32" s="5"/>
    </row>
    <row r="33" spans="1:10" ht="39" x14ac:dyDescent="0.55000000000000004">
      <c r="A33" s="58"/>
      <c r="B33" s="58"/>
      <c r="C33" s="5" t="s">
        <v>48</v>
      </c>
      <c r="D33" s="2" t="s">
        <v>1517</v>
      </c>
    </row>
    <row r="34" spans="1:10" x14ac:dyDescent="0.55000000000000004">
      <c r="A34" s="59" t="s">
        <v>50</v>
      </c>
      <c r="B34" s="59"/>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9"/>
      <c r="B36" s="5" t="s">
        <v>59</v>
      </c>
      <c r="C36" s="5"/>
    </row>
    <row r="37" spans="1:10" x14ac:dyDescent="0.55000000000000004">
      <c r="A37" s="59"/>
      <c r="B37" s="5"/>
      <c r="D37" s="7"/>
      <c r="G37" s="5"/>
    </row>
    <row r="38" spans="1:10" x14ac:dyDescent="0.55000000000000004">
      <c r="A38" s="59"/>
      <c r="B38" s="5"/>
      <c r="D38" s="7"/>
      <c r="G38" s="5"/>
    </row>
    <row r="39" spans="1:10" x14ac:dyDescent="0.55000000000000004">
      <c r="A39" s="59"/>
      <c r="B39" s="5"/>
      <c r="G39" s="5"/>
    </row>
    <row r="40" spans="1:10" x14ac:dyDescent="0.55000000000000004">
      <c r="A40" s="59"/>
      <c r="B40" s="5"/>
      <c r="G40" s="5"/>
    </row>
    <row r="41" spans="1:10" x14ac:dyDescent="0.55000000000000004">
      <c r="A41" s="59"/>
      <c r="B41" s="5"/>
      <c r="G41" s="5"/>
    </row>
    <row r="42" spans="1:10" x14ac:dyDescent="0.55000000000000004">
      <c r="A42" s="59"/>
      <c r="B42" s="5"/>
      <c r="G42" s="5"/>
    </row>
    <row r="43" spans="1:10" s="1" customFormat="1" ht="12.9" x14ac:dyDescent="0.5">
      <c r="A43" s="59"/>
      <c r="B43" s="5"/>
      <c r="G43" s="29"/>
    </row>
    <row r="44" spans="1:10" s="1" customFormat="1" ht="12.9" x14ac:dyDescent="0.5">
      <c r="A44" s="59"/>
      <c r="B44" s="5"/>
      <c r="G44" s="5"/>
    </row>
    <row r="45" spans="1:10" x14ac:dyDescent="0.55000000000000004">
      <c r="A45" s="59"/>
      <c r="B45" s="5" t="s">
        <v>61</v>
      </c>
      <c r="C45" s="5"/>
    </row>
    <row r="46" spans="1:10" x14ac:dyDescent="0.55000000000000004">
      <c r="A46" s="59"/>
      <c r="B46" s="5"/>
      <c r="C46" s="5" t="s">
        <v>1518</v>
      </c>
      <c r="D46" s="7">
        <v>15.2651515151515</v>
      </c>
      <c r="E46" s="10">
        <v>4.4935084158571801</v>
      </c>
    </row>
    <row r="47" spans="1:10" x14ac:dyDescent="0.55000000000000004">
      <c r="A47" s="59"/>
      <c r="B47" s="5"/>
      <c r="C47" s="5" t="s">
        <v>1519</v>
      </c>
      <c r="D47" s="7">
        <v>11.2831439393939</v>
      </c>
      <c r="E47" s="10">
        <v>3.5892337724251702</v>
      </c>
    </row>
    <row r="48" spans="1:10" x14ac:dyDescent="0.55000000000000004">
      <c r="A48" s="59"/>
      <c r="B48" s="5"/>
      <c r="C48" s="5"/>
      <c r="D48" s="40"/>
    </row>
    <row r="49" spans="1:4" x14ac:dyDescent="0.55000000000000004">
      <c r="A49" s="59"/>
      <c r="B49" s="5"/>
      <c r="C49" s="5"/>
      <c r="D49" s="40"/>
    </row>
    <row r="50" spans="1:4" x14ac:dyDescent="0.55000000000000004">
      <c r="A50" s="59"/>
      <c r="B50" s="5"/>
      <c r="C50" s="5"/>
      <c r="D50" s="40"/>
    </row>
    <row r="51" spans="1:4" x14ac:dyDescent="0.55000000000000004">
      <c r="A51" s="59"/>
      <c r="B51" s="5"/>
      <c r="C51" s="5"/>
      <c r="D51" s="40"/>
    </row>
    <row r="52" spans="1:4" x14ac:dyDescent="0.55000000000000004">
      <c r="A52" s="59"/>
      <c r="B52" s="5"/>
      <c r="C52" s="5"/>
      <c r="D52" s="40"/>
    </row>
    <row r="53" spans="1:4" x14ac:dyDescent="0.55000000000000004">
      <c r="A53" s="59"/>
      <c r="B53" s="5"/>
      <c r="C53" s="5"/>
      <c r="D53" s="40"/>
    </row>
    <row r="54" spans="1:4" x14ac:dyDescent="0.55000000000000004">
      <c r="A54" s="59"/>
      <c r="B54" s="5"/>
      <c r="C54" s="5"/>
      <c r="D54" s="40"/>
    </row>
    <row r="55" spans="1:4" x14ac:dyDescent="0.55000000000000004">
      <c r="A55" s="59"/>
      <c r="B55" s="5"/>
      <c r="C55" s="5"/>
      <c r="D55" s="40"/>
    </row>
    <row r="56" spans="1:4" x14ac:dyDescent="0.55000000000000004">
      <c r="A56" s="59"/>
      <c r="B56" s="5"/>
      <c r="C56" s="5"/>
      <c r="D56" s="40"/>
    </row>
    <row r="57" spans="1:4" x14ac:dyDescent="0.55000000000000004">
      <c r="A57" s="59"/>
      <c r="B57" s="5"/>
      <c r="C57" s="5"/>
      <c r="D57" s="40"/>
    </row>
    <row r="58" spans="1:4" x14ac:dyDescent="0.55000000000000004">
      <c r="A58" s="59"/>
      <c r="B58" s="5"/>
      <c r="C58" s="5"/>
      <c r="D58" s="40"/>
    </row>
    <row r="59" spans="1:4" x14ac:dyDescent="0.55000000000000004">
      <c r="A59" s="59"/>
      <c r="B59" s="5"/>
      <c r="C59" s="5"/>
    </row>
    <row r="60" spans="1:4" x14ac:dyDescent="0.55000000000000004">
      <c r="A60" s="59"/>
      <c r="B60" s="5"/>
      <c r="C60" s="5"/>
    </row>
    <row r="61" spans="1:4" x14ac:dyDescent="0.55000000000000004">
      <c r="A61" s="59"/>
      <c r="B61" s="5"/>
      <c r="C61" s="5"/>
    </row>
    <row r="62" spans="1:4" x14ac:dyDescent="0.55000000000000004">
      <c r="A62" s="59"/>
      <c r="B62" s="5"/>
      <c r="C62" s="5"/>
    </row>
    <row r="63" spans="1:4" x14ac:dyDescent="0.55000000000000004">
      <c r="A63" s="59"/>
      <c r="B63" s="5"/>
      <c r="C63" s="5"/>
    </row>
    <row r="64" spans="1:4" x14ac:dyDescent="0.55000000000000004">
      <c r="A64" s="59"/>
      <c r="B64" s="5"/>
      <c r="C64" s="5"/>
    </row>
    <row r="65" spans="1:9" x14ac:dyDescent="0.55000000000000004">
      <c r="A65" s="59"/>
      <c r="B65" s="5" t="s">
        <v>62</v>
      </c>
      <c r="C65" s="5"/>
      <c r="D65" s="2" t="s">
        <v>1520</v>
      </c>
    </row>
    <row r="66" spans="1:9" x14ac:dyDescent="0.55000000000000004">
      <c r="A66" s="59"/>
      <c r="B66" s="5" t="s">
        <v>63</v>
      </c>
      <c r="C66" s="5"/>
      <c r="D66" s="2" t="s">
        <v>1521</v>
      </c>
    </row>
    <row r="67" spans="1:9" x14ac:dyDescent="0.55000000000000004">
      <c r="A67" s="59" t="s">
        <v>65</v>
      </c>
      <c r="B67" s="59"/>
      <c r="C67" s="5"/>
      <c r="D67" s="2" t="s">
        <v>1522</v>
      </c>
    </row>
    <row r="68" spans="1:9" x14ac:dyDescent="0.55000000000000004">
      <c r="A68" s="3" t="s">
        <v>67</v>
      </c>
    </row>
    <row r="69" spans="1:9" x14ac:dyDescent="0.55000000000000004">
      <c r="A69" s="1" t="s">
        <v>68</v>
      </c>
      <c r="C69" s="1">
        <v>12</v>
      </c>
      <c r="D69" s="2">
        <v>28</v>
      </c>
    </row>
    <row r="70" spans="1:9" x14ac:dyDescent="0.55000000000000004">
      <c r="B70" s="1" t="s">
        <v>94</v>
      </c>
    </row>
    <row r="71" spans="1:9" x14ac:dyDescent="0.55000000000000004">
      <c r="C71" s="5" t="s">
        <v>1523</v>
      </c>
      <c r="D71" s="40">
        <v>-0.33700000000000002</v>
      </c>
      <c r="E71" s="1">
        <v>27.6</v>
      </c>
    </row>
    <row r="72" spans="1:9" x14ac:dyDescent="0.55000000000000004">
      <c r="C72" s="5" t="s">
        <v>1524</v>
      </c>
      <c r="D72" s="40">
        <v>-0.252</v>
      </c>
      <c r="E72" s="1">
        <v>13.1</v>
      </c>
    </row>
    <row r="73" spans="1:9" x14ac:dyDescent="0.55000000000000004">
      <c r="C73" s="5" t="s">
        <v>1525</v>
      </c>
      <c r="D73" s="7">
        <v>2.4</v>
      </c>
      <c r="I73" s="1">
        <v>1E-3</v>
      </c>
    </row>
    <row r="74" spans="1:9" x14ac:dyDescent="0.55000000000000004">
      <c r="C74" s="5" t="s">
        <v>1526</v>
      </c>
      <c r="D74" s="7">
        <v>1.4</v>
      </c>
    </row>
    <row r="75" spans="1:9" x14ac:dyDescent="0.55000000000000004">
      <c r="C75" s="5" t="s">
        <v>1527</v>
      </c>
      <c r="D75" s="7">
        <v>3.6</v>
      </c>
      <c r="I75" s="1">
        <v>0.05</v>
      </c>
    </row>
    <row r="76" spans="1:9" x14ac:dyDescent="0.55000000000000004">
      <c r="C76" s="5" t="s">
        <v>1528</v>
      </c>
      <c r="D76" s="7">
        <v>2.2000000000000002</v>
      </c>
    </row>
    <row r="77" spans="1:9" x14ac:dyDescent="0.55000000000000004">
      <c r="C77" s="5" t="s">
        <v>1529</v>
      </c>
      <c r="D77" s="7">
        <v>1.8</v>
      </c>
    </row>
    <row r="78" spans="1:9" x14ac:dyDescent="0.55000000000000004">
      <c r="C78" s="5" t="s">
        <v>1530</v>
      </c>
      <c r="D78" s="7">
        <v>1.8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dimension ref="A1:AMJ78"/>
  <sheetViews>
    <sheetView topLeftCell="A12" zoomScale="90" zoomScaleNormal="90" workbookViewId="0">
      <selection activeCell="C46" sqref="C46"/>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1.15625" style="1" customWidth="1"/>
    <col min="6" max="6" width="13.15625" style="1" customWidth="1"/>
    <col min="7" max="1024" width="11.41796875" style="1"/>
  </cols>
  <sheetData>
    <row r="1" spans="1:4" x14ac:dyDescent="0.55000000000000004">
      <c r="A1" s="3" t="s">
        <v>0</v>
      </c>
      <c r="D1" s="2" t="s">
        <v>861</v>
      </c>
    </row>
    <row r="2" spans="1:4" x14ac:dyDescent="0.55000000000000004">
      <c r="A2" s="58" t="s">
        <v>2</v>
      </c>
      <c r="B2" s="58"/>
      <c r="D2" s="1" t="s">
        <v>1531</v>
      </c>
    </row>
    <row r="3" spans="1:4" x14ac:dyDescent="0.55000000000000004">
      <c r="A3" s="58"/>
      <c r="B3" s="58"/>
      <c r="C3" s="5" t="s">
        <v>4</v>
      </c>
      <c r="D3" s="2" t="s">
        <v>1532</v>
      </c>
    </row>
    <row r="4" spans="1:4" x14ac:dyDescent="0.55000000000000004">
      <c r="A4" s="58"/>
      <c r="B4" s="58"/>
      <c r="C4" s="5" t="s">
        <v>6</v>
      </c>
      <c r="D4" s="2">
        <v>1999</v>
      </c>
    </row>
    <row r="5" spans="1:4" x14ac:dyDescent="0.55000000000000004">
      <c r="A5" s="58"/>
      <c r="B5" s="58"/>
      <c r="C5" s="5" t="s">
        <v>7</v>
      </c>
      <c r="D5" s="2" t="s">
        <v>1533</v>
      </c>
    </row>
    <row r="6" spans="1:4" x14ac:dyDescent="0.55000000000000004">
      <c r="A6" s="58"/>
      <c r="B6" s="58"/>
      <c r="C6" s="5" t="s">
        <v>9</v>
      </c>
      <c r="D6" s="2" t="s">
        <v>535</v>
      </c>
    </row>
    <row r="7" spans="1:4" x14ac:dyDescent="0.55000000000000004">
      <c r="A7" s="58"/>
      <c r="B7" s="58"/>
      <c r="C7" s="5" t="s">
        <v>11</v>
      </c>
      <c r="D7" s="2" t="s">
        <v>12</v>
      </c>
    </row>
    <row r="8" spans="1:4" x14ac:dyDescent="0.55000000000000004">
      <c r="A8" s="59" t="s">
        <v>13</v>
      </c>
      <c r="B8" s="59"/>
      <c r="C8" s="5"/>
    </row>
    <row r="9" spans="1:4" x14ac:dyDescent="0.55000000000000004">
      <c r="A9" s="58"/>
      <c r="B9" s="58"/>
      <c r="C9" s="5" t="s">
        <v>14</v>
      </c>
      <c r="D9" s="2" t="s">
        <v>1534</v>
      </c>
    </row>
    <row r="10" spans="1:4" x14ac:dyDescent="0.55000000000000004">
      <c r="A10" s="58"/>
      <c r="B10" s="58"/>
      <c r="C10" s="5" t="s">
        <v>16</v>
      </c>
      <c r="D10" s="2" t="s">
        <v>165</v>
      </c>
    </row>
    <row r="11" spans="1:4" x14ac:dyDescent="0.55000000000000004">
      <c r="A11" s="58"/>
      <c r="B11" s="58"/>
      <c r="C11" s="5" t="s">
        <v>19</v>
      </c>
      <c r="D11" s="21">
        <v>33970</v>
      </c>
    </row>
    <row r="12" spans="1:4" x14ac:dyDescent="0.55000000000000004">
      <c r="A12" s="58"/>
      <c r="B12" s="58"/>
      <c r="C12" s="5" t="s">
        <v>21</v>
      </c>
      <c r="D12" s="21">
        <v>34304</v>
      </c>
    </row>
    <row r="13" spans="1:4" x14ac:dyDescent="0.55000000000000004">
      <c r="A13" s="58"/>
      <c r="B13" s="58"/>
      <c r="C13" s="5" t="s">
        <v>22</v>
      </c>
      <c r="D13" s="2" t="s">
        <v>20</v>
      </c>
    </row>
    <row r="14" spans="1:4" x14ac:dyDescent="0.55000000000000004">
      <c r="A14" s="59" t="s">
        <v>24</v>
      </c>
      <c r="B14" s="59"/>
      <c r="C14" s="5"/>
    </row>
    <row r="15" spans="1:4" x14ac:dyDescent="0.55000000000000004">
      <c r="A15" s="58"/>
      <c r="B15" s="58"/>
      <c r="C15" s="5" t="s">
        <v>25</v>
      </c>
      <c r="D15" s="2" t="s">
        <v>87</v>
      </c>
    </row>
    <row r="16" spans="1:4" x14ac:dyDescent="0.55000000000000004">
      <c r="A16" s="58"/>
      <c r="B16" s="58"/>
      <c r="C16" s="5" t="s">
        <v>27</v>
      </c>
      <c r="D16" s="2" t="s">
        <v>88</v>
      </c>
    </row>
    <row r="17" spans="1:6" x14ac:dyDescent="0.55000000000000004">
      <c r="A17" s="59" t="s">
        <v>29</v>
      </c>
      <c r="B17" s="59"/>
      <c r="C17" s="5"/>
    </row>
    <row r="18" spans="1:6" ht="39" x14ac:dyDescent="0.55000000000000004">
      <c r="A18" s="58"/>
      <c r="B18" s="58"/>
      <c r="C18" s="5" t="s">
        <v>30</v>
      </c>
      <c r="D18" s="2" t="s">
        <v>1535</v>
      </c>
    </row>
    <row r="19" spans="1:6" ht="26.1" x14ac:dyDescent="0.55000000000000004">
      <c r="A19" s="58"/>
      <c r="B19" s="58"/>
      <c r="C19" s="5" t="s">
        <v>32</v>
      </c>
      <c r="D19" s="2" t="s">
        <v>1536</v>
      </c>
    </row>
    <row r="20" spans="1:6" x14ac:dyDescent="0.55000000000000004">
      <c r="A20" s="59" t="s">
        <v>34</v>
      </c>
      <c r="B20" s="59"/>
      <c r="C20" s="5"/>
      <c r="D20" s="2" t="s">
        <v>109</v>
      </c>
      <c r="E20" s="1" t="s">
        <v>861</v>
      </c>
      <c r="F20" s="1" t="s">
        <v>35</v>
      </c>
    </row>
    <row r="21" spans="1:6" x14ac:dyDescent="0.55000000000000004">
      <c r="A21" s="58"/>
      <c r="B21" s="58"/>
      <c r="C21" s="5" t="s">
        <v>36</v>
      </c>
      <c r="D21" s="2" t="s">
        <v>20</v>
      </c>
    </row>
    <row r="22" spans="1:6" x14ac:dyDescent="0.55000000000000004">
      <c r="A22" s="58"/>
      <c r="B22" s="58"/>
      <c r="C22" s="5" t="s">
        <v>37</v>
      </c>
      <c r="D22" s="2">
        <v>44</v>
      </c>
      <c r="E22" s="1">
        <v>40</v>
      </c>
      <c r="F22" s="1">
        <f>SUM(D22:E22)</f>
        <v>84</v>
      </c>
    </row>
    <row r="23" spans="1:6" x14ac:dyDescent="0.55000000000000004">
      <c r="A23" s="58"/>
      <c r="B23" s="58"/>
      <c r="C23" s="5" t="s">
        <v>38</v>
      </c>
      <c r="D23" s="2">
        <v>44</v>
      </c>
      <c r="E23" s="1">
        <v>40</v>
      </c>
      <c r="F23" s="1">
        <f>SUM(D23:E23)</f>
        <v>84</v>
      </c>
    </row>
    <row r="24" spans="1:6" x14ac:dyDescent="0.55000000000000004">
      <c r="A24" s="58"/>
      <c r="B24" s="58"/>
      <c r="C24" s="5" t="s">
        <v>39</v>
      </c>
      <c r="D24" s="2" t="s">
        <v>20</v>
      </c>
      <c r="E24" s="1" t="s">
        <v>20</v>
      </c>
      <c r="F24" s="1" t="s">
        <v>20</v>
      </c>
    </row>
    <row r="25" spans="1:6" x14ac:dyDescent="0.55000000000000004">
      <c r="A25" s="58"/>
      <c r="B25" s="58"/>
      <c r="C25" s="5" t="s">
        <v>40</v>
      </c>
      <c r="D25" s="7">
        <f>17/44</f>
        <v>0.38636363636363635</v>
      </c>
      <c r="E25" s="10">
        <f>13/40</f>
        <v>0.32500000000000001</v>
      </c>
      <c r="F25" s="10">
        <f>30/85</f>
        <v>0.35294117647058826</v>
      </c>
    </row>
    <row r="26" spans="1:6" x14ac:dyDescent="0.55000000000000004">
      <c r="A26" s="58"/>
      <c r="B26" s="58"/>
      <c r="C26" s="5" t="s">
        <v>41</v>
      </c>
      <c r="D26" s="7">
        <v>66</v>
      </c>
      <c r="E26" s="10">
        <v>62</v>
      </c>
      <c r="F26" s="10">
        <f>((D26*D23)+(E26*E23))/F23</f>
        <v>64.095238095238102</v>
      </c>
    </row>
    <row r="27" spans="1:6" x14ac:dyDescent="0.55000000000000004">
      <c r="A27" s="58"/>
      <c r="B27" s="58"/>
      <c r="C27" s="5" t="s">
        <v>42</v>
      </c>
      <c r="D27" s="2">
        <v>6</v>
      </c>
      <c r="E27" s="1">
        <v>8</v>
      </c>
    </row>
    <row r="28" spans="1:6" x14ac:dyDescent="0.55000000000000004">
      <c r="A28" s="58"/>
      <c r="B28" s="58"/>
      <c r="C28" s="5" t="s">
        <v>43</v>
      </c>
      <c r="D28" s="2" t="s">
        <v>20</v>
      </c>
    </row>
    <row r="29" spans="1:6" x14ac:dyDescent="0.55000000000000004">
      <c r="A29" s="58"/>
      <c r="B29" s="58"/>
      <c r="C29" s="5" t="s">
        <v>44</v>
      </c>
      <c r="D29" s="2" t="s">
        <v>20</v>
      </c>
    </row>
    <row r="30" spans="1:6" x14ac:dyDescent="0.55000000000000004">
      <c r="A30" s="58"/>
      <c r="B30" s="58"/>
      <c r="C30" s="5" t="s">
        <v>45</v>
      </c>
      <c r="D30" s="2" t="s">
        <v>20</v>
      </c>
      <c r="E30" s="1" t="s">
        <v>20</v>
      </c>
      <c r="F30" s="1" t="s">
        <v>20</v>
      </c>
    </row>
    <row r="31" spans="1:6" x14ac:dyDescent="0.55000000000000004">
      <c r="A31" s="58"/>
      <c r="B31" s="58"/>
      <c r="C31" s="5" t="s">
        <v>46</v>
      </c>
      <c r="D31" s="2" t="s">
        <v>20</v>
      </c>
      <c r="E31" s="1" t="s">
        <v>20</v>
      </c>
      <c r="F31" s="1" t="s">
        <v>20</v>
      </c>
    </row>
    <row r="32" spans="1:6" x14ac:dyDescent="0.55000000000000004">
      <c r="A32" s="59" t="s">
        <v>47</v>
      </c>
      <c r="B32" s="59"/>
      <c r="C32" s="5"/>
    </row>
    <row r="33" spans="1:10" ht="26.1" x14ac:dyDescent="0.55000000000000004">
      <c r="A33" s="58"/>
      <c r="B33" s="58"/>
      <c r="C33" s="5" t="s">
        <v>48</v>
      </c>
      <c r="D33" s="2" t="s">
        <v>1537</v>
      </c>
    </row>
    <row r="34" spans="1:10" x14ac:dyDescent="0.55000000000000004">
      <c r="A34" s="59" t="s">
        <v>50</v>
      </c>
      <c r="B34" s="59"/>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9"/>
      <c r="B36" s="5" t="s">
        <v>59</v>
      </c>
      <c r="C36" s="5"/>
    </row>
    <row r="37" spans="1:10" s="1" customFormat="1" ht="12.9" x14ac:dyDescent="0.5">
      <c r="A37" s="59"/>
      <c r="B37" s="5"/>
    </row>
    <row r="38" spans="1:10" s="1" customFormat="1" ht="12.9" x14ac:dyDescent="0.5">
      <c r="A38" s="59"/>
      <c r="B38" s="5"/>
    </row>
    <row r="39" spans="1:10" s="1" customFormat="1" ht="12.9" x14ac:dyDescent="0.5">
      <c r="A39" s="59"/>
      <c r="B39" s="5"/>
    </row>
    <row r="40" spans="1:10" s="1" customFormat="1" ht="12.9" x14ac:dyDescent="0.5">
      <c r="A40" s="59"/>
      <c r="B40" s="5"/>
    </row>
    <row r="41" spans="1:10" s="1" customFormat="1" ht="12.9" x14ac:dyDescent="0.5">
      <c r="A41" s="59"/>
      <c r="B41" s="5"/>
    </row>
    <row r="42" spans="1:10" s="1" customFormat="1" ht="12.9" x14ac:dyDescent="0.5">
      <c r="A42" s="59"/>
      <c r="B42" s="5"/>
    </row>
    <row r="43" spans="1:10" s="1" customFormat="1" ht="12.9" x14ac:dyDescent="0.5">
      <c r="A43" s="59"/>
      <c r="B43" s="5"/>
    </row>
    <row r="44" spans="1:10" s="1" customFormat="1" ht="12.9" x14ac:dyDescent="0.5">
      <c r="A44" s="59"/>
      <c r="B44" s="5"/>
    </row>
    <row r="45" spans="1:10" x14ac:dyDescent="0.55000000000000004">
      <c r="A45" s="59"/>
      <c r="B45" s="5" t="s">
        <v>61</v>
      </c>
      <c r="C45" s="5"/>
    </row>
    <row r="46" spans="1:10" x14ac:dyDescent="0.55000000000000004">
      <c r="A46" s="59"/>
      <c r="B46" s="5"/>
      <c r="C46" s="5" t="s">
        <v>1538</v>
      </c>
      <c r="D46" s="7">
        <v>6.1</v>
      </c>
      <c r="E46" s="10">
        <v>2.5</v>
      </c>
    </row>
    <row r="47" spans="1:10" x14ac:dyDescent="0.55000000000000004">
      <c r="A47" s="59"/>
      <c r="B47" s="5"/>
      <c r="C47" s="5" t="s">
        <v>1539</v>
      </c>
      <c r="D47" s="7">
        <v>3.5</v>
      </c>
      <c r="E47" s="10">
        <v>2.6</v>
      </c>
    </row>
    <row r="48" spans="1:10" x14ac:dyDescent="0.55000000000000004">
      <c r="A48" s="59"/>
      <c r="B48" s="5"/>
      <c r="C48" s="5" t="s">
        <v>1540</v>
      </c>
      <c r="D48" s="7">
        <v>6.4</v>
      </c>
      <c r="E48" s="10">
        <v>3.4</v>
      </c>
    </row>
    <row r="49" spans="1:5" x14ac:dyDescent="0.55000000000000004">
      <c r="A49" s="59"/>
      <c r="B49" s="5"/>
      <c r="C49" s="5" t="s">
        <v>1541</v>
      </c>
      <c r="D49" s="7">
        <v>5.3</v>
      </c>
      <c r="E49" s="10">
        <v>3.9</v>
      </c>
    </row>
    <row r="50" spans="1:5" x14ac:dyDescent="0.55000000000000004">
      <c r="A50" s="59"/>
      <c r="B50" s="5"/>
    </row>
    <row r="51" spans="1:5" x14ac:dyDescent="0.55000000000000004">
      <c r="A51" s="59"/>
      <c r="B51" s="5"/>
    </row>
    <row r="52" spans="1:5" x14ac:dyDescent="0.55000000000000004">
      <c r="A52" s="59"/>
      <c r="B52" s="5"/>
    </row>
    <row r="53" spans="1:5" x14ac:dyDescent="0.55000000000000004">
      <c r="A53" s="59"/>
      <c r="B53" s="5"/>
    </row>
    <row r="54" spans="1:5" x14ac:dyDescent="0.55000000000000004">
      <c r="A54" s="59"/>
      <c r="B54" s="5"/>
    </row>
    <row r="55" spans="1:5" x14ac:dyDescent="0.55000000000000004">
      <c r="A55" s="59"/>
      <c r="B55" s="5"/>
    </row>
    <row r="56" spans="1:5" x14ac:dyDescent="0.55000000000000004">
      <c r="A56" s="59"/>
      <c r="B56" s="5"/>
    </row>
    <row r="57" spans="1:5" x14ac:dyDescent="0.55000000000000004">
      <c r="A57" s="59"/>
      <c r="B57" s="5"/>
    </row>
    <row r="58" spans="1:5" x14ac:dyDescent="0.55000000000000004">
      <c r="A58" s="59"/>
      <c r="B58" s="5"/>
      <c r="C58" s="5"/>
      <c r="D58" s="7"/>
      <c r="E58" s="10"/>
    </row>
    <row r="59" spans="1:5" x14ac:dyDescent="0.55000000000000004">
      <c r="A59" s="59"/>
      <c r="B59" s="5"/>
      <c r="C59" s="5"/>
      <c r="D59" s="7"/>
      <c r="E59" s="10"/>
    </row>
    <row r="60" spans="1:5" x14ac:dyDescent="0.55000000000000004">
      <c r="A60" s="59"/>
      <c r="B60" s="5"/>
      <c r="C60" s="5"/>
      <c r="D60" s="7"/>
      <c r="E60" s="10"/>
    </row>
    <row r="61" spans="1:5" x14ac:dyDescent="0.55000000000000004">
      <c r="A61" s="59"/>
      <c r="B61" s="5"/>
      <c r="C61" s="5"/>
      <c r="D61" s="7"/>
      <c r="E61" s="10"/>
    </row>
    <row r="62" spans="1:5" x14ac:dyDescent="0.55000000000000004">
      <c r="A62" s="59"/>
      <c r="B62" s="5"/>
      <c r="C62" s="5"/>
      <c r="D62" s="7"/>
      <c r="E62" s="10"/>
    </row>
    <row r="63" spans="1:5" x14ac:dyDescent="0.55000000000000004">
      <c r="A63" s="59"/>
      <c r="B63" s="5"/>
      <c r="C63" s="5"/>
    </row>
    <row r="64" spans="1:5" x14ac:dyDescent="0.55000000000000004">
      <c r="A64" s="59"/>
      <c r="B64" s="5"/>
      <c r="C64" s="5"/>
    </row>
    <row r="65" spans="1:5" x14ac:dyDescent="0.55000000000000004">
      <c r="A65" s="59"/>
      <c r="B65" s="5" t="s">
        <v>62</v>
      </c>
      <c r="C65" s="5"/>
      <c r="D65" s="2">
        <f>16*7</f>
        <v>112</v>
      </c>
    </row>
    <row r="66" spans="1:5" x14ac:dyDescent="0.55000000000000004">
      <c r="A66" s="59"/>
      <c r="B66" s="5" t="s">
        <v>63</v>
      </c>
      <c r="C66" s="5"/>
      <c r="D66" s="2" t="s">
        <v>1542</v>
      </c>
    </row>
    <row r="67" spans="1:5" x14ac:dyDescent="0.55000000000000004">
      <c r="A67" s="59" t="s">
        <v>65</v>
      </c>
      <c r="B67" s="59"/>
      <c r="C67" s="5"/>
      <c r="D67" s="2" t="s">
        <v>1543</v>
      </c>
    </row>
    <row r="68" spans="1:5" x14ac:dyDescent="0.55000000000000004">
      <c r="A68" s="3" t="s">
        <v>67</v>
      </c>
    </row>
    <row r="69" spans="1:5" x14ac:dyDescent="0.55000000000000004">
      <c r="A69" s="1" t="s">
        <v>68</v>
      </c>
      <c r="C69" s="1">
        <v>17</v>
      </c>
      <c r="D69" s="2">
        <v>28</v>
      </c>
    </row>
    <row r="70" spans="1:5" x14ac:dyDescent="0.55000000000000004">
      <c r="B70" s="1" t="s">
        <v>94</v>
      </c>
    </row>
    <row r="71" spans="1:5" x14ac:dyDescent="0.55000000000000004">
      <c r="C71" s="5" t="s">
        <v>1544</v>
      </c>
      <c r="D71" s="7">
        <v>26.6</v>
      </c>
      <c r="E71" s="10">
        <v>21.1</v>
      </c>
    </row>
    <row r="72" spans="1:5" x14ac:dyDescent="0.55000000000000004">
      <c r="C72" s="5" t="s">
        <v>1545</v>
      </c>
      <c r="D72" s="7">
        <v>26.2</v>
      </c>
      <c r="E72" s="10">
        <v>18.3</v>
      </c>
    </row>
    <row r="73" spans="1:5" x14ac:dyDescent="0.55000000000000004">
      <c r="C73" s="5" t="s">
        <v>1546</v>
      </c>
      <c r="D73" s="7">
        <v>24.7</v>
      </c>
      <c r="E73" s="10">
        <v>15.5</v>
      </c>
    </row>
    <row r="74" spans="1:5" x14ac:dyDescent="0.55000000000000004">
      <c r="C74" s="5" t="s">
        <v>1547</v>
      </c>
      <c r="D74" s="7">
        <v>14.8</v>
      </c>
      <c r="E74" s="10">
        <v>14.5</v>
      </c>
    </row>
    <row r="75" spans="1:5" x14ac:dyDescent="0.55000000000000004">
      <c r="C75" s="5" t="s">
        <v>1548</v>
      </c>
      <c r="D75" s="7">
        <v>10.1</v>
      </c>
      <c r="E75" s="10">
        <v>4.2</v>
      </c>
    </row>
    <row r="76" spans="1:5" x14ac:dyDescent="0.55000000000000004">
      <c r="C76" s="5" t="s">
        <v>1549</v>
      </c>
      <c r="D76" s="7">
        <v>10.3</v>
      </c>
      <c r="E76" s="10">
        <v>3.7</v>
      </c>
    </row>
    <row r="77" spans="1:5" x14ac:dyDescent="0.55000000000000004">
      <c r="C77" s="5" t="s">
        <v>1550</v>
      </c>
      <c r="D77" s="7">
        <v>9.1</v>
      </c>
      <c r="E77" s="10">
        <v>2.5</v>
      </c>
    </row>
    <row r="78" spans="1:5" x14ac:dyDescent="0.55000000000000004">
      <c r="C78" s="5" t="s">
        <v>1551</v>
      </c>
      <c r="D78" s="7">
        <v>7.2</v>
      </c>
      <c r="E78" s="10">
        <v>1.6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dimension ref="A1:AMJ82"/>
  <sheetViews>
    <sheetView zoomScale="90" zoomScaleNormal="90" workbookViewId="0">
      <selection activeCell="D33" sqref="D33"/>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38.15625" style="2" customWidth="1"/>
    <col min="5" max="5" width="16.578125" style="1" customWidth="1"/>
    <col min="6" max="6" width="12.41796875" style="1" customWidth="1"/>
    <col min="7" max="7" width="16.41796875" style="1" customWidth="1"/>
    <col min="8" max="8" width="4.41796875" style="1" customWidth="1"/>
    <col min="9" max="1024" width="11.41796875" style="1"/>
  </cols>
  <sheetData>
    <row r="1" spans="1:4" x14ac:dyDescent="0.55000000000000004">
      <c r="A1" s="3" t="s">
        <v>0</v>
      </c>
      <c r="D1" s="2" t="s">
        <v>185</v>
      </c>
    </row>
    <row r="2" spans="1:4" x14ac:dyDescent="0.55000000000000004">
      <c r="A2" s="58" t="s">
        <v>2</v>
      </c>
      <c r="B2" s="58"/>
      <c r="D2" s="1" t="s">
        <v>1552</v>
      </c>
    </row>
    <row r="3" spans="1:4" x14ac:dyDescent="0.55000000000000004">
      <c r="A3" s="58"/>
      <c r="B3" s="58"/>
      <c r="C3" s="5" t="s">
        <v>4</v>
      </c>
      <c r="D3" s="2" t="s">
        <v>1553</v>
      </c>
    </row>
    <row r="4" spans="1:4" x14ac:dyDescent="0.55000000000000004">
      <c r="A4" s="58"/>
      <c r="B4" s="58"/>
      <c r="C4" s="5" t="s">
        <v>6</v>
      </c>
      <c r="D4" s="2">
        <v>2004</v>
      </c>
    </row>
    <row r="5" spans="1:4" ht="39" x14ac:dyDescent="0.55000000000000004">
      <c r="A5" s="58"/>
      <c r="B5" s="58"/>
      <c r="C5" s="5" t="s">
        <v>7</v>
      </c>
      <c r="D5" s="2" t="s">
        <v>1554</v>
      </c>
    </row>
    <row r="6" spans="1:4" x14ac:dyDescent="0.55000000000000004">
      <c r="A6" s="58"/>
      <c r="B6" s="58"/>
      <c r="C6" s="5" t="s">
        <v>9</v>
      </c>
      <c r="D6" s="2" t="s">
        <v>1555</v>
      </c>
    </row>
    <row r="7" spans="1:4" x14ac:dyDescent="0.55000000000000004">
      <c r="A7" s="58"/>
      <c r="B7" s="58"/>
      <c r="C7" s="5" t="s">
        <v>11</v>
      </c>
      <c r="D7" s="2" t="s">
        <v>1556</v>
      </c>
    </row>
    <row r="8" spans="1:4" x14ac:dyDescent="0.55000000000000004">
      <c r="A8" s="59" t="s">
        <v>13</v>
      </c>
      <c r="B8" s="59"/>
      <c r="C8" s="5"/>
    </row>
    <row r="9" spans="1:4" ht="26.1" x14ac:dyDescent="0.55000000000000004">
      <c r="A9" s="58"/>
      <c r="B9" s="58"/>
      <c r="C9" s="5" t="s">
        <v>14</v>
      </c>
      <c r="D9" s="2" t="s">
        <v>1557</v>
      </c>
    </row>
    <row r="10" spans="1:4" x14ac:dyDescent="0.55000000000000004">
      <c r="A10" s="58"/>
      <c r="B10" s="58"/>
      <c r="C10" s="5" t="s">
        <v>16</v>
      </c>
      <c r="D10" s="2" t="s">
        <v>165</v>
      </c>
    </row>
    <row r="11" spans="1:4" x14ac:dyDescent="0.55000000000000004">
      <c r="A11" s="58"/>
      <c r="B11" s="58"/>
      <c r="C11" s="5" t="s">
        <v>19</v>
      </c>
      <c r="D11" s="2" t="s">
        <v>20</v>
      </c>
    </row>
    <row r="12" spans="1:4" x14ac:dyDescent="0.55000000000000004">
      <c r="A12" s="58"/>
      <c r="B12" s="58"/>
      <c r="C12" s="5" t="s">
        <v>21</v>
      </c>
      <c r="D12" s="2" t="s">
        <v>20</v>
      </c>
    </row>
    <row r="13" spans="1:4" x14ac:dyDescent="0.55000000000000004">
      <c r="A13" s="58"/>
      <c r="B13" s="58"/>
      <c r="C13" s="5" t="s">
        <v>22</v>
      </c>
      <c r="D13" s="2" t="s">
        <v>20</v>
      </c>
    </row>
    <row r="14" spans="1:4" x14ac:dyDescent="0.55000000000000004">
      <c r="A14" s="59" t="s">
        <v>24</v>
      </c>
      <c r="B14" s="59"/>
      <c r="C14" s="5"/>
    </row>
    <row r="15" spans="1:4" x14ac:dyDescent="0.55000000000000004">
      <c r="A15" s="58"/>
      <c r="B15" s="58"/>
      <c r="C15" s="5" t="s">
        <v>25</v>
      </c>
      <c r="D15" s="2" t="s">
        <v>755</v>
      </c>
    </row>
    <row r="16" spans="1:4" x14ac:dyDescent="0.55000000000000004">
      <c r="A16" s="58"/>
      <c r="B16" s="58"/>
      <c r="C16" s="5" t="s">
        <v>27</v>
      </c>
      <c r="D16" s="2" t="s">
        <v>88</v>
      </c>
    </row>
    <row r="17" spans="1:7" x14ac:dyDescent="0.55000000000000004">
      <c r="A17" s="59" t="s">
        <v>29</v>
      </c>
      <c r="B17" s="59"/>
      <c r="C17" s="5"/>
    </row>
    <row r="18" spans="1:7" ht="51.9" x14ac:dyDescent="0.55000000000000004">
      <c r="A18" s="58"/>
      <c r="B18" s="58"/>
      <c r="C18" s="5" t="s">
        <v>30</v>
      </c>
      <c r="D18" s="2" t="s">
        <v>1558</v>
      </c>
    </row>
    <row r="19" spans="1:7" ht="90.6" x14ac:dyDescent="0.55000000000000004">
      <c r="A19" s="58"/>
      <c r="B19" s="58"/>
      <c r="C19" s="5" t="s">
        <v>32</v>
      </c>
      <c r="D19" s="2" t="s">
        <v>1559</v>
      </c>
    </row>
    <row r="20" spans="1:7" x14ac:dyDescent="0.55000000000000004">
      <c r="A20" s="59" t="s">
        <v>34</v>
      </c>
      <c r="B20" s="59"/>
      <c r="C20" s="5"/>
      <c r="D20" s="1" t="s">
        <v>185</v>
      </c>
      <c r="E20" s="1" t="s">
        <v>109</v>
      </c>
      <c r="F20" s="2" t="s">
        <v>35</v>
      </c>
    </row>
    <row r="21" spans="1:7" s="1" customFormat="1" ht="12.9" x14ac:dyDescent="0.5">
      <c r="A21" s="58"/>
      <c r="B21" s="58"/>
      <c r="C21" s="5" t="s">
        <v>36</v>
      </c>
      <c r="F21" s="2"/>
    </row>
    <row r="22" spans="1:7" s="1" customFormat="1" ht="12.9" x14ac:dyDescent="0.5">
      <c r="A22" s="58"/>
      <c r="B22" s="58"/>
      <c r="C22" s="5" t="s">
        <v>37</v>
      </c>
      <c r="F22" s="2"/>
    </row>
    <row r="23" spans="1:7" x14ac:dyDescent="0.55000000000000004">
      <c r="A23" s="58"/>
      <c r="B23" s="58"/>
      <c r="C23" s="5" t="s">
        <v>38</v>
      </c>
      <c r="D23" s="1">
        <v>71</v>
      </c>
      <c r="E23" s="1">
        <v>72</v>
      </c>
      <c r="F23" s="2">
        <f>SUM(D23:E23)</f>
        <v>143</v>
      </c>
    </row>
    <row r="24" spans="1:7" x14ac:dyDescent="0.55000000000000004">
      <c r="A24" s="58"/>
      <c r="B24" s="58"/>
      <c r="C24" s="5" t="s">
        <v>39</v>
      </c>
      <c r="D24" s="1">
        <v>0</v>
      </c>
      <c r="E24" s="1">
        <v>3</v>
      </c>
      <c r="F24" s="2">
        <f>SUM(D24:E24)</f>
        <v>3</v>
      </c>
    </row>
    <row r="25" spans="1:7" x14ac:dyDescent="0.55000000000000004">
      <c r="A25" s="58"/>
      <c r="B25" s="58"/>
      <c r="C25" s="5" t="s">
        <v>40</v>
      </c>
      <c r="D25" s="10">
        <f>31/71</f>
        <v>0.43661971830985913</v>
      </c>
      <c r="E25" s="10">
        <f>29/E23</f>
        <v>0.40277777777777779</v>
      </c>
      <c r="F25" s="7">
        <f>60/F23</f>
        <v>0.41958041958041958</v>
      </c>
    </row>
    <row r="26" spans="1:7" x14ac:dyDescent="0.55000000000000004">
      <c r="A26" s="58"/>
      <c r="B26" s="58"/>
      <c r="C26" s="5" t="s">
        <v>41</v>
      </c>
      <c r="D26" s="10">
        <v>63.8</v>
      </c>
      <c r="E26" s="10">
        <v>65</v>
      </c>
      <c r="F26" s="10">
        <f>((E26*E23)+(D26*D23))/F23</f>
        <v>64.404195804195794</v>
      </c>
    </row>
    <row r="27" spans="1:7" x14ac:dyDescent="0.55000000000000004">
      <c r="A27" s="58"/>
      <c r="B27" s="58"/>
      <c r="C27" s="5" t="s">
        <v>42</v>
      </c>
      <c r="D27" s="10">
        <v>9.9</v>
      </c>
      <c r="E27" s="10">
        <v>9</v>
      </c>
      <c r="F27" s="10">
        <f>SQRT((D23*(D27^2+(F$26-D26)^2)+E23*(E27^2+(F$26-E26)^2))/F$23)</f>
        <v>9.476576748528533</v>
      </c>
    </row>
    <row r="28" spans="1:7" x14ac:dyDescent="0.55000000000000004">
      <c r="A28" s="58"/>
      <c r="B28" s="58"/>
      <c r="C28" s="5" t="s">
        <v>43</v>
      </c>
      <c r="F28" s="10"/>
      <c r="G28" s="2"/>
    </row>
    <row r="29" spans="1:7" x14ac:dyDescent="0.55000000000000004">
      <c r="A29" s="58"/>
      <c r="B29" s="58"/>
      <c r="C29" s="5" t="s">
        <v>44</v>
      </c>
      <c r="D29" s="2" t="s">
        <v>20</v>
      </c>
      <c r="E29" s="1" t="s">
        <v>20</v>
      </c>
      <c r="F29" s="10" t="s">
        <v>20</v>
      </c>
    </row>
    <row r="30" spans="1:7" x14ac:dyDescent="0.55000000000000004">
      <c r="A30" s="58"/>
      <c r="B30" s="58"/>
      <c r="C30" s="5" t="s">
        <v>45</v>
      </c>
      <c r="D30" s="7">
        <v>28.7</v>
      </c>
      <c r="E30" s="10">
        <v>27.7</v>
      </c>
      <c r="F30" s="10">
        <f>((E30*E23)+(D30*D23))/F23</f>
        <v>28.196503496503496</v>
      </c>
    </row>
    <row r="31" spans="1:7" x14ac:dyDescent="0.55000000000000004">
      <c r="A31" s="58"/>
      <c r="B31" s="58"/>
      <c r="C31" s="5" t="s">
        <v>46</v>
      </c>
      <c r="D31" s="7">
        <v>12.1</v>
      </c>
      <c r="E31" s="10">
        <v>11.3</v>
      </c>
      <c r="F31" s="10">
        <f>SQRT((D23*(D31^2+(F$30-D30)^2)+E23*(E31^2+(F$30-E30)^2))/F$23)</f>
        <v>11.714714389561905</v>
      </c>
    </row>
    <row r="32" spans="1:7" x14ac:dyDescent="0.55000000000000004">
      <c r="A32" s="59" t="s">
        <v>47</v>
      </c>
      <c r="B32" s="59"/>
      <c r="C32" s="5"/>
    </row>
    <row r="33" spans="1:11" ht="90.6" x14ac:dyDescent="0.55000000000000004">
      <c r="A33" s="58"/>
      <c r="B33" s="58"/>
      <c r="C33" s="5" t="s">
        <v>48</v>
      </c>
      <c r="D33" s="2" t="s">
        <v>1560</v>
      </c>
    </row>
    <row r="34" spans="1:11" x14ac:dyDescent="0.55000000000000004">
      <c r="A34" s="59" t="s">
        <v>50</v>
      </c>
      <c r="B34" s="59"/>
      <c r="C34" s="5"/>
    </row>
    <row r="35" spans="1:11" x14ac:dyDescent="0.55000000000000004">
      <c r="A35" s="8"/>
      <c r="B35" s="8"/>
      <c r="C35" s="5"/>
    </row>
    <row r="36" spans="1:11" x14ac:dyDescent="0.55000000000000004">
      <c r="A36" s="59"/>
      <c r="B36" s="5" t="s">
        <v>59</v>
      </c>
      <c r="C36" s="5"/>
      <c r="D36" s="2" t="s">
        <v>51</v>
      </c>
      <c r="E36" s="1" t="s">
        <v>52</v>
      </c>
      <c r="F36" s="1" t="s">
        <v>53</v>
      </c>
      <c r="G36" s="1" t="s">
        <v>54</v>
      </c>
      <c r="H36" s="1" t="s">
        <v>55</v>
      </c>
      <c r="I36" s="1" t="s">
        <v>56</v>
      </c>
      <c r="J36" s="1" t="s">
        <v>57</v>
      </c>
      <c r="K36" s="1" t="s">
        <v>58</v>
      </c>
    </row>
    <row r="37" spans="1:11" x14ac:dyDescent="0.55000000000000004">
      <c r="A37" s="59"/>
      <c r="B37" s="5"/>
      <c r="C37" s="5" t="s">
        <v>1561</v>
      </c>
      <c r="D37" s="7">
        <v>1.7</v>
      </c>
      <c r="E37" s="10">
        <v>1</v>
      </c>
    </row>
    <row r="38" spans="1:11" x14ac:dyDescent="0.55000000000000004">
      <c r="A38" s="59"/>
      <c r="B38" s="5"/>
      <c r="C38" s="5" t="s">
        <v>1562</v>
      </c>
      <c r="D38" s="7">
        <v>1.1000000000000001</v>
      </c>
      <c r="E38" s="10">
        <v>1</v>
      </c>
    </row>
    <row r="39" spans="1:11" x14ac:dyDescent="0.55000000000000004">
      <c r="A39" s="59"/>
      <c r="B39" s="5"/>
      <c r="C39" s="5" t="s">
        <v>129</v>
      </c>
      <c r="D39" s="7">
        <v>1.6</v>
      </c>
      <c r="E39" s="10">
        <v>0.9</v>
      </c>
    </row>
    <row r="40" spans="1:11" x14ac:dyDescent="0.55000000000000004">
      <c r="A40" s="59"/>
      <c r="B40" s="5"/>
      <c r="C40" s="5" t="s">
        <v>130</v>
      </c>
      <c r="D40" s="7">
        <v>1.5</v>
      </c>
      <c r="E40" s="10">
        <v>0.9</v>
      </c>
    </row>
    <row r="41" spans="1:11" x14ac:dyDescent="0.55000000000000004">
      <c r="A41" s="59"/>
      <c r="B41" s="5"/>
    </row>
    <row r="42" spans="1:11" x14ac:dyDescent="0.55000000000000004">
      <c r="A42" s="59"/>
      <c r="B42" s="5"/>
    </row>
    <row r="43" spans="1:11" x14ac:dyDescent="0.55000000000000004">
      <c r="A43" s="59"/>
      <c r="B43" s="5"/>
    </row>
    <row r="44" spans="1:11" x14ac:dyDescent="0.55000000000000004">
      <c r="A44" s="59"/>
      <c r="B44" s="5"/>
    </row>
    <row r="45" spans="1:11" x14ac:dyDescent="0.55000000000000004">
      <c r="A45" s="59"/>
      <c r="B45" s="5" t="s">
        <v>61</v>
      </c>
      <c r="C45" s="5"/>
    </row>
    <row r="46" spans="1:11" x14ac:dyDescent="0.55000000000000004">
      <c r="A46" s="59"/>
      <c r="B46" s="5"/>
      <c r="C46" s="5" t="s">
        <v>79</v>
      </c>
      <c r="D46" s="2">
        <v>1</v>
      </c>
    </row>
    <row r="47" spans="1:11" x14ac:dyDescent="0.55000000000000004">
      <c r="A47" s="59"/>
      <c r="B47" s="5"/>
      <c r="C47" s="5"/>
    </row>
    <row r="48" spans="1:11" x14ac:dyDescent="0.55000000000000004">
      <c r="A48" s="59"/>
      <c r="B48" s="5"/>
      <c r="C48" s="5"/>
    </row>
    <row r="49" spans="1:3" x14ac:dyDescent="0.55000000000000004">
      <c r="A49" s="59"/>
      <c r="B49" s="5"/>
      <c r="C49" s="5"/>
    </row>
    <row r="50" spans="1:3" x14ac:dyDescent="0.55000000000000004">
      <c r="A50" s="59"/>
      <c r="B50" s="5"/>
      <c r="C50" s="5"/>
    </row>
    <row r="51" spans="1:3" x14ac:dyDescent="0.55000000000000004">
      <c r="A51" s="59"/>
      <c r="B51" s="5"/>
      <c r="C51" s="5"/>
    </row>
    <row r="52" spans="1:3" x14ac:dyDescent="0.55000000000000004">
      <c r="A52" s="59"/>
      <c r="B52" s="5"/>
      <c r="C52" s="5"/>
    </row>
    <row r="53" spans="1:3" x14ac:dyDescent="0.55000000000000004">
      <c r="A53" s="59"/>
      <c r="B53" s="5"/>
      <c r="C53" s="5"/>
    </row>
    <row r="54" spans="1:3" x14ac:dyDescent="0.55000000000000004">
      <c r="A54" s="59"/>
      <c r="B54" s="5"/>
      <c r="C54" s="5"/>
    </row>
    <row r="55" spans="1:3" x14ac:dyDescent="0.55000000000000004">
      <c r="A55" s="59"/>
      <c r="B55" s="5"/>
      <c r="C55" s="5"/>
    </row>
    <row r="56" spans="1:3" x14ac:dyDescent="0.55000000000000004">
      <c r="A56" s="59"/>
      <c r="B56" s="5"/>
      <c r="C56" s="5"/>
    </row>
    <row r="57" spans="1:3" x14ac:dyDescent="0.55000000000000004">
      <c r="A57" s="59"/>
      <c r="B57" s="5"/>
      <c r="C57" s="5"/>
    </row>
    <row r="58" spans="1:3" x14ac:dyDescent="0.55000000000000004">
      <c r="A58" s="59"/>
      <c r="B58" s="5"/>
      <c r="C58" s="5"/>
    </row>
    <row r="59" spans="1:3" x14ac:dyDescent="0.55000000000000004">
      <c r="A59" s="59"/>
      <c r="B59" s="5"/>
      <c r="C59" s="5"/>
    </row>
    <row r="60" spans="1:3" x14ac:dyDescent="0.55000000000000004">
      <c r="A60" s="59"/>
      <c r="B60" s="5"/>
      <c r="C60" s="5"/>
    </row>
    <row r="61" spans="1:3" x14ac:dyDescent="0.55000000000000004">
      <c r="A61" s="59"/>
      <c r="B61" s="5"/>
      <c r="C61" s="5"/>
    </row>
    <row r="62" spans="1:3" x14ac:dyDescent="0.55000000000000004">
      <c r="A62" s="59"/>
      <c r="B62" s="5"/>
      <c r="C62" s="5"/>
    </row>
    <row r="63" spans="1:3" x14ac:dyDescent="0.55000000000000004">
      <c r="A63" s="59"/>
      <c r="B63" s="5"/>
      <c r="C63" s="5"/>
    </row>
    <row r="64" spans="1:3" x14ac:dyDescent="0.55000000000000004">
      <c r="A64" s="59"/>
      <c r="B64" s="5"/>
      <c r="C64" s="5"/>
    </row>
    <row r="65" spans="1:11" x14ac:dyDescent="0.55000000000000004">
      <c r="A65" s="59"/>
      <c r="B65" s="5" t="s">
        <v>62</v>
      </c>
      <c r="C65" s="5"/>
    </row>
    <row r="66" spans="1:11" x14ac:dyDescent="0.55000000000000004">
      <c r="A66" s="59"/>
      <c r="B66" s="5" t="s">
        <v>63</v>
      </c>
      <c r="C66" s="5"/>
      <c r="D66" s="2">
        <f>12*7</f>
        <v>84</v>
      </c>
    </row>
    <row r="67" spans="1:11" ht="26.1" x14ac:dyDescent="0.55000000000000004">
      <c r="A67" s="59" t="s">
        <v>65</v>
      </c>
      <c r="B67" s="59"/>
      <c r="C67" s="5"/>
      <c r="D67" s="2" t="s">
        <v>1563</v>
      </c>
    </row>
    <row r="68" spans="1:11" x14ac:dyDescent="0.55000000000000004">
      <c r="A68" s="3" t="s">
        <v>67</v>
      </c>
      <c r="D68" s="2" t="s">
        <v>1564</v>
      </c>
    </row>
    <row r="69" spans="1:11" x14ac:dyDescent="0.55000000000000004">
      <c r="A69" s="1" t="s">
        <v>68</v>
      </c>
      <c r="C69" s="1">
        <v>14</v>
      </c>
      <c r="D69" s="2">
        <v>28</v>
      </c>
    </row>
    <row r="70" spans="1:11" x14ac:dyDescent="0.55000000000000004">
      <c r="B70" s="1" t="s">
        <v>94</v>
      </c>
    </row>
    <row r="75" spans="1:11" x14ac:dyDescent="0.55000000000000004">
      <c r="C75" s="5" t="s">
        <v>1565</v>
      </c>
      <c r="D75" s="7">
        <v>1.9</v>
      </c>
      <c r="E75" s="10">
        <v>1.7</v>
      </c>
    </row>
    <row r="76" spans="1:11" x14ac:dyDescent="0.55000000000000004">
      <c r="C76" s="5" t="s">
        <v>1566</v>
      </c>
      <c r="D76" s="7">
        <v>1.4</v>
      </c>
      <c r="E76" s="10">
        <v>1.2</v>
      </c>
    </row>
    <row r="77" spans="1:11" x14ac:dyDescent="0.55000000000000004">
      <c r="C77" s="5" t="s">
        <v>1567</v>
      </c>
      <c r="D77" s="7">
        <v>1.9</v>
      </c>
      <c r="E77" s="10">
        <v>1.7</v>
      </c>
    </row>
    <row r="78" spans="1:11" x14ac:dyDescent="0.55000000000000004">
      <c r="C78" s="5" t="s">
        <v>1568</v>
      </c>
      <c r="D78" s="7">
        <v>1.8</v>
      </c>
      <c r="E78" s="10">
        <v>1.6</v>
      </c>
    </row>
    <row r="79" spans="1:11" x14ac:dyDescent="0.55000000000000004">
      <c r="C79" s="5" t="s">
        <v>1569</v>
      </c>
      <c r="D79" s="7">
        <f>(D37+D75)</f>
        <v>3.5999999999999996</v>
      </c>
      <c r="K79" s="10">
        <f>SQRT((((71-1)*E37^2)+((71-1)*E75^2))/(71+71-2))</f>
        <v>1.3946325680981351</v>
      </c>
    </row>
    <row r="80" spans="1:11" x14ac:dyDescent="0.55000000000000004">
      <c r="C80" s="5" t="s">
        <v>1570</v>
      </c>
      <c r="D80" s="7">
        <f>(D38+D76)</f>
        <v>2.5</v>
      </c>
      <c r="K80" s="10">
        <f>SQRT((((71-1)*E38^2)+((71-1)*E76^2))/(71+71-2))</f>
        <v>1.1045361017187261</v>
      </c>
    </row>
    <row r="81" spans="3:11" x14ac:dyDescent="0.55000000000000004">
      <c r="C81" s="5" t="s">
        <v>1571</v>
      </c>
      <c r="D81" s="7">
        <f>(D39+D77)</f>
        <v>3.5</v>
      </c>
      <c r="K81" s="10">
        <f>SQRT((((72-1)*E39^2)+((72-1)*E77^2))/(72+72-2))</f>
        <v>1.3601470508735443</v>
      </c>
    </row>
    <row r="82" spans="3:11" x14ac:dyDescent="0.55000000000000004">
      <c r="C82" s="5" t="s">
        <v>1572</v>
      </c>
      <c r="D82" s="7">
        <f>(D40+D78)</f>
        <v>3.3</v>
      </c>
      <c r="K82" s="10">
        <f>SQRT((((72-1)*E40^2)+((72-1)*E78^2))/(72+72-2))</f>
        <v>1.2980754985747172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dimension ref="A1:AMJ76"/>
  <sheetViews>
    <sheetView zoomScale="90" zoomScaleNormal="90" workbookViewId="0">
      <selection activeCell="H16" sqref="H16"/>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3.15625" style="2" customWidth="1"/>
    <col min="5" max="5" width="4.41796875" style="1" customWidth="1"/>
    <col min="6" max="6" width="3.41796875" style="1" customWidth="1"/>
    <col min="7" max="1024" width="11.41796875" style="1"/>
  </cols>
  <sheetData>
    <row r="1" spans="1:4" x14ac:dyDescent="0.55000000000000004">
      <c r="A1" s="3" t="s">
        <v>0</v>
      </c>
      <c r="D1" s="2" t="s">
        <v>778</v>
      </c>
    </row>
    <row r="2" spans="1:4" ht="26.1" x14ac:dyDescent="0.55000000000000004">
      <c r="A2" s="58" t="s">
        <v>2</v>
      </c>
      <c r="B2" s="58"/>
      <c r="D2" s="2" t="s">
        <v>1573</v>
      </c>
    </row>
    <row r="3" spans="1:4" x14ac:dyDescent="0.55000000000000004">
      <c r="A3" s="58"/>
      <c r="B3" s="58"/>
      <c r="C3" s="5" t="s">
        <v>4</v>
      </c>
      <c r="D3" s="1" t="s">
        <v>1574</v>
      </c>
    </row>
    <row r="4" spans="1:4" x14ac:dyDescent="0.55000000000000004">
      <c r="A4" s="58"/>
      <c r="B4" s="58"/>
      <c r="C4" s="5" t="s">
        <v>6</v>
      </c>
      <c r="D4" s="2">
        <v>2008</v>
      </c>
    </row>
    <row r="5" spans="1:4" ht="26.1" x14ac:dyDescent="0.55000000000000004">
      <c r="A5" s="58"/>
      <c r="B5" s="58"/>
      <c r="C5" s="5" t="s">
        <v>7</v>
      </c>
      <c r="D5" s="2" t="s">
        <v>1575</v>
      </c>
    </row>
    <row r="6" spans="1:4" x14ac:dyDescent="0.55000000000000004">
      <c r="A6" s="58"/>
      <c r="B6" s="58"/>
      <c r="C6" s="5" t="s">
        <v>9</v>
      </c>
      <c r="D6" s="2" t="s">
        <v>1576</v>
      </c>
    </row>
    <row r="7" spans="1:4" x14ac:dyDescent="0.55000000000000004">
      <c r="A7" s="58"/>
      <c r="B7" s="58"/>
      <c r="C7" s="5" t="s">
        <v>11</v>
      </c>
      <c r="D7" s="2" t="s">
        <v>12</v>
      </c>
    </row>
    <row r="8" spans="1:4" x14ac:dyDescent="0.55000000000000004">
      <c r="A8" s="59" t="s">
        <v>13</v>
      </c>
      <c r="B8" s="59"/>
      <c r="C8" s="5"/>
    </row>
    <row r="9" spans="1:4" ht="26.1" x14ac:dyDescent="0.55000000000000004">
      <c r="A9" s="58"/>
      <c r="B9" s="58"/>
      <c r="C9" s="5" t="s">
        <v>14</v>
      </c>
      <c r="D9" s="2" t="s">
        <v>1577</v>
      </c>
    </row>
    <row r="10" spans="1:4" x14ac:dyDescent="0.55000000000000004">
      <c r="A10" s="58"/>
      <c r="B10" s="58"/>
      <c r="C10" s="5" t="s">
        <v>16</v>
      </c>
      <c r="D10" s="2" t="s">
        <v>17</v>
      </c>
    </row>
    <row r="11" spans="1:4" x14ac:dyDescent="0.55000000000000004">
      <c r="A11" s="58"/>
      <c r="B11" s="58"/>
      <c r="C11" s="5" t="s">
        <v>19</v>
      </c>
      <c r="D11" s="21">
        <v>38047</v>
      </c>
    </row>
    <row r="12" spans="1:4" x14ac:dyDescent="0.55000000000000004">
      <c r="A12" s="58"/>
      <c r="B12" s="58"/>
      <c r="C12" s="5" t="s">
        <v>21</v>
      </c>
      <c r="D12" s="21">
        <v>38322</v>
      </c>
    </row>
    <row r="13" spans="1:4" x14ac:dyDescent="0.55000000000000004">
      <c r="A13" s="58"/>
      <c r="B13" s="58"/>
      <c r="C13" s="5" t="s">
        <v>22</v>
      </c>
      <c r="D13" s="2" t="s">
        <v>20</v>
      </c>
    </row>
    <row r="14" spans="1:4" x14ac:dyDescent="0.55000000000000004">
      <c r="A14" s="59" t="s">
        <v>24</v>
      </c>
      <c r="B14" s="59"/>
      <c r="C14" s="5"/>
    </row>
    <row r="15" spans="1:4" x14ac:dyDescent="0.55000000000000004">
      <c r="A15" s="58"/>
      <c r="B15" s="58"/>
      <c r="C15" s="5" t="s">
        <v>25</v>
      </c>
      <c r="D15" s="2" t="s">
        <v>553</v>
      </c>
    </row>
    <row r="16" spans="1:4" x14ac:dyDescent="0.55000000000000004">
      <c r="A16" s="58"/>
      <c r="B16" s="58"/>
      <c r="C16" s="5" t="s">
        <v>27</v>
      </c>
      <c r="D16" s="2" t="s">
        <v>88</v>
      </c>
    </row>
    <row r="17" spans="1:4" x14ac:dyDescent="0.55000000000000004">
      <c r="A17" s="59" t="s">
        <v>29</v>
      </c>
      <c r="B17" s="59"/>
      <c r="C17" s="5"/>
    </row>
    <row r="18" spans="1:4" x14ac:dyDescent="0.55000000000000004">
      <c r="A18" s="58"/>
      <c r="B18" s="58"/>
      <c r="C18" s="5" t="s">
        <v>30</v>
      </c>
      <c r="D18" s="2" t="s">
        <v>973</v>
      </c>
    </row>
    <row r="19" spans="1:4" ht="51.9" x14ac:dyDescent="0.55000000000000004">
      <c r="A19" s="58"/>
      <c r="B19" s="58"/>
      <c r="C19" s="5" t="s">
        <v>32</v>
      </c>
      <c r="D19" s="2" t="s">
        <v>1578</v>
      </c>
    </row>
    <row r="20" spans="1:4" x14ac:dyDescent="0.55000000000000004">
      <c r="A20" s="59" t="s">
        <v>34</v>
      </c>
      <c r="B20" s="59"/>
      <c r="C20" s="5"/>
      <c r="D20" s="2" t="s">
        <v>35</v>
      </c>
    </row>
    <row r="21" spans="1:4" x14ac:dyDescent="0.55000000000000004">
      <c r="A21" s="58"/>
      <c r="B21" s="58"/>
      <c r="C21" s="5" t="s">
        <v>36</v>
      </c>
      <c r="D21" s="2">
        <v>59</v>
      </c>
    </row>
    <row r="22" spans="1:4" x14ac:dyDescent="0.55000000000000004">
      <c r="A22" s="58"/>
      <c r="B22" s="58"/>
      <c r="C22" s="5" t="s">
        <v>37</v>
      </c>
      <c r="D22" s="2">
        <v>48</v>
      </c>
    </row>
    <row r="23" spans="1:4" x14ac:dyDescent="0.55000000000000004">
      <c r="A23" s="58"/>
      <c r="B23" s="58"/>
      <c r="C23" s="5" t="s">
        <v>38</v>
      </c>
      <c r="D23" s="2">
        <v>42</v>
      </c>
    </row>
    <row r="24" spans="1:4" x14ac:dyDescent="0.55000000000000004">
      <c r="A24" s="58"/>
      <c r="B24" s="58"/>
      <c r="C24" s="5" t="s">
        <v>39</v>
      </c>
      <c r="D24" s="2">
        <f>D21-D23</f>
        <v>17</v>
      </c>
    </row>
    <row r="25" spans="1:4" x14ac:dyDescent="0.55000000000000004">
      <c r="A25" s="58"/>
      <c r="B25" s="58"/>
      <c r="C25" s="5" t="s">
        <v>40</v>
      </c>
      <c r="D25" s="7">
        <f>30/48</f>
        <v>0.625</v>
      </c>
    </row>
    <row r="26" spans="1:4" x14ac:dyDescent="0.55000000000000004">
      <c r="A26" s="58"/>
      <c r="B26" s="58"/>
      <c r="C26" s="5" t="s">
        <v>41</v>
      </c>
      <c r="D26" s="7">
        <v>66.099999999999994</v>
      </c>
    </row>
    <row r="27" spans="1:4" x14ac:dyDescent="0.55000000000000004">
      <c r="A27" s="58"/>
      <c r="B27" s="58"/>
      <c r="C27" s="5" t="s">
        <v>42</v>
      </c>
      <c r="D27" s="2">
        <v>7</v>
      </c>
    </row>
    <row r="28" spans="1:4" x14ac:dyDescent="0.55000000000000004">
      <c r="A28" s="58"/>
      <c r="B28" s="58"/>
      <c r="C28" s="5" t="s">
        <v>43</v>
      </c>
      <c r="D28" s="2" t="s">
        <v>20</v>
      </c>
    </row>
    <row r="29" spans="1:4" x14ac:dyDescent="0.55000000000000004">
      <c r="A29" s="58"/>
      <c r="B29" s="58"/>
      <c r="C29" s="5" t="s">
        <v>44</v>
      </c>
      <c r="D29" s="7">
        <v>2.5</v>
      </c>
    </row>
    <row r="30" spans="1:4" x14ac:dyDescent="0.55000000000000004">
      <c r="A30" s="58"/>
      <c r="B30" s="58"/>
      <c r="C30" s="5" t="s">
        <v>45</v>
      </c>
      <c r="D30" s="7">
        <v>43</v>
      </c>
    </row>
    <row r="31" spans="1:4" x14ac:dyDescent="0.55000000000000004">
      <c r="A31" s="58"/>
      <c r="B31" s="58"/>
      <c r="C31" s="5" t="s">
        <v>46</v>
      </c>
      <c r="D31" s="7">
        <v>38</v>
      </c>
    </row>
    <row r="32" spans="1:4" x14ac:dyDescent="0.55000000000000004">
      <c r="A32" s="59" t="s">
        <v>47</v>
      </c>
      <c r="B32" s="59"/>
      <c r="C32" s="5"/>
    </row>
    <row r="33" spans="1:11" ht="39" x14ac:dyDescent="0.55000000000000004">
      <c r="A33" s="58"/>
      <c r="B33" s="58"/>
      <c r="C33" s="5" t="s">
        <v>48</v>
      </c>
      <c r="D33" s="2" t="s">
        <v>1579</v>
      </c>
    </row>
    <row r="34" spans="1:11" x14ac:dyDescent="0.55000000000000004">
      <c r="A34" s="59" t="s">
        <v>50</v>
      </c>
      <c r="B34" s="59"/>
      <c r="C34" s="5"/>
    </row>
    <row r="35" spans="1:11" x14ac:dyDescent="0.55000000000000004">
      <c r="A35" s="8"/>
      <c r="B35" s="8"/>
      <c r="C35" s="5"/>
    </row>
    <row r="36" spans="1:11" x14ac:dyDescent="0.55000000000000004">
      <c r="A36" s="59"/>
      <c r="B36" s="5" t="s">
        <v>59</v>
      </c>
      <c r="C36" s="5"/>
      <c r="D36" s="2" t="s">
        <v>51</v>
      </c>
      <c r="E36" s="1" t="s">
        <v>52</v>
      </c>
      <c r="F36" s="1" t="s">
        <v>53</v>
      </c>
      <c r="G36" s="1" t="s">
        <v>54</v>
      </c>
      <c r="H36" s="1" t="s">
        <v>55</v>
      </c>
      <c r="I36" s="1" t="s">
        <v>56</v>
      </c>
      <c r="J36" s="1" t="s">
        <v>57</v>
      </c>
      <c r="K36" s="1" t="s">
        <v>58</v>
      </c>
    </row>
    <row r="37" spans="1:11" x14ac:dyDescent="0.55000000000000004">
      <c r="A37" s="59"/>
      <c r="B37" s="5"/>
      <c r="C37" s="5" t="s">
        <v>1172</v>
      </c>
      <c r="D37" s="2">
        <v>1.17</v>
      </c>
      <c r="E37" s="1">
        <v>0.85</v>
      </c>
    </row>
    <row r="38" spans="1:11" x14ac:dyDescent="0.55000000000000004">
      <c r="A38" s="59"/>
      <c r="B38" s="5"/>
      <c r="C38" s="5" t="s">
        <v>1580</v>
      </c>
      <c r="D38" s="2">
        <v>0.67</v>
      </c>
      <c r="E38" s="1">
        <v>0.82</v>
      </c>
    </row>
    <row r="39" spans="1:11" x14ac:dyDescent="0.55000000000000004">
      <c r="A39" s="59"/>
      <c r="B39" s="5"/>
      <c r="C39" s="5"/>
    </row>
    <row r="40" spans="1:11" x14ac:dyDescent="0.55000000000000004">
      <c r="A40" s="59"/>
      <c r="B40" s="5"/>
      <c r="C40" s="5"/>
    </row>
    <row r="41" spans="1:11" x14ac:dyDescent="0.55000000000000004">
      <c r="A41" s="59"/>
    </row>
    <row r="42" spans="1:11" x14ac:dyDescent="0.55000000000000004">
      <c r="A42" s="59"/>
      <c r="B42" s="5"/>
    </row>
    <row r="43" spans="1:11" x14ac:dyDescent="0.55000000000000004">
      <c r="A43" s="59"/>
      <c r="C43" s="5"/>
      <c r="E43" s="43"/>
    </row>
    <row r="44" spans="1:11" x14ac:dyDescent="0.55000000000000004">
      <c r="A44" s="59"/>
      <c r="B44" s="5"/>
      <c r="C44" s="5"/>
    </row>
    <row r="45" spans="1:11" x14ac:dyDescent="0.55000000000000004">
      <c r="A45" s="59"/>
      <c r="B45" s="5" t="s">
        <v>61</v>
      </c>
      <c r="C45" s="5"/>
    </row>
    <row r="46" spans="1:11" x14ac:dyDescent="0.55000000000000004">
      <c r="A46" s="59"/>
      <c r="B46" s="5"/>
    </row>
    <row r="47" spans="1:11" x14ac:dyDescent="0.55000000000000004">
      <c r="A47" s="59"/>
      <c r="B47" s="5"/>
    </row>
    <row r="48" spans="1:11" x14ac:dyDescent="0.55000000000000004">
      <c r="A48" s="59"/>
      <c r="B48" s="5"/>
      <c r="C48" s="5"/>
    </row>
    <row r="49" spans="1:3" x14ac:dyDescent="0.55000000000000004">
      <c r="A49" s="59"/>
      <c r="B49" s="5"/>
      <c r="C49" s="5"/>
    </row>
    <row r="50" spans="1:3" x14ac:dyDescent="0.55000000000000004">
      <c r="A50" s="59"/>
      <c r="B50" s="5"/>
      <c r="C50" s="5"/>
    </row>
    <row r="51" spans="1:3" x14ac:dyDescent="0.55000000000000004">
      <c r="A51" s="59"/>
      <c r="B51" s="5"/>
      <c r="C51" s="5"/>
    </row>
    <row r="52" spans="1:3" x14ac:dyDescent="0.55000000000000004">
      <c r="A52" s="59"/>
      <c r="B52" s="5"/>
      <c r="C52" s="5"/>
    </row>
    <row r="53" spans="1:3" x14ac:dyDescent="0.55000000000000004">
      <c r="A53" s="59"/>
      <c r="B53" s="5"/>
      <c r="C53" s="5"/>
    </row>
    <row r="54" spans="1:3" x14ac:dyDescent="0.55000000000000004">
      <c r="A54" s="59"/>
      <c r="B54" s="5"/>
      <c r="C54" s="5"/>
    </row>
    <row r="55" spans="1:3" x14ac:dyDescent="0.55000000000000004">
      <c r="A55" s="59"/>
      <c r="B55" s="5"/>
      <c r="C55" s="5"/>
    </row>
    <row r="56" spans="1:3" x14ac:dyDescent="0.55000000000000004">
      <c r="A56" s="59"/>
      <c r="B56" s="5"/>
      <c r="C56" s="5"/>
    </row>
    <row r="57" spans="1:3" x14ac:dyDescent="0.55000000000000004">
      <c r="A57" s="59"/>
      <c r="B57" s="5"/>
      <c r="C57" s="5"/>
    </row>
    <row r="58" spans="1:3" x14ac:dyDescent="0.55000000000000004">
      <c r="A58" s="59"/>
      <c r="B58" s="5"/>
      <c r="C58" s="5"/>
    </row>
    <row r="59" spans="1:3" x14ac:dyDescent="0.55000000000000004">
      <c r="A59" s="59"/>
      <c r="B59" s="5"/>
      <c r="C59" s="5"/>
    </row>
    <row r="60" spans="1:3" x14ac:dyDescent="0.55000000000000004">
      <c r="A60" s="59"/>
      <c r="B60" s="5"/>
      <c r="C60" s="5"/>
    </row>
    <row r="61" spans="1:3" x14ac:dyDescent="0.55000000000000004">
      <c r="A61" s="59"/>
      <c r="B61" s="5"/>
      <c r="C61" s="5"/>
    </row>
    <row r="62" spans="1:3" x14ac:dyDescent="0.55000000000000004">
      <c r="A62" s="59"/>
      <c r="B62" s="5"/>
      <c r="C62" s="5"/>
    </row>
    <row r="63" spans="1:3" x14ac:dyDescent="0.55000000000000004">
      <c r="A63" s="59"/>
      <c r="B63" s="5"/>
      <c r="C63" s="5"/>
    </row>
    <row r="64" spans="1:3" x14ac:dyDescent="0.55000000000000004">
      <c r="A64" s="59"/>
      <c r="B64" s="5"/>
      <c r="C64" s="5"/>
    </row>
    <row r="65" spans="1:11" x14ac:dyDescent="0.55000000000000004">
      <c r="A65" s="59"/>
      <c r="B65" s="5" t="s">
        <v>62</v>
      </c>
      <c r="C65" s="5"/>
      <c r="D65" s="2">
        <f>12*7</f>
        <v>84</v>
      </c>
    </row>
    <row r="66" spans="1:11" x14ac:dyDescent="0.55000000000000004">
      <c r="A66" s="59"/>
      <c r="B66" s="5" t="s">
        <v>63</v>
      </c>
      <c r="C66" s="5"/>
      <c r="D66" s="1" t="s">
        <v>64</v>
      </c>
    </row>
    <row r="67" spans="1:11" x14ac:dyDescent="0.55000000000000004">
      <c r="A67" s="59" t="s">
        <v>65</v>
      </c>
      <c r="B67" s="59"/>
      <c r="C67" s="5"/>
      <c r="D67" s="2" t="s">
        <v>1581</v>
      </c>
    </row>
    <row r="68" spans="1:11" x14ac:dyDescent="0.55000000000000004">
      <c r="A68" s="3" t="s">
        <v>67</v>
      </c>
    </row>
    <row r="69" spans="1:11" x14ac:dyDescent="0.55000000000000004">
      <c r="A69" s="1" t="s">
        <v>68</v>
      </c>
      <c r="C69" s="1">
        <v>12</v>
      </c>
      <c r="D69" s="2">
        <v>28</v>
      </c>
    </row>
    <row r="70" spans="1:11" x14ac:dyDescent="0.55000000000000004">
      <c r="B70" s="1" t="s">
        <v>952</v>
      </c>
    </row>
    <row r="73" spans="1:11" x14ac:dyDescent="0.55000000000000004">
      <c r="C73" s="5" t="s">
        <v>729</v>
      </c>
      <c r="D73" s="2">
        <v>0.98</v>
      </c>
      <c r="E73" s="1">
        <v>1.41</v>
      </c>
    </row>
    <row r="74" spans="1:11" x14ac:dyDescent="0.55000000000000004">
      <c r="C74" s="5" t="s">
        <v>730</v>
      </c>
      <c r="D74" s="2">
        <v>0.43</v>
      </c>
      <c r="E74" s="1">
        <v>0.83</v>
      </c>
    </row>
    <row r="75" spans="1:11" x14ac:dyDescent="0.55000000000000004">
      <c r="C75" s="5" t="s">
        <v>1582</v>
      </c>
      <c r="D75" s="7">
        <f>D37+D73</f>
        <v>2.15</v>
      </c>
      <c r="K75" s="10">
        <f>SQRT((((D23-1)*E37^2)+((D23-1)*E73^2))/(D23+D23-2))</f>
        <v>1.1641735265844175</v>
      </c>
    </row>
    <row r="76" spans="1:11" x14ac:dyDescent="0.55000000000000004">
      <c r="C76" s="5" t="s">
        <v>1583</v>
      </c>
      <c r="D76" s="7">
        <f>D38+D74</f>
        <v>1.1000000000000001</v>
      </c>
      <c r="K76" s="10">
        <f>SQRT((((D23-1)*E38^2)+((D23-1)*E74^2))/(D23+D23-2))</f>
        <v>0.82501515137602166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dimension ref="A1:AMJ69"/>
  <sheetViews>
    <sheetView zoomScale="90" zoomScaleNormal="90" workbookViewId="0">
      <selection activeCell="C33" sqref="C33"/>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5.15625" style="1" customWidth="1"/>
    <col min="6" max="1024" width="11.41796875" style="1"/>
  </cols>
  <sheetData>
    <row r="1" spans="1:5" x14ac:dyDescent="0.55000000000000004">
      <c r="A1" s="3" t="s">
        <v>0</v>
      </c>
      <c r="D1" s="2" t="s">
        <v>69</v>
      </c>
    </row>
    <row r="2" spans="1:5" x14ac:dyDescent="0.55000000000000004">
      <c r="A2" s="58" t="s">
        <v>2</v>
      </c>
      <c r="B2" s="58"/>
      <c r="D2" s="2" t="s">
        <v>1584</v>
      </c>
    </row>
    <row r="3" spans="1:5" x14ac:dyDescent="0.55000000000000004">
      <c r="A3" s="58"/>
      <c r="B3" s="58"/>
      <c r="C3" s="5" t="s">
        <v>4</v>
      </c>
      <c r="D3" s="2" t="s">
        <v>1585</v>
      </c>
    </row>
    <row r="4" spans="1:5" x14ac:dyDescent="0.55000000000000004">
      <c r="A4" s="58"/>
      <c r="B4" s="58"/>
      <c r="C4" s="5" t="s">
        <v>6</v>
      </c>
      <c r="D4" s="2">
        <v>1990</v>
      </c>
    </row>
    <row r="5" spans="1:5" x14ac:dyDescent="0.55000000000000004">
      <c r="A5" s="58"/>
      <c r="B5" s="58"/>
      <c r="C5" s="5" t="s">
        <v>7</v>
      </c>
      <c r="D5" s="2" t="s">
        <v>1586</v>
      </c>
    </row>
    <row r="6" spans="1:5" x14ac:dyDescent="0.55000000000000004">
      <c r="A6" s="58"/>
      <c r="B6" s="58"/>
      <c r="C6" s="5" t="s">
        <v>9</v>
      </c>
      <c r="D6" s="2" t="s">
        <v>1587</v>
      </c>
    </row>
    <row r="7" spans="1:5" x14ac:dyDescent="0.55000000000000004">
      <c r="A7" s="58"/>
      <c r="B7" s="58"/>
      <c r="C7" s="5" t="s">
        <v>11</v>
      </c>
      <c r="D7" s="2" t="s">
        <v>12</v>
      </c>
    </row>
    <row r="8" spans="1:5" x14ac:dyDescent="0.55000000000000004">
      <c r="A8" s="59" t="s">
        <v>13</v>
      </c>
      <c r="B8" s="59"/>
      <c r="C8" s="5"/>
    </row>
    <row r="9" spans="1:5" x14ac:dyDescent="0.55000000000000004">
      <c r="A9" s="58"/>
      <c r="B9" s="58"/>
      <c r="C9" s="5" t="s">
        <v>14</v>
      </c>
      <c r="D9" s="2" t="s">
        <v>1588</v>
      </c>
    </row>
    <row r="10" spans="1:5" x14ac:dyDescent="0.55000000000000004">
      <c r="A10" s="58"/>
      <c r="B10" s="58"/>
      <c r="C10" s="5" t="s">
        <v>16</v>
      </c>
      <c r="D10" s="2" t="s">
        <v>165</v>
      </c>
      <c r="E10" s="1" t="s">
        <v>1589</v>
      </c>
    </row>
    <row r="11" spans="1:5" x14ac:dyDescent="0.55000000000000004">
      <c r="A11" s="58"/>
      <c r="B11" s="58"/>
      <c r="C11" s="5" t="s">
        <v>19</v>
      </c>
      <c r="D11" s="2" t="s">
        <v>20</v>
      </c>
    </row>
    <row r="12" spans="1:5" x14ac:dyDescent="0.55000000000000004">
      <c r="A12" s="58"/>
      <c r="B12" s="58"/>
      <c r="C12" s="5" t="s">
        <v>21</v>
      </c>
      <c r="D12" s="2" t="s">
        <v>20</v>
      </c>
    </row>
    <row r="13" spans="1:5" x14ac:dyDescent="0.55000000000000004">
      <c r="A13" s="58"/>
      <c r="B13" s="58"/>
      <c r="C13" s="5" t="s">
        <v>22</v>
      </c>
      <c r="D13" s="2" t="s">
        <v>1590</v>
      </c>
    </row>
    <row r="14" spans="1:5" x14ac:dyDescent="0.55000000000000004">
      <c r="A14" s="59" t="s">
        <v>24</v>
      </c>
      <c r="B14" s="59"/>
      <c r="C14" s="5"/>
    </row>
    <row r="15" spans="1:5" x14ac:dyDescent="0.55000000000000004">
      <c r="A15" s="58"/>
      <c r="B15" s="58"/>
      <c r="C15" s="5" t="s">
        <v>25</v>
      </c>
      <c r="D15" s="2" t="s">
        <v>122</v>
      </c>
    </row>
    <row r="16" spans="1:5" x14ac:dyDescent="0.55000000000000004">
      <c r="A16" s="58"/>
      <c r="B16" s="58"/>
      <c r="C16" s="5" t="s">
        <v>27</v>
      </c>
      <c r="D16" s="2" t="s">
        <v>1591</v>
      </c>
    </row>
    <row r="17" spans="1:4" x14ac:dyDescent="0.55000000000000004">
      <c r="A17" s="59" t="s">
        <v>29</v>
      </c>
      <c r="B17" s="59"/>
      <c r="C17" s="5"/>
    </row>
    <row r="18" spans="1:4" x14ac:dyDescent="0.55000000000000004">
      <c r="A18" s="58"/>
      <c r="B18" s="58"/>
      <c r="C18" s="5" t="s">
        <v>30</v>
      </c>
      <c r="D18" s="2" t="s">
        <v>721</v>
      </c>
    </row>
    <row r="19" spans="1:4" x14ac:dyDescent="0.55000000000000004">
      <c r="A19" s="58"/>
      <c r="B19" s="58"/>
      <c r="C19" s="5" t="s">
        <v>32</v>
      </c>
      <c r="D19" s="2" t="s">
        <v>20</v>
      </c>
    </row>
    <row r="20" spans="1:4" x14ac:dyDescent="0.55000000000000004">
      <c r="A20" s="59" t="s">
        <v>34</v>
      </c>
      <c r="B20" s="59"/>
      <c r="C20" s="5"/>
    </row>
    <row r="21" spans="1:4" x14ac:dyDescent="0.55000000000000004">
      <c r="A21" s="58"/>
      <c r="B21" s="58"/>
      <c r="C21" s="5" t="s">
        <v>36</v>
      </c>
    </row>
    <row r="22" spans="1:4" x14ac:dyDescent="0.55000000000000004">
      <c r="A22" s="58"/>
      <c r="B22" s="58"/>
      <c r="C22" s="5" t="s">
        <v>37</v>
      </c>
      <c r="D22" s="2">
        <v>10</v>
      </c>
    </row>
    <row r="23" spans="1:4" x14ac:dyDescent="0.55000000000000004">
      <c r="A23" s="58"/>
      <c r="B23" s="58"/>
      <c r="C23" s="5" t="s">
        <v>38</v>
      </c>
      <c r="D23" s="2">
        <v>10</v>
      </c>
    </row>
    <row r="24" spans="1:4" x14ac:dyDescent="0.55000000000000004">
      <c r="A24" s="58"/>
      <c r="B24" s="58"/>
      <c r="C24" s="5" t="s">
        <v>39</v>
      </c>
    </row>
    <row r="25" spans="1:4" x14ac:dyDescent="0.55000000000000004">
      <c r="A25" s="58"/>
      <c r="B25" s="58"/>
      <c r="C25" s="5" t="s">
        <v>40</v>
      </c>
      <c r="D25" s="2">
        <v>50</v>
      </c>
    </row>
    <row r="26" spans="1:4" x14ac:dyDescent="0.55000000000000004">
      <c r="A26" s="58"/>
      <c r="B26" s="58"/>
      <c r="C26" s="5" t="s">
        <v>41</v>
      </c>
      <c r="D26" s="7">
        <f>AVERAGE(69, 64, 67, 63, 56, 71,55,64,66,63)</f>
        <v>63.8</v>
      </c>
    </row>
    <row r="27" spans="1:4" x14ac:dyDescent="0.55000000000000004">
      <c r="A27" s="58"/>
      <c r="B27" s="58"/>
      <c r="C27" s="5" t="s">
        <v>42</v>
      </c>
      <c r="D27" s="7">
        <f>_xlfn.STDEV.P(69, 64, 67, 63, 56, 71,55,64,66,63)</f>
        <v>4.8332183894378282</v>
      </c>
    </row>
    <row r="28" spans="1:4" x14ac:dyDescent="0.55000000000000004">
      <c r="A28" s="58"/>
      <c r="B28" s="58"/>
      <c r="C28" s="5" t="s">
        <v>43</v>
      </c>
      <c r="D28" s="2">
        <f>MEDIAN(69, 64, 67, 63, 56, 71,55,64,66,63)</f>
        <v>64</v>
      </c>
    </row>
    <row r="29" spans="1:4" x14ac:dyDescent="0.55000000000000004">
      <c r="A29" s="58"/>
      <c r="B29" s="58"/>
      <c r="C29" s="5" t="s">
        <v>44</v>
      </c>
      <c r="D29" s="2">
        <v>2</v>
      </c>
    </row>
    <row r="30" spans="1:4" x14ac:dyDescent="0.55000000000000004">
      <c r="A30" s="58"/>
      <c r="B30" s="58"/>
      <c r="C30" s="5" t="s">
        <v>45</v>
      </c>
    </row>
    <row r="31" spans="1:4" x14ac:dyDescent="0.55000000000000004">
      <c r="A31" s="58"/>
      <c r="B31" s="58"/>
      <c r="C31" s="5" t="s">
        <v>46</v>
      </c>
    </row>
    <row r="32" spans="1:4" x14ac:dyDescent="0.55000000000000004">
      <c r="A32" s="59" t="s">
        <v>47</v>
      </c>
      <c r="B32" s="59"/>
      <c r="C32" s="5"/>
    </row>
    <row r="33" spans="1:10" ht="64.8" x14ac:dyDescent="0.55000000000000004">
      <c r="A33" s="58"/>
      <c r="B33" s="58"/>
      <c r="C33" s="5" t="s">
        <v>48</v>
      </c>
      <c r="D33" s="2" t="s">
        <v>1592</v>
      </c>
    </row>
    <row r="34" spans="1:10" x14ac:dyDescent="0.55000000000000004">
      <c r="A34" s="59" t="s">
        <v>50</v>
      </c>
      <c r="B34" s="59"/>
      <c r="C34" s="5"/>
    </row>
    <row r="35" spans="1:10" x14ac:dyDescent="0.55000000000000004">
      <c r="A35" s="8"/>
      <c r="B35" s="8"/>
      <c r="C35" s="5"/>
    </row>
    <row r="36" spans="1:10" x14ac:dyDescent="0.55000000000000004">
      <c r="A36" s="59"/>
      <c r="B36" s="5" t="s">
        <v>59</v>
      </c>
      <c r="C36" s="5"/>
      <c r="D36" s="2" t="s">
        <v>51</v>
      </c>
      <c r="E36" s="1" t="s">
        <v>52</v>
      </c>
      <c r="F36" s="1" t="s">
        <v>53</v>
      </c>
      <c r="G36" s="1" t="s">
        <v>54</v>
      </c>
      <c r="H36" s="1" t="s">
        <v>55</v>
      </c>
      <c r="I36" s="1" t="s">
        <v>56</v>
      </c>
      <c r="J36" s="1" t="s">
        <v>57</v>
      </c>
    </row>
    <row r="37" spans="1:10" x14ac:dyDescent="0.55000000000000004">
      <c r="A37" s="59"/>
      <c r="B37" s="5"/>
    </row>
    <row r="38" spans="1:10" x14ac:dyDescent="0.55000000000000004">
      <c r="A38" s="59"/>
      <c r="B38" s="5"/>
    </row>
    <row r="39" spans="1:10" x14ac:dyDescent="0.55000000000000004">
      <c r="A39" s="59"/>
      <c r="B39" s="5"/>
    </row>
    <row r="40" spans="1:10" x14ac:dyDescent="0.55000000000000004">
      <c r="A40" s="59"/>
      <c r="B40" s="5"/>
    </row>
    <row r="41" spans="1:10" x14ac:dyDescent="0.55000000000000004">
      <c r="A41" s="59"/>
      <c r="B41" s="5"/>
      <c r="C41" s="5"/>
    </row>
    <row r="42" spans="1:10" x14ac:dyDescent="0.55000000000000004">
      <c r="A42" s="59"/>
      <c r="B42" s="5"/>
      <c r="C42" s="5"/>
    </row>
    <row r="43" spans="1:10" x14ac:dyDescent="0.55000000000000004">
      <c r="A43" s="59"/>
      <c r="B43" s="5"/>
      <c r="C43" s="5"/>
    </row>
    <row r="44" spans="1:10" x14ac:dyDescent="0.55000000000000004">
      <c r="A44" s="59"/>
      <c r="B44" s="5"/>
      <c r="C44" s="5"/>
    </row>
    <row r="45" spans="1:10" x14ac:dyDescent="0.55000000000000004">
      <c r="A45" s="59"/>
      <c r="B45" s="5" t="s">
        <v>61</v>
      </c>
      <c r="C45" s="5"/>
    </row>
    <row r="46" spans="1:10" x14ac:dyDescent="0.55000000000000004">
      <c r="A46" s="59"/>
      <c r="B46" s="5"/>
      <c r="C46" s="5" t="s">
        <v>1593</v>
      </c>
      <c r="D46" s="7">
        <v>18.3</v>
      </c>
      <c r="E46" s="10">
        <v>36.700000000000003</v>
      </c>
    </row>
    <row r="47" spans="1:10" x14ac:dyDescent="0.55000000000000004">
      <c r="A47" s="59"/>
      <c r="B47" s="5"/>
      <c r="C47" s="5" t="s">
        <v>1594</v>
      </c>
      <c r="D47" s="7">
        <v>47.9</v>
      </c>
      <c r="E47" s="10">
        <v>25.8</v>
      </c>
    </row>
    <row r="48" spans="1:10" x14ac:dyDescent="0.55000000000000004">
      <c r="A48" s="59"/>
      <c r="B48" s="5"/>
      <c r="C48" s="5" t="s">
        <v>1595</v>
      </c>
      <c r="D48" s="7">
        <v>12.3</v>
      </c>
      <c r="E48" s="10">
        <v>30.3</v>
      </c>
    </row>
    <row r="49" spans="1:5" x14ac:dyDescent="0.55000000000000004">
      <c r="A49" s="59"/>
      <c r="B49" s="5"/>
      <c r="C49" s="5" t="s">
        <v>1596</v>
      </c>
      <c r="D49" s="7">
        <v>42.5</v>
      </c>
      <c r="E49" s="10">
        <v>24.8</v>
      </c>
    </row>
    <row r="50" spans="1:5" x14ac:dyDescent="0.55000000000000004">
      <c r="A50" s="59"/>
      <c r="B50" s="5"/>
      <c r="C50" s="5"/>
    </row>
    <row r="51" spans="1:5" x14ac:dyDescent="0.55000000000000004">
      <c r="A51" s="59"/>
      <c r="B51" s="5"/>
      <c r="C51" s="5"/>
    </row>
    <row r="52" spans="1:5" x14ac:dyDescent="0.55000000000000004">
      <c r="A52" s="59"/>
      <c r="B52" s="5"/>
      <c r="C52" s="5"/>
    </row>
    <row r="53" spans="1:5" x14ac:dyDescent="0.55000000000000004">
      <c r="A53" s="59"/>
      <c r="B53" s="5"/>
      <c r="C53" s="5"/>
    </row>
    <row r="54" spans="1:5" x14ac:dyDescent="0.55000000000000004">
      <c r="A54" s="59"/>
      <c r="B54" s="5"/>
      <c r="C54" s="5"/>
    </row>
    <row r="55" spans="1:5" x14ac:dyDescent="0.55000000000000004">
      <c r="A55" s="59"/>
      <c r="B55" s="5"/>
      <c r="C55" s="5"/>
    </row>
    <row r="56" spans="1:5" x14ac:dyDescent="0.55000000000000004">
      <c r="A56" s="59"/>
      <c r="B56" s="5"/>
      <c r="C56" s="5"/>
    </row>
    <row r="57" spans="1:5" x14ac:dyDescent="0.55000000000000004">
      <c r="A57" s="59"/>
      <c r="B57" s="5"/>
      <c r="C57" s="5"/>
    </row>
    <row r="58" spans="1:5" x14ac:dyDescent="0.55000000000000004">
      <c r="A58" s="59"/>
      <c r="B58" s="5"/>
      <c r="C58" s="5"/>
    </row>
    <row r="59" spans="1:5" x14ac:dyDescent="0.55000000000000004">
      <c r="A59" s="59"/>
      <c r="B59" s="5"/>
      <c r="C59" s="5"/>
    </row>
    <row r="60" spans="1:5" x14ac:dyDescent="0.55000000000000004">
      <c r="A60" s="59"/>
      <c r="B60" s="5"/>
      <c r="C60" s="5"/>
    </row>
    <row r="61" spans="1:5" x14ac:dyDescent="0.55000000000000004">
      <c r="A61" s="59"/>
      <c r="B61" s="5"/>
      <c r="C61" s="5"/>
    </row>
    <row r="62" spans="1:5" x14ac:dyDescent="0.55000000000000004">
      <c r="A62" s="59"/>
      <c r="B62" s="5"/>
      <c r="C62" s="5"/>
    </row>
    <row r="63" spans="1:5" x14ac:dyDescent="0.55000000000000004">
      <c r="A63" s="59"/>
      <c r="B63" s="5"/>
      <c r="C63" s="5"/>
    </row>
    <row r="64" spans="1:5" x14ac:dyDescent="0.55000000000000004">
      <c r="A64" s="59"/>
      <c r="B64" s="5"/>
      <c r="C64" s="5"/>
    </row>
    <row r="65" spans="1:4" x14ac:dyDescent="0.55000000000000004">
      <c r="A65" s="59"/>
      <c r="B65" s="5" t="s">
        <v>62</v>
      </c>
      <c r="C65" s="5"/>
    </row>
    <row r="66" spans="1:4" x14ac:dyDescent="0.55000000000000004">
      <c r="A66" s="59"/>
      <c r="B66" s="5" t="s">
        <v>63</v>
      </c>
      <c r="C66" s="5"/>
      <c r="D66" s="2" t="s">
        <v>1597</v>
      </c>
    </row>
    <row r="67" spans="1:4" x14ac:dyDescent="0.55000000000000004">
      <c r="A67" s="59" t="s">
        <v>65</v>
      </c>
      <c r="B67" s="59"/>
      <c r="C67" s="5"/>
    </row>
    <row r="68" spans="1:4" x14ac:dyDescent="0.55000000000000004">
      <c r="A68" s="3" t="s">
        <v>67</v>
      </c>
    </row>
    <row r="69" spans="1:4" x14ac:dyDescent="0.55000000000000004">
      <c r="A69" s="1" t="s">
        <v>68</v>
      </c>
      <c r="C69" s="1">
        <v>18</v>
      </c>
      <c r="D69" s="2">
        <v>26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dimension ref="A1:AMJ73"/>
  <sheetViews>
    <sheetView topLeftCell="A31" zoomScale="90" zoomScaleNormal="90" workbookViewId="0">
      <selection activeCell="D53" sqref="D53"/>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0.15625" style="1" customWidth="1"/>
    <col min="6" max="6" width="19.15625" style="1" customWidth="1"/>
    <col min="7" max="1024" width="11.41796875" style="1"/>
  </cols>
  <sheetData>
    <row r="1" spans="1:5" x14ac:dyDescent="0.55000000000000004">
      <c r="A1" s="3" t="s">
        <v>0</v>
      </c>
      <c r="D1" s="2" t="s">
        <v>1345</v>
      </c>
    </row>
    <row r="2" spans="1:5" x14ac:dyDescent="0.55000000000000004">
      <c r="A2" s="58" t="s">
        <v>2</v>
      </c>
      <c r="B2" s="58"/>
      <c r="D2" s="2" t="s">
        <v>1598</v>
      </c>
    </row>
    <row r="3" spans="1:5" ht="26.1" x14ac:dyDescent="0.55000000000000004">
      <c r="A3" s="58"/>
      <c r="B3" s="58"/>
      <c r="C3" s="5" t="s">
        <v>4</v>
      </c>
      <c r="D3" s="2" t="s">
        <v>1599</v>
      </c>
    </row>
    <row r="4" spans="1:5" x14ac:dyDescent="0.55000000000000004">
      <c r="A4" s="58"/>
      <c r="B4" s="58"/>
      <c r="C4" s="5" t="s">
        <v>6</v>
      </c>
      <c r="D4" s="2">
        <v>1994</v>
      </c>
    </row>
    <row r="5" spans="1:5" x14ac:dyDescent="0.55000000000000004">
      <c r="A5" s="58"/>
      <c r="B5" s="58"/>
      <c r="C5" s="5" t="s">
        <v>7</v>
      </c>
      <c r="D5" s="2" t="s">
        <v>1600</v>
      </c>
    </row>
    <row r="6" spans="1:5" x14ac:dyDescent="0.55000000000000004">
      <c r="A6" s="58"/>
      <c r="B6" s="58"/>
      <c r="C6" s="5" t="s">
        <v>9</v>
      </c>
      <c r="D6" s="2" t="s">
        <v>10</v>
      </c>
    </row>
    <row r="7" spans="1:5" x14ac:dyDescent="0.55000000000000004">
      <c r="A7" s="58"/>
      <c r="B7" s="58"/>
      <c r="C7" s="5" t="s">
        <v>11</v>
      </c>
      <c r="D7" s="2" t="s">
        <v>12</v>
      </c>
    </row>
    <row r="8" spans="1:5" x14ac:dyDescent="0.55000000000000004">
      <c r="A8" s="59" t="s">
        <v>13</v>
      </c>
      <c r="B8" s="59"/>
      <c r="C8" s="5"/>
    </row>
    <row r="9" spans="1:5" ht="26.1" x14ac:dyDescent="0.55000000000000004">
      <c r="A9" s="58"/>
      <c r="B9" s="58"/>
      <c r="C9" s="5" t="s">
        <v>14</v>
      </c>
      <c r="D9" s="2" t="s">
        <v>1601</v>
      </c>
    </row>
    <row r="10" spans="1:5" x14ac:dyDescent="0.55000000000000004">
      <c r="A10" s="58"/>
      <c r="B10" s="58"/>
      <c r="C10" s="5" t="s">
        <v>16</v>
      </c>
      <c r="D10" s="2" t="s">
        <v>17</v>
      </c>
      <c r="E10" s="1" t="s">
        <v>18</v>
      </c>
    </row>
    <row r="11" spans="1:5" x14ac:dyDescent="0.55000000000000004">
      <c r="A11" s="58"/>
      <c r="B11" s="58"/>
      <c r="C11" s="5" t="s">
        <v>19</v>
      </c>
      <c r="D11" s="2" t="s">
        <v>20</v>
      </c>
    </row>
    <row r="12" spans="1:5" x14ac:dyDescent="0.55000000000000004">
      <c r="A12" s="58"/>
      <c r="B12" s="58"/>
      <c r="C12" s="5" t="s">
        <v>21</v>
      </c>
      <c r="D12" s="2" t="s">
        <v>20</v>
      </c>
    </row>
    <row r="13" spans="1:5" x14ac:dyDescent="0.55000000000000004">
      <c r="A13" s="58"/>
      <c r="B13" s="58"/>
      <c r="C13" s="5" t="s">
        <v>22</v>
      </c>
      <c r="D13" s="2" t="s">
        <v>1602</v>
      </c>
    </row>
    <row r="14" spans="1:5" x14ac:dyDescent="0.55000000000000004">
      <c r="A14" s="59" t="s">
        <v>24</v>
      </c>
      <c r="B14" s="59"/>
      <c r="C14" s="5"/>
    </row>
    <row r="15" spans="1:5" x14ac:dyDescent="0.55000000000000004">
      <c r="A15" s="58"/>
      <c r="B15" s="58"/>
      <c r="C15" s="5" t="s">
        <v>25</v>
      </c>
      <c r="D15" s="2" t="s">
        <v>181</v>
      </c>
    </row>
    <row r="16" spans="1:5" x14ac:dyDescent="0.55000000000000004">
      <c r="A16" s="58"/>
      <c r="B16" s="58"/>
      <c r="C16" s="5" t="s">
        <v>27</v>
      </c>
      <c r="D16" s="2" t="s">
        <v>1603</v>
      </c>
    </row>
    <row r="17" spans="1:4" x14ac:dyDescent="0.55000000000000004">
      <c r="A17" s="59" t="s">
        <v>29</v>
      </c>
      <c r="B17" s="59"/>
      <c r="C17" s="5"/>
    </row>
    <row r="18" spans="1:4" ht="26.1" x14ac:dyDescent="0.55000000000000004">
      <c r="A18" s="58"/>
      <c r="B18" s="58"/>
      <c r="C18" s="5" t="s">
        <v>30</v>
      </c>
      <c r="D18" s="2" t="s">
        <v>1604</v>
      </c>
    </row>
    <row r="19" spans="1:4" ht="26.1" x14ac:dyDescent="0.55000000000000004">
      <c r="A19" s="58"/>
      <c r="B19" s="58"/>
      <c r="C19" s="5" t="s">
        <v>32</v>
      </c>
      <c r="D19" s="2" t="s">
        <v>1605</v>
      </c>
    </row>
    <row r="20" spans="1:4" x14ac:dyDescent="0.55000000000000004">
      <c r="A20" s="59" t="s">
        <v>34</v>
      </c>
      <c r="B20" s="59"/>
      <c r="C20" s="5"/>
      <c r="D20" s="2" t="s">
        <v>35</v>
      </c>
    </row>
    <row r="21" spans="1:4" x14ac:dyDescent="0.55000000000000004">
      <c r="A21" s="58"/>
      <c r="B21" s="58"/>
      <c r="C21" s="5" t="s">
        <v>36</v>
      </c>
      <c r="D21" s="2" t="s">
        <v>20</v>
      </c>
    </row>
    <row r="22" spans="1:4" x14ac:dyDescent="0.55000000000000004">
      <c r="A22" s="58"/>
      <c r="B22" s="58"/>
      <c r="C22" s="5" t="s">
        <v>37</v>
      </c>
      <c r="D22" s="2">
        <v>12</v>
      </c>
    </row>
    <row r="23" spans="1:4" x14ac:dyDescent="0.55000000000000004">
      <c r="A23" s="58"/>
      <c r="B23" s="58"/>
      <c r="C23" s="5" t="s">
        <v>38</v>
      </c>
      <c r="D23" s="2">
        <v>12</v>
      </c>
    </row>
    <row r="24" spans="1:4" x14ac:dyDescent="0.55000000000000004">
      <c r="A24" s="58"/>
      <c r="B24" s="58"/>
      <c r="C24" s="5" t="s">
        <v>39</v>
      </c>
      <c r="D24" s="2">
        <v>0</v>
      </c>
    </row>
    <row r="25" spans="1:4" x14ac:dyDescent="0.55000000000000004">
      <c r="A25" s="58"/>
      <c r="B25" s="58"/>
      <c r="C25" s="5" t="s">
        <v>40</v>
      </c>
      <c r="D25" s="2" t="s">
        <v>20</v>
      </c>
    </row>
    <row r="26" spans="1:4" x14ac:dyDescent="0.55000000000000004">
      <c r="A26" s="58"/>
      <c r="B26" s="58"/>
      <c r="C26" s="5" t="s">
        <v>41</v>
      </c>
      <c r="D26" s="7">
        <v>66.3</v>
      </c>
    </row>
    <row r="27" spans="1:4" x14ac:dyDescent="0.55000000000000004">
      <c r="A27" s="58"/>
      <c r="B27" s="58"/>
      <c r="C27" s="5" t="s">
        <v>42</v>
      </c>
      <c r="D27" s="7">
        <f>STDEV(69,55,62,65,59,70,73,72,64,65,71,70)</f>
        <v>5.5779598746886272</v>
      </c>
    </row>
    <row r="28" spans="1:4" x14ac:dyDescent="0.55000000000000004">
      <c r="A28" s="58"/>
      <c r="B28" s="58"/>
      <c r="C28" s="5" t="s">
        <v>43</v>
      </c>
      <c r="D28" s="7">
        <v>67.5</v>
      </c>
    </row>
    <row r="29" spans="1:4" x14ac:dyDescent="0.55000000000000004">
      <c r="A29" s="58"/>
      <c r="B29" s="58"/>
      <c r="C29" s="5" t="s">
        <v>44</v>
      </c>
      <c r="D29" s="2" t="s">
        <v>20</v>
      </c>
    </row>
    <row r="30" spans="1:4" x14ac:dyDescent="0.55000000000000004">
      <c r="A30" s="58"/>
      <c r="B30" s="58"/>
      <c r="C30" s="5" t="s">
        <v>45</v>
      </c>
      <c r="D30" s="2" t="s">
        <v>20</v>
      </c>
    </row>
    <row r="31" spans="1:4" x14ac:dyDescent="0.55000000000000004">
      <c r="A31" s="58"/>
      <c r="B31" s="58"/>
      <c r="C31" s="5" t="s">
        <v>46</v>
      </c>
      <c r="D31" s="2" t="s">
        <v>20</v>
      </c>
    </row>
    <row r="32" spans="1:4" x14ac:dyDescent="0.55000000000000004">
      <c r="A32" s="59" t="s">
        <v>47</v>
      </c>
      <c r="B32" s="59"/>
      <c r="C32" s="5"/>
    </row>
    <row r="33" spans="1:10" ht="51.9" x14ac:dyDescent="0.55000000000000004">
      <c r="A33" s="58"/>
      <c r="B33" s="58"/>
      <c r="C33" s="5" t="s">
        <v>48</v>
      </c>
      <c r="D33" s="2" t="s">
        <v>1606</v>
      </c>
    </row>
    <row r="34" spans="1:10" x14ac:dyDescent="0.55000000000000004">
      <c r="A34" s="59" t="s">
        <v>50</v>
      </c>
      <c r="B34" s="59"/>
      <c r="C34" s="5"/>
    </row>
    <row r="35" spans="1:10" x14ac:dyDescent="0.55000000000000004">
      <c r="A35" s="8"/>
      <c r="B35" s="8"/>
      <c r="C35" s="5"/>
    </row>
    <row r="36" spans="1:10" x14ac:dyDescent="0.55000000000000004">
      <c r="A36" s="59"/>
      <c r="B36" s="5" t="s">
        <v>59</v>
      </c>
      <c r="C36" s="5"/>
      <c r="D36" s="2" t="s">
        <v>51</v>
      </c>
      <c r="E36" s="1" t="s">
        <v>52</v>
      </c>
      <c r="F36" s="1" t="s">
        <v>53</v>
      </c>
      <c r="G36" s="1" t="s">
        <v>54</v>
      </c>
      <c r="H36" s="1" t="s">
        <v>55</v>
      </c>
      <c r="I36" s="1" t="s">
        <v>56</v>
      </c>
      <c r="J36" s="1" t="s">
        <v>57</v>
      </c>
    </row>
    <row r="37" spans="1:10" x14ac:dyDescent="0.55000000000000004">
      <c r="A37" s="59"/>
      <c r="B37" s="5"/>
    </row>
    <row r="38" spans="1:10" x14ac:dyDescent="0.55000000000000004">
      <c r="A38" s="59"/>
      <c r="B38" s="5"/>
    </row>
    <row r="39" spans="1:10" x14ac:dyDescent="0.55000000000000004">
      <c r="A39" s="59"/>
      <c r="B39" s="5"/>
      <c r="C39" s="5"/>
    </row>
    <row r="40" spans="1:10" x14ac:dyDescent="0.55000000000000004">
      <c r="A40" s="59"/>
      <c r="B40" s="5"/>
      <c r="C40" s="5"/>
    </row>
    <row r="41" spans="1:10" x14ac:dyDescent="0.55000000000000004">
      <c r="A41" s="59"/>
      <c r="B41" s="5"/>
      <c r="C41" s="5"/>
      <c r="D41" s="7"/>
    </row>
    <row r="42" spans="1:10" x14ac:dyDescent="0.55000000000000004">
      <c r="A42" s="59"/>
      <c r="B42" s="5"/>
      <c r="C42" s="5"/>
      <c r="D42" s="7"/>
    </row>
    <row r="43" spans="1:10" x14ac:dyDescent="0.55000000000000004">
      <c r="A43" s="59"/>
      <c r="B43" s="5"/>
      <c r="C43" s="5"/>
      <c r="D43" s="7"/>
    </row>
    <row r="44" spans="1:10" x14ac:dyDescent="0.55000000000000004">
      <c r="A44" s="59"/>
      <c r="B44" s="5"/>
      <c r="C44" s="5"/>
      <c r="D44" s="7"/>
    </row>
    <row r="45" spans="1:10" x14ac:dyDescent="0.55000000000000004">
      <c r="A45" s="59"/>
      <c r="B45" s="5" t="s">
        <v>61</v>
      </c>
      <c r="C45" s="5"/>
    </row>
    <row r="46" spans="1:10" x14ac:dyDescent="0.55000000000000004">
      <c r="A46" s="59"/>
      <c r="B46" s="5"/>
      <c r="C46" s="5" t="s">
        <v>1607</v>
      </c>
      <c r="D46" s="2">
        <v>30.3</v>
      </c>
      <c r="E46" s="1">
        <v>15.7</v>
      </c>
    </row>
    <row r="47" spans="1:10" x14ac:dyDescent="0.55000000000000004">
      <c r="A47" s="59"/>
      <c r="B47" s="5"/>
      <c r="C47" s="5" t="s">
        <v>1608</v>
      </c>
      <c r="D47" s="7">
        <v>23.1</v>
      </c>
      <c r="E47" s="10">
        <v>13.6</v>
      </c>
    </row>
    <row r="48" spans="1:10" x14ac:dyDescent="0.55000000000000004">
      <c r="A48" s="59"/>
      <c r="B48" s="5"/>
    </row>
    <row r="49" spans="1:4" x14ac:dyDescent="0.55000000000000004">
      <c r="A49" s="59"/>
      <c r="B49" s="5"/>
    </row>
    <row r="50" spans="1:4" x14ac:dyDescent="0.55000000000000004">
      <c r="A50" s="59"/>
      <c r="B50" s="5"/>
      <c r="C50" s="5"/>
      <c r="D50" s="7"/>
    </row>
    <row r="51" spans="1:4" x14ac:dyDescent="0.55000000000000004">
      <c r="A51" s="59"/>
      <c r="B51" s="5"/>
      <c r="C51" s="5"/>
      <c r="D51" s="7"/>
    </row>
    <row r="52" spans="1:4" x14ac:dyDescent="0.55000000000000004">
      <c r="A52" s="59"/>
      <c r="B52" s="5"/>
      <c r="C52" s="5"/>
      <c r="D52" s="7"/>
    </row>
    <row r="53" spans="1:4" x14ac:dyDescent="0.55000000000000004">
      <c r="A53" s="59"/>
      <c r="B53" s="5"/>
      <c r="C53" s="5"/>
      <c r="D53" s="7">
        <f>(D46-D47)/E46</f>
        <v>0.45859872611464964</v>
      </c>
    </row>
    <row r="54" spans="1:4" x14ac:dyDescent="0.55000000000000004">
      <c r="A54" s="59"/>
      <c r="B54" s="5"/>
      <c r="C54" s="5"/>
      <c r="D54" s="7"/>
    </row>
    <row r="55" spans="1:4" x14ac:dyDescent="0.55000000000000004">
      <c r="A55" s="59"/>
      <c r="B55" s="5"/>
      <c r="C55" s="5"/>
      <c r="D55" s="7"/>
    </row>
    <row r="56" spans="1:4" x14ac:dyDescent="0.55000000000000004">
      <c r="A56" s="59"/>
      <c r="B56" s="5"/>
      <c r="C56" s="5"/>
      <c r="D56" s="7"/>
    </row>
    <row r="57" spans="1:4" x14ac:dyDescent="0.55000000000000004">
      <c r="A57" s="59"/>
      <c r="B57" s="5"/>
      <c r="C57" s="5"/>
      <c r="D57" s="7"/>
    </row>
    <row r="58" spans="1:4" x14ac:dyDescent="0.55000000000000004">
      <c r="A58" s="59"/>
      <c r="B58" s="5"/>
      <c r="C58" s="5"/>
      <c r="D58" s="7"/>
    </row>
    <row r="59" spans="1:4" x14ac:dyDescent="0.55000000000000004">
      <c r="A59" s="59"/>
      <c r="B59" s="5"/>
      <c r="C59" s="5"/>
      <c r="D59" s="7"/>
    </row>
    <row r="60" spans="1:4" x14ac:dyDescent="0.55000000000000004">
      <c r="A60" s="59"/>
      <c r="B60" s="5"/>
      <c r="C60" s="5"/>
    </row>
    <row r="61" spans="1:4" x14ac:dyDescent="0.55000000000000004">
      <c r="A61" s="59"/>
      <c r="B61" s="5"/>
      <c r="C61" s="5"/>
    </row>
    <row r="62" spans="1:4" x14ac:dyDescent="0.55000000000000004">
      <c r="A62" s="59"/>
      <c r="B62" s="5"/>
      <c r="C62" s="5"/>
    </row>
    <row r="63" spans="1:4" x14ac:dyDescent="0.55000000000000004">
      <c r="A63" s="59"/>
      <c r="B63" s="5"/>
      <c r="C63" s="5"/>
    </row>
    <row r="64" spans="1:4" x14ac:dyDescent="0.55000000000000004">
      <c r="A64" s="59"/>
      <c r="B64" s="5"/>
      <c r="C64" s="5"/>
    </row>
    <row r="65" spans="1:5" x14ac:dyDescent="0.55000000000000004">
      <c r="A65" s="59"/>
      <c r="B65" s="5" t="s">
        <v>62</v>
      </c>
      <c r="C65" s="5"/>
      <c r="D65" s="2">
        <f>6*7</f>
        <v>42</v>
      </c>
    </row>
    <row r="66" spans="1:5" x14ac:dyDescent="0.55000000000000004">
      <c r="A66" s="59"/>
      <c r="B66" s="5" t="s">
        <v>63</v>
      </c>
      <c r="C66" s="5"/>
      <c r="D66" s="2" t="s">
        <v>1609</v>
      </c>
    </row>
    <row r="67" spans="1:5" ht="26.1" x14ac:dyDescent="0.55000000000000004">
      <c r="A67" s="59" t="s">
        <v>65</v>
      </c>
      <c r="B67" s="59"/>
      <c r="C67" s="5"/>
      <c r="D67" s="2" t="s">
        <v>1610</v>
      </c>
    </row>
    <row r="68" spans="1:5" x14ac:dyDescent="0.55000000000000004">
      <c r="A68" s="3" t="s">
        <v>67</v>
      </c>
    </row>
    <row r="69" spans="1:5" x14ac:dyDescent="0.55000000000000004">
      <c r="A69" s="1" t="s">
        <v>68</v>
      </c>
      <c r="C69" s="1">
        <v>11</v>
      </c>
      <c r="D69" s="2">
        <v>22</v>
      </c>
    </row>
    <row r="70" spans="1:5" x14ac:dyDescent="0.55000000000000004">
      <c r="B70" s="1" t="s">
        <v>94</v>
      </c>
    </row>
    <row r="71" spans="1:5" x14ac:dyDescent="0.55000000000000004">
      <c r="C71" s="5" t="s">
        <v>1611</v>
      </c>
      <c r="D71" s="7">
        <v>0.01</v>
      </c>
    </row>
    <row r="72" spans="1:5" x14ac:dyDescent="0.55000000000000004">
      <c r="C72" s="5" t="s">
        <v>1612</v>
      </c>
      <c r="D72" s="2">
        <v>0.54</v>
      </c>
      <c r="E72" s="1">
        <v>0.89</v>
      </c>
    </row>
    <row r="73" spans="1:5" x14ac:dyDescent="0.55000000000000004">
      <c r="C73" s="5" t="s">
        <v>1613</v>
      </c>
      <c r="D73" s="2">
        <v>0.25</v>
      </c>
      <c r="E73" s="1">
        <v>0.5</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dimension ref="A1:AMJ69"/>
  <sheetViews>
    <sheetView topLeftCell="A21" zoomScale="90" zoomScaleNormal="90" workbookViewId="0">
      <selection activeCell="D5" sqref="D5"/>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1.15625" style="1" customWidth="1"/>
    <col min="6" max="1024" width="11.41796875" style="1"/>
  </cols>
  <sheetData>
    <row r="1" spans="1:5" x14ac:dyDescent="0.55000000000000004">
      <c r="A1" s="3" t="s">
        <v>0</v>
      </c>
      <c r="D1" s="2" t="s">
        <v>426</v>
      </c>
    </row>
    <row r="2" spans="1:5" ht="26.1" x14ac:dyDescent="0.55000000000000004">
      <c r="A2" s="58" t="s">
        <v>2</v>
      </c>
      <c r="B2" s="58"/>
      <c r="D2" s="2" t="s">
        <v>1614</v>
      </c>
    </row>
    <row r="3" spans="1:5" x14ac:dyDescent="0.55000000000000004">
      <c r="A3" s="58"/>
      <c r="B3" s="58"/>
      <c r="C3" s="5" t="s">
        <v>4</v>
      </c>
      <c r="D3" s="2" t="s">
        <v>1615</v>
      </c>
    </row>
    <row r="4" spans="1:5" x14ac:dyDescent="0.55000000000000004">
      <c r="A4" s="58"/>
      <c r="B4" s="58"/>
      <c r="C4" s="5" t="s">
        <v>6</v>
      </c>
      <c r="D4" s="2">
        <v>1998</v>
      </c>
    </row>
    <row r="5" spans="1:5" ht="26.1" x14ac:dyDescent="0.55000000000000004">
      <c r="A5" s="58"/>
      <c r="B5" s="58"/>
      <c r="C5" s="5" t="s">
        <v>7</v>
      </c>
      <c r="D5" s="2" t="s">
        <v>1616</v>
      </c>
    </row>
    <row r="6" spans="1:5" x14ac:dyDescent="0.55000000000000004">
      <c r="A6" s="58"/>
      <c r="B6" s="58"/>
      <c r="C6" s="5" t="s">
        <v>9</v>
      </c>
      <c r="D6" s="2" t="s">
        <v>535</v>
      </c>
    </row>
    <row r="7" spans="1:5" x14ac:dyDescent="0.55000000000000004">
      <c r="A7" s="58"/>
      <c r="B7" s="58"/>
      <c r="C7" s="5" t="s">
        <v>11</v>
      </c>
      <c r="D7" s="2" t="s">
        <v>12</v>
      </c>
    </row>
    <row r="8" spans="1:5" x14ac:dyDescent="0.55000000000000004">
      <c r="A8" s="59" t="s">
        <v>13</v>
      </c>
      <c r="B8" s="59"/>
      <c r="C8" s="5"/>
    </row>
    <row r="9" spans="1:5" x14ac:dyDescent="0.55000000000000004">
      <c r="A9" s="58"/>
      <c r="B9" s="58"/>
      <c r="C9" s="5" t="s">
        <v>14</v>
      </c>
      <c r="D9" s="2" t="s">
        <v>1617</v>
      </c>
    </row>
    <row r="10" spans="1:5" x14ac:dyDescent="0.55000000000000004">
      <c r="A10" s="58"/>
      <c r="B10" s="58"/>
      <c r="C10" s="5" t="s">
        <v>16</v>
      </c>
      <c r="D10" s="2" t="s">
        <v>17</v>
      </c>
      <c r="E10" s="1" t="s">
        <v>18</v>
      </c>
    </row>
    <row r="11" spans="1:5" x14ac:dyDescent="0.55000000000000004">
      <c r="A11" s="58"/>
      <c r="B11" s="58"/>
      <c r="C11" s="5" t="s">
        <v>19</v>
      </c>
      <c r="D11" s="2" t="s">
        <v>20</v>
      </c>
    </row>
    <row r="12" spans="1:5" x14ac:dyDescent="0.55000000000000004">
      <c r="A12" s="58"/>
      <c r="B12" s="58"/>
      <c r="C12" s="5" t="s">
        <v>21</v>
      </c>
      <c r="D12" s="2" t="s">
        <v>20</v>
      </c>
    </row>
    <row r="13" spans="1:5" x14ac:dyDescent="0.55000000000000004">
      <c r="A13" s="58"/>
      <c r="B13" s="58"/>
      <c r="C13" s="5" t="s">
        <v>22</v>
      </c>
      <c r="D13" s="2" t="s">
        <v>20</v>
      </c>
    </row>
    <row r="14" spans="1:5" x14ac:dyDescent="0.55000000000000004">
      <c r="A14" s="59" t="s">
        <v>24</v>
      </c>
      <c r="B14" s="59"/>
      <c r="C14" s="5"/>
    </row>
    <row r="15" spans="1:5" x14ac:dyDescent="0.55000000000000004">
      <c r="A15" s="58"/>
      <c r="B15" s="58"/>
      <c r="C15" s="5" t="s">
        <v>25</v>
      </c>
      <c r="D15" s="2" t="s">
        <v>293</v>
      </c>
    </row>
    <row r="16" spans="1:5" x14ac:dyDescent="0.55000000000000004">
      <c r="A16" s="58"/>
      <c r="B16" s="58"/>
      <c r="C16" s="5" t="s">
        <v>27</v>
      </c>
      <c r="D16" s="2" t="s">
        <v>1618</v>
      </c>
    </row>
    <row r="17" spans="1:4" x14ac:dyDescent="0.55000000000000004">
      <c r="A17" s="59" t="s">
        <v>29</v>
      </c>
      <c r="B17" s="59"/>
      <c r="C17" s="5"/>
    </row>
    <row r="18" spans="1:4" ht="26.1" x14ac:dyDescent="0.55000000000000004">
      <c r="A18" s="58"/>
      <c r="B18" s="58"/>
      <c r="C18" s="5" t="s">
        <v>30</v>
      </c>
      <c r="D18" s="2" t="s">
        <v>1619</v>
      </c>
    </row>
    <row r="19" spans="1:4" x14ac:dyDescent="0.55000000000000004">
      <c r="A19" s="58"/>
      <c r="B19" s="58"/>
      <c r="C19" s="5" t="s">
        <v>32</v>
      </c>
      <c r="D19" s="2" t="s">
        <v>1620</v>
      </c>
    </row>
    <row r="20" spans="1:4" x14ac:dyDescent="0.55000000000000004">
      <c r="A20" s="59" t="s">
        <v>34</v>
      </c>
      <c r="B20" s="59"/>
      <c r="C20" s="5"/>
    </row>
    <row r="21" spans="1:4" x14ac:dyDescent="0.55000000000000004">
      <c r="A21" s="58"/>
      <c r="B21" s="58"/>
      <c r="C21" s="5" t="s">
        <v>36</v>
      </c>
      <c r="D21" s="2" t="s">
        <v>20</v>
      </c>
    </row>
    <row r="22" spans="1:4" x14ac:dyDescent="0.55000000000000004">
      <c r="A22" s="58"/>
      <c r="B22" s="58"/>
      <c r="C22" s="5" t="s">
        <v>37</v>
      </c>
      <c r="D22" s="2">
        <v>10</v>
      </c>
    </row>
    <row r="23" spans="1:4" x14ac:dyDescent="0.55000000000000004">
      <c r="A23" s="58"/>
      <c r="B23" s="58"/>
      <c r="C23" s="5" t="s">
        <v>38</v>
      </c>
      <c r="D23" s="2">
        <v>10</v>
      </c>
    </row>
    <row r="24" spans="1:4" x14ac:dyDescent="0.55000000000000004">
      <c r="A24" s="58"/>
      <c r="B24" s="58"/>
      <c r="C24" s="5" t="s">
        <v>39</v>
      </c>
      <c r="D24" s="2">
        <v>0</v>
      </c>
    </row>
    <row r="25" spans="1:4" x14ac:dyDescent="0.55000000000000004">
      <c r="A25" s="58"/>
      <c r="B25" s="58"/>
      <c r="C25" s="5" t="s">
        <v>40</v>
      </c>
      <c r="D25" s="2">
        <v>50</v>
      </c>
    </row>
    <row r="26" spans="1:4" x14ac:dyDescent="0.55000000000000004">
      <c r="A26" s="58"/>
      <c r="B26" s="58"/>
      <c r="C26" s="5" t="s">
        <v>41</v>
      </c>
      <c r="D26" s="7">
        <v>56.4</v>
      </c>
    </row>
    <row r="27" spans="1:4" x14ac:dyDescent="0.55000000000000004">
      <c r="A27" s="58"/>
      <c r="B27" s="58"/>
      <c r="C27" s="5" t="s">
        <v>42</v>
      </c>
      <c r="D27" s="2" t="s">
        <v>20</v>
      </c>
    </row>
    <row r="28" spans="1:4" x14ac:dyDescent="0.55000000000000004">
      <c r="A28" s="58"/>
      <c r="B28" s="58"/>
      <c r="C28" s="5" t="s">
        <v>43</v>
      </c>
      <c r="D28" s="2" t="s">
        <v>20</v>
      </c>
    </row>
    <row r="29" spans="1:4" x14ac:dyDescent="0.55000000000000004">
      <c r="A29" s="58"/>
      <c r="B29" s="58"/>
      <c r="C29" s="5" t="s">
        <v>44</v>
      </c>
      <c r="D29" s="2" t="s">
        <v>20</v>
      </c>
    </row>
    <row r="30" spans="1:4" x14ac:dyDescent="0.55000000000000004">
      <c r="A30" s="58"/>
      <c r="B30" s="58"/>
      <c r="C30" s="5" t="s">
        <v>45</v>
      </c>
      <c r="D30" s="2" t="s">
        <v>20</v>
      </c>
    </row>
    <row r="31" spans="1:4" x14ac:dyDescent="0.55000000000000004">
      <c r="A31" s="58"/>
      <c r="B31" s="58"/>
      <c r="C31" s="5" t="s">
        <v>46</v>
      </c>
      <c r="D31" s="2" t="s">
        <v>20</v>
      </c>
    </row>
    <row r="32" spans="1:4" x14ac:dyDescent="0.55000000000000004">
      <c r="A32" s="59" t="s">
        <v>47</v>
      </c>
      <c r="B32" s="59"/>
      <c r="C32" s="5"/>
    </row>
    <row r="33" spans="1:10" ht="39" x14ac:dyDescent="0.55000000000000004">
      <c r="A33" s="58"/>
      <c r="B33" s="58"/>
      <c r="C33" s="5" t="s">
        <v>48</v>
      </c>
      <c r="D33" s="2" t="s">
        <v>1621</v>
      </c>
    </row>
    <row r="34" spans="1:10" x14ac:dyDescent="0.55000000000000004">
      <c r="A34" s="59" t="s">
        <v>50</v>
      </c>
      <c r="B34" s="59"/>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9"/>
      <c r="B36" s="5" t="s">
        <v>59</v>
      </c>
      <c r="C36" s="5"/>
    </row>
    <row r="37" spans="1:10" x14ac:dyDescent="0.55000000000000004">
      <c r="A37" s="59"/>
      <c r="B37" s="5"/>
      <c r="C37" s="5"/>
    </row>
    <row r="38" spans="1:10" x14ac:dyDescent="0.55000000000000004">
      <c r="A38" s="59"/>
      <c r="B38" s="5"/>
      <c r="C38" s="5"/>
    </row>
    <row r="39" spans="1:10" x14ac:dyDescent="0.55000000000000004">
      <c r="A39" s="59"/>
      <c r="B39" s="5"/>
      <c r="C39" s="5"/>
    </row>
    <row r="40" spans="1:10" x14ac:dyDescent="0.55000000000000004">
      <c r="A40" s="59"/>
      <c r="B40" s="5"/>
      <c r="C40" s="5"/>
    </row>
    <row r="41" spans="1:10" x14ac:dyDescent="0.55000000000000004">
      <c r="A41" s="59"/>
      <c r="B41" s="5"/>
      <c r="C41" s="5"/>
    </row>
    <row r="42" spans="1:10" x14ac:dyDescent="0.55000000000000004">
      <c r="A42" s="59"/>
      <c r="B42" s="5"/>
    </row>
    <row r="43" spans="1:10" x14ac:dyDescent="0.55000000000000004">
      <c r="A43" s="59"/>
      <c r="B43" s="5"/>
      <c r="C43" s="5"/>
    </row>
    <row r="44" spans="1:10" x14ac:dyDescent="0.55000000000000004">
      <c r="A44" s="59"/>
      <c r="B44" s="5"/>
      <c r="C44" s="5"/>
    </row>
    <row r="45" spans="1:10" x14ac:dyDescent="0.55000000000000004">
      <c r="A45" s="59"/>
      <c r="B45" s="5" t="s">
        <v>61</v>
      </c>
      <c r="C45" s="5"/>
    </row>
    <row r="46" spans="1:10" x14ac:dyDescent="0.55000000000000004">
      <c r="A46" s="59"/>
      <c r="B46" s="5"/>
      <c r="C46" s="5" t="s">
        <v>1622</v>
      </c>
      <c r="D46" s="7">
        <v>0.3</v>
      </c>
    </row>
    <row r="47" spans="1:10" x14ac:dyDescent="0.55000000000000004">
      <c r="A47" s="59"/>
      <c r="B47" s="5"/>
      <c r="C47" s="5"/>
    </row>
    <row r="48" spans="1:10" x14ac:dyDescent="0.55000000000000004">
      <c r="A48" s="59"/>
      <c r="B48" s="5"/>
      <c r="C48" s="5"/>
    </row>
    <row r="49" spans="1:3" x14ac:dyDescent="0.55000000000000004">
      <c r="A49" s="59"/>
      <c r="B49" s="5"/>
      <c r="C49" s="5"/>
    </row>
    <row r="50" spans="1:3" x14ac:dyDescent="0.55000000000000004">
      <c r="A50" s="59"/>
      <c r="B50" s="5"/>
      <c r="C50" s="5"/>
    </row>
    <row r="51" spans="1:3" x14ac:dyDescent="0.55000000000000004">
      <c r="A51" s="59"/>
      <c r="B51" s="5"/>
      <c r="C51" s="5"/>
    </row>
    <row r="52" spans="1:3" x14ac:dyDescent="0.55000000000000004">
      <c r="A52" s="59"/>
      <c r="B52" s="5"/>
      <c r="C52" s="5"/>
    </row>
    <row r="53" spans="1:3" x14ac:dyDescent="0.55000000000000004">
      <c r="A53" s="59"/>
      <c r="B53" s="5"/>
      <c r="C53" s="5"/>
    </row>
    <row r="54" spans="1:3" x14ac:dyDescent="0.55000000000000004">
      <c r="A54" s="59"/>
      <c r="B54" s="5"/>
      <c r="C54" s="5"/>
    </row>
    <row r="55" spans="1:3" x14ac:dyDescent="0.55000000000000004">
      <c r="A55" s="59"/>
      <c r="B55" s="5"/>
      <c r="C55" s="5"/>
    </row>
    <row r="56" spans="1:3" x14ac:dyDescent="0.55000000000000004">
      <c r="A56" s="59"/>
      <c r="B56" s="5"/>
      <c r="C56" s="5"/>
    </row>
    <row r="57" spans="1:3" x14ac:dyDescent="0.55000000000000004">
      <c r="A57" s="59"/>
      <c r="B57" s="5"/>
      <c r="C57" s="5"/>
    </row>
    <row r="58" spans="1:3" x14ac:dyDescent="0.55000000000000004">
      <c r="A58" s="59"/>
      <c r="B58" s="5"/>
      <c r="C58" s="5"/>
    </row>
    <row r="59" spans="1:3" x14ac:dyDescent="0.55000000000000004">
      <c r="A59" s="59"/>
      <c r="B59" s="5"/>
      <c r="C59" s="5"/>
    </row>
    <row r="60" spans="1:3" x14ac:dyDescent="0.55000000000000004">
      <c r="A60" s="59"/>
      <c r="B60" s="5"/>
      <c r="C60" s="5"/>
    </row>
    <row r="61" spans="1:3" x14ac:dyDescent="0.55000000000000004">
      <c r="A61" s="59"/>
      <c r="B61" s="5"/>
      <c r="C61" s="5"/>
    </row>
    <row r="62" spans="1:3" x14ac:dyDescent="0.55000000000000004">
      <c r="A62" s="59"/>
      <c r="B62" s="5"/>
      <c r="C62" s="5"/>
    </row>
    <row r="63" spans="1:3" x14ac:dyDescent="0.55000000000000004">
      <c r="A63" s="59"/>
      <c r="B63" s="5"/>
      <c r="C63" s="5"/>
    </row>
    <row r="64" spans="1:3" x14ac:dyDescent="0.55000000000000004">
      <c r="A64" s="59"/>
      <c r="B64" s="5"/>
      <c r="C64" s="5"/>
    </row>
    <row r="65" spans="1:4" x14ac:dyDescent="0.55000000000000004">
      <c r="A65" s="59"/>
      <c r="B65" s="5" t="s">
        <v>62</v>
      </c>
      <c r="C65" s="5"/>
      <c r="D65" s="7">
        <f>1/1440*20</f>
        <v>1.388888888888889E-2</v>
      </c>
    </row>
    <row r="66" spans="1:4" x14ac:dyDescent="0.55000000000000004">
      <c r="A66" s="59"/>
      <c r="B66" s="5" t="s">
        <v>63</v>
      </c>
      <c r="C66" s="5"/>
      <c r="D66" s="2" t="s">
        <v>1623</v>
      </c>
    </row>
    <row r="67" spans="1:4" ht="39" x14ac:dyDescent="0.55000000000000004">
      <c r="A67" s="59" t="s">
        <v>65</v>
      </c>
      <c r="B67" s="59"/>
      <c r="C67" s="5"/>
      <c r="D67" s="2" t="s">
        <v>1624</v>
      </c>
    </row>
    <row r="68" spans="1:4" x14ac:dyDescent="0.55000000000000004">
      <c r="A68" s="3" t="s">
        <v>67</v>
      </c>
    </row>
    <row r="69" spans="1:4" x14ac:dyDescent="0.55000000000000004">
      <c r="A69" s="1" t="s">
        <v>68</v>
      </c>
      <c r="C69" s="1">
        <v>10</v>
      </c>
      <c r="D69" s="2">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dimension ref="A1:AMJ78"/>
  <sheetViews>
    <sheetView topLeftCell="A33" zoomScale="90" zoomScaleNormal="90" workbookViewId="0">
      <selection activeCell="E37" sqref="E37"/>
    </sheetView>
  </sheetViews>
  <sheetFormatPr baseColWidth="10" defaultColWidth="11.41796875" defaultRowHeight="14.4" x14ac:dyDescent="0.55000000000000004"/>
  <cols>
    <col min="1" max="1" width="29.83984375" style="1" customWidth="1"/>
    <col min="2" max="2" width="18.83984375" style="1" customWidth="1"/>
    <col min="3" max="3" width="44.15625" style="1" customWidth="1"/>
    <col min="4" max="4" width="56.15625" style="2" customWidth="1"/>
    <col min="5" max="5" width="13" style="1" customWidth="1"/>
    <col min="6" max="6" width="11.578125" style="1" customWidth="1"/>
    <col min="7" max="1024" width="11.41796875" style="1"/>
  </cols>
  <sheetData>
    <row r="1" spans="1:4" x14ac:dyDescent="0.55000000000000004">
      <c r="A1" s="3" t="s">
        <v>0</v>
      </c>
      <c r="D1" s="2" t="s">
        <v>269</v>
      </c>
    </row>
    <row r="2" spans="1:4" x14ac:dyDescent="0.55000000000000004">
      <c r="A2" s="5" t="s">
        <v>2</v>
      </c>
      <c r="B2" s="5"/>
      <c r="D2" s="2" t="s">
        <v>1625</v>
      </c>
    </row>
    <row r="3" spans="1:4" x14ac:dyDescent="0.55000000000000004">
      <c r="A3" s="5"/>
      <c r="B3" s="5"/>
      <c r="C3" s="5" t="s">
        <v>4</v>
      </c>
      <c r="D3" s="2" t="s">
        <v>1626</v>
      </c>
    </row>
    <row r="4" spans="1:4" x14ac:dyDescent="0.55000000000000004">
      <c r="A4" s="5"/>
      <c r="B4" s="5"/>
      <c r="C4" s="5" t="s">
        <v>6</v>
      </c>
      <c r="D4" s="2">
        <v>2020</v>
      </c>
    </row>
    <row r="5" spans="1:4" ht="26.1" x14ac:dyDescent="0.55000000000000004">
      <c r="A5" s="5"/>
      <c r="B5" s="5"/>
      <c r="C5" s="5" t="s">
        <v>7</v>
      </c>
      <c r="D5" s="2" t="s">
        <v>1627</v>
      </c>
    </row>
    <row r="6" spans="1:4" x14ac:dyDescent="0.55000000000000004">
      <c r="A6" s="5"/>
      <c r="B6" s="5"/>
      <c r="C6" s="5" t="s">
        <v>9</v>
      </c>
      <c r="D6" s="2" t="s">
        <v>1628</v>
      </c>
    </row>
    <row r="7" spans="1:4" x14ac:dyDescent="0.55000000000000004">
      <c r="A7" s="5"/>
      <c r="B7" s="5"/>
      <c r="C7" s="5" t="s">
        <v>11</v>
      </c>
      <c r="D7" s="2" t="s">
        <v>12</v>
      </c>
    </row>
    <row r="8" spans="1:4" x14ac:dyDescent="0.55000000000000004">
      <c r="A8" s="8" t="s">
        <v>13</v>
      </c>
      <c r="B8" s="8"/>
      <c r="C8" s="5"/>
    </row>
    <row r="9" spans="1:4" ht="26.1" x14ac:dyDescent="0.55000000000000004">
      <c r="A9" s="5"/>
      <c r="B9" s="5"/>
      <c r="C9" s="5" t="s">
        <v>14</v>
      </c>
      <c r="D9" s="2" t="s">
        <v>1629</v>
      </c>
    </row>
    <row r="10" spans="1:4" x14ac:dyDescent="0.55000000000000004">
      <c r="A10" s="5"/>
      <c r="B10" s="5"/>
      <c r="C10" s="5" t="s">
        <v>16</v>
      </c>
      <c r="D10" s="2" t="s">
        <v>165</v>
      </c>
    </row>
    <row r="11" spans="1:4" x14ac:dyDescent="0.55000000000000004">
      <c r="A11" s="5"/>
      <c r="B11" s="5"/>
      <c r="C11" s="5" t="s">
        <v>19</v>
      </c>
      <c r="D11" s="21">
        <v>43252</v>
      </c>
    </row>
    <row r="12" spans="1:4" x14ac:dyDescent="0.55000000000000004">
      <c r="A12" s="5"/>
      <c r="B12" s="5"/>
      <c r="C12" s="5" t="s">
        <v>21</v>
      </c>
      <c r="D12" s="21">
        <v>43435</v>
      </c>
    </row>
    <row r="13" spans="1:4" x14ac:dyDescent="0.55000000000000004">
      <c r="A13" s="5"/>
      <c r="B13" s="5"/>
      <c r="C13" s="5" t="s">
        <v>22</v>
      </c>
      <c r="D13" s="2" t="s">
        <v>20</v>
      </c>
    </row>
    <row r="14" spans="1:4" x14ac:dyDescent="0.55000000000000004">
      <c r="A14" s="8" t="s">
        <v>24</v>
      </c>
      <c r="B14" s="8"/>
      <c r="C14" s="5"/>
    </row>
    <row r="15" spans="1:4" x14ac:dyDescent="0.55000000000000004">
      <c r="A15" s="5"/>
      <c r="B15" s="5"/>
      <c r="C15" s="5" t="s">
        <v>25</v>
      </c>
      <c r="D15" s="2" t="s">
        <v>1630</v>
      </c>
    </row>
    <row r="16" spans="1:4" x14ac:dyDescent="0.55000000000000004">
      <c r="A16" s="5"/>
      <c r="B16" s="5"/>
      <c r="C16" s="5" t="s">
        <v>27</v>
      </c>
      <c r="D16" s="2" t="s">
        <v>1631</v>
      </c>
    </row>
    <row r="17" spans="1:6" x14ac:dyDescent="0.55000000000000004">
      <c r="A17" s="8" t="s">
        <v>29</v>
      </c>
      <c r="B17" s="8"/>
      <c r="C17" s="5"/>
    </row>
    <row r="18" spans="1:6" ht="39" x14ac:dyDescent="0.55000000000000004">
      <c r="A18" s="5"/>
      <c r="B18" s="5"/>
      <c r="C18" s="5" t="s">
        <v>30</v>
      </c>
      <c r="D18" s="2" t="s">
        <v>1632</v>
      </c>
    </row>
    <row r="19" spans="1:6" x14ac:dyDescent="0.55000000000000004">
      <c r="A19" s="5"/>
      <c r="B19" s="5"/>
      <c r="C19" s="5" t="s">
        <v>32</v>
      </c>
      <c r="D19" s="2" t="s">
        <v>1633</v>
      </c>
    </row>
    <row r="20" spans="1:6" x14ac:dyDescent="0.55000000000000004">
      <c r="A20" s="8" t="s">
        <v>34</v>
      </c>
      <c r="B20" s="8"/>
      <c r="C20" s="5"/>
      <c r="D20" s="2" t="s">
        <v>612</v>
      </c>
      <c r="E20" s="1" t="s">
        <v>1634</v>
      </c>
      <c r="F20" s="1" t="s">
        <v>35</v>
      </c>
    </row>
    <row r="21" spans="1:6" x14ac:dyDescent="0.55000000000000004">
      <c r="A21" s="5"/>
      <c r="B21" s="5"/>
      <c r="C21" s="5" t="s">
        <v>36</v>
      </c>
      <c r="F21" s="1">
        <v>50</v>
      </c>
    </row>
    <row r="22" spans="1:6" x14ac:dyDescent="0.55000000000000004">
      <c r="A22" s="5"/>
      <c r="B22" s="5"/>
      <c r="C22" s="5" t="s">
        <v>37</v>
      </c>
      <c r="F22" s="1">
        <v>46</v>
      </c>
    </row>
    <row r="23" spans="1:6" x14ac:dyDescent="0.55000000000000004">
      <c r="A23" s="5"/>
      <c r="B23" s="5"/>
      <c r="C23" s="5" t="s">
        <v>38</v>
      </c>
      <c r="D23" s="2">
        <v>23</v>
      </c>
      <c r="E23" s="1">
        <v>23</v>
      </c>
      <c r="F23" s="1">
        <f>SUM(D23:E23)</f>
        <v>46</v>
      </c>
    </row>
    <row r="24" spans="1:6" x14ac:dyDescent="0.55000000000000004">
      <c r="A24" s="5"/>
      <c r="B24" s="5"/>
      <c r="C24" s="5" t="s">
        <v>39</v>
      </c>
      <c r="D24" s="2">
        <v>0</v>
      </c>
      <c r="E24" s="1">
        <v>0</v>
      </c>
      <c r="F24" s="1">
        <v>0</v>
      </c>
    </row>
    <row r="25" spans="1:6" x14ac:dyDescent="0.55000000000000004">
      <c r="A25" s="5"/>
      <c r="B25" s="5"/>
      <c r="C25" s="5" t="s">
        <v>40</v>
      </c>
      <c r="D25" s="7">
        <f>13/23</f>
        <v>0.56521739130434778</v>
      </c>
      <c r="E25" s="10">
        <f>12/23</f>
        <v>0.52173913043478259</v>
      </c>
      <c r="F25" s="10">
        <f>25/46</f>
        <v>0.54347826086956519</v>
      </c>
    </row>
    <row r="26" spans="1:6" x14ac:dyDescent="0.55000000000000004">
      <c r="A26" s="5"/>
      <c r="B26" s="5"/>
      <c r="C26" s="5" t="s">
        <v>41</v>
      </c>
      <c r="D26" s="7">
        <v>69.52</v>
      </c>
      <c r="E26" s="10">
        <v>66.739999999999995</v>
      </c>
      <c r="F26" s="10">
        <f>(D26*$D$23 + E26*$E$23)/$F$23</f>
        <v>68.13</v>
      </c>
    </row>
    <row r="27" spans="1:6" x14ac:dyDescent="0.55000000000000004">
      <c r="A27" s="5"/>
      <c r="B27" s="5"/>
      <c r="C27" s="5" t="s">
        <v>42</v>
      </c>
      <c r="D27" s="7">
        <v>10.31</v>
      </c>
      <c r="E27" s="10">
        <v>10.82</v>
      </c>
      <c r="F27" s="10">
        <f>SQRT((D23*(D27^2+(D26-F$26)^2)+E23*(E27^2+(E26-F$26)^2))/(D23+E23))</f>
        <v>10.659097053690806</v>
      </c>
    </row>
    <row r="28" spans="1:6" x14ac:dyDescent="0.55000000000000004">
      <c r="A28" s="5"/>
      <c r="B28" s="5"/>
      <c r="C28" s="5" t="s">
        <v>43</v>
      </c>
      <c r="D28" s="2" t="s">
        <v>20</v>
      </c>
    </row>
    <row r="29" spans="1:6" x14ac:dyDescent="0.55000000000000004">
      <c r="A29" s="5"/>
      <c r="B29" s="5"/>
      <c r="C29" s="5" t="s">
        <v>44</v>
      </c>
      <c r="D29" s="2">
        <v>2</v>
      </c>
      <c r="E29" s="1">
        <v>2</v>
      </c>
      <c r="F29" s="1">
        <v>2</v>
      </c>
    </row>
    <row r="30" spans="1:6" x14ac:dyDescent="0.55000000000000004">
      <c r="A30" s="5"/>
      <c r="B30" s="5"/>
      <c r="C30" s="5" t="s">
        <v>45</v>
      </c>
      <c r="D30" s="7">
        <v>16.260000000000002</v>
      </c>
      <c r="E30" s="10">
        <v>17.57</v>
      </c>
      <c r="F30" s="10">
        <f>(D30*$D$23 + E30*$E$23)/$F$23</f>
        <v>16.914999999999999</v>
      </c>
    </row>
    <row r="31" spans="1:6" x14ac:dyDescent="0.55000000000000004">
      <c r="A31" s="5"/>
      <c r="B31" s="5"/>
      <c r="C31" s="5" t="s">
        <v>46</v>
      </c>
      <c r="D31" s="7">
        <v>5.3</v>
      </c>
      <c r="E31" s="10">
        <v>4.5199999999999996</v>
      </c>
      <c r="F31" s="10">
        <f>SQRT((D23*(D31^2+(D30-F$30)^2)+E23*(E31^2+(E30-F$30)^2))/(D23+E23))</f>
        <v>4.968825313894623</v>
      </c>
    </row>
    <row r="32" spans="1:6" x14ac:dyDescent="0.55000000000000004">
      <c r="A32" s="8" t="s">
        <v>47</v>
      </c>
      <c r="B32" s="8"/>
      <c r="C32" s="5"/>
    </row>
    <row r="33" spans="1:10" x14ac:dyDescent="0.55000000000000004">
      <c r="A33" s="5"/>
      <c r="B33" s="5"/>
      <c r="C33" s="5" t="s">
        <v>48</v>
      </c>
      <c r="D33" s="2" t="s">
        <v>1635</v>
      </c>
    </row>
    <row r="34" spans="1:10" x14ac:dyDescent="0.55000000000000004">
      <c r="A34" s="8" t="s">
        <v>50</v>
      </c>
      <c r="B34" s="8"/>
      <c r="C34" s="5"/>
    </row>
    <row r="35" spans="1:10" x14ac:dyDescent="0.55000000000000004">
      <c r="A35" s="8"/>
      <c r="B35" s="8"/>
      <c r="C35" s="5"/>
    </row>
    <row r="36" spans="1:10" x14ac:dyDescent="0.55000000000000004">
      <c r="A36" s="8"/>
      <c r="B36" s="5" t="s">
        <v>59</v>
      </c>
      <c r="C36" s="5"/>
      <c r="D36" s="12" t="s">
        <v>51</v>
      </c>
      <c r="E36" s="11" t="s">
        <v>52</v>
      </c>
      <c r="F36" s="11" t="s">
        <v>53</v>
      </c>
      <c r="G36" s="11" t="s">
        <v>54</v>
      </c>
      <c r="H36" s="11" t="s">
        <v>55</v>
      </c>
      <c r="I36" s="11" t="s">
        <v>56</v>
      </c>
      <c r="J36" s="11" t="s">
        <v>57</v>
      </c>
    </row>
    <row r="37" spans="1:10" x14ac:dyDescent="0.55000000000000004">
      <c r="A37" s="8"/>
      <c r="B37" s="5"/>
      <c r="C37" s="5" t="s">
        <v>1636</v>
      </c>
      <c r="D37" s="7">
        <f>(D73+D77)</f>
        <v>1.48</v>
      </c>
      <c r="E37" s="10">
        <f>SQRT((((72-1)*E73^2)+((72-1)*E77^2))/(72+72-2))</f>
        <v>0.73637626251801469</v>
      </c>
    </row>
    <row r="38" spans="1:10" x14ac:dyDescent="0.55000000000000004">
      <c r="A38" s="8"/>
      <c r="B38" s="5"/>
      <c r="C38" s="5" t="s">
        <v>1637</v>
      </c>
      <c r="D38" s="7">
        <f>(D74+D78)</f>
        <v>0.61</v>
      </c>
      <c r="E38" s="10">
        <f>SQRT((((72-1)*E74^2)+((72-1)*E78^2))/(72+72-2))</f>
        <v>0.46173585522460781</v>
      </c>
      <c r="F38" s="10"/>
    </row>
    <row r="39" spans="1:10" x14ac:dyDescent="0.55000000000000004">
      <c r="A39" s="8"/>
      <c r="B39" s="5"/>
      <c r="C39" s="5" t="s">
        <v>631</v>
      </c>
      <c r="D39" s="7">
        <f>(D71+D75)</f>
        <v>1.5699999999999998</v>
      </c>
      <c r="E39" s="10">
        <f>SQRT((((71-1)*E71^2)+((71-1)*E75^2))/(71+71-2))</f>
        <v>0.8170679286326199</v>
      </c>
      <c r="F39" s="10"/>
    </row>
    <row r="40" spans="1:10" x14ac:dyDescent="0.55000000000000004">
      <c r="A40" s="8"/>
      <c r="B40" s="5"/>
      <c r="C40" s="5" t="s">
        <v>632</v>
      </c>
      <c r="D40" s="7">
        <f>(D72+D76)</f>
        <v>1.5299999999999998</v>
      </c>
      <c r="E40" s="10">
        <f>SQRT((((71-1)*E72^2)+((71-1)*E76^2))/(71+71-2))</f>
        <v>0.82574209048588543</v>
      </c>
      <c r="F40" s="10"/>
    </row>
    <row r="41" spans="1:10" x14ac:dyDescent="0.55000000000000004">
      <c r="A41" s="8"/>
      <c r="F41" s="10"/>
    </row>
    <row r="42" spans="1:10" x14ac:dyDescent="0.55000000000000004">
      <c r="F42" s="10"/>
    </row>
    <row r="43" spans="1:10" x14ac:dyDescent="0.55000000000000004">
      <c r="F43" s="10"/>
    </row>
    <row r="44" spans="1:10" x14ac:dyDescent="0.55000000000000004">
      <c r="F44" s="10"/>
    </row>
    <row r="45" spans="1:10" x14ac:dyDescent="0.55000000000000004">
      <c r="B45" s="5" t="s">
        <v>61</v>
      </c>
    </row>
    <row r="46" spans="1:10" x14ac:dyDescent="0.55000000000000004">
      <c r="B46" s="5"/>
    </row>
    <row r="47" spans="1:10" ht="14.7" x14ac:dyDescent="0.55000000000000004">
      <c r="B47" s="5"/>
      <c r="C47" s="56"/>
    </row>
    <row r="48" spans="1:10" ht="14.7" x14ac:dyDescent="0.55000000000000004">
      <c r="B48" s="5"/>
      <c r="C48" s="56"/>
    </row>
    <row r="49" spans="2:5" ht="14.7" x14ac:dyDescent="0.55000000000000004">
      <c r="B49" s="5"/>
      <c r="C49" s="56"/>
    </row>
    <row r="50" spans="2:5" ht="14.7" x14ac:dyDescent="0.55000000000000004">
      <c r="B50" s="5"/>
      <c r="C50" s="56"/>
    </row>
    <row r="51" spans="2:5" ht="14.7" x14ac:dyDescent="0.55000000000000004">
      <c r="B51" s="5"/>
      <c r="C51" s="56"/>
    </row>
    <row r="52" spans="2:5" ht="14.7" x14ac:dyDescent="0.55000000000000004">
      <c r="B52" s="5"/>
      <c r="C52" s="56"/>
    </row>
    <row r="53" spans="2:5" ht="14.7" x14ac:dyDescent="0.55000000000000004">
      <c r="B53" s="5"/>
      <c r="C53" s="56"/>
    </row>
    <row r="54" spans="2:5" ht="14.7" x14ac:dyDescent="0.55000000000000004">
      <c r="B54" s="5"/>
      <c r="C54" s="56"/>
    </row>
    <row r="55" spans="2:5" x14ac:dyDescent="0.55000000000000004">
      <c r="B55" s="5"/>
      <c r="C55" s="5"/>
    </row>
    <row r="56" spans="2:5" x14ac:dyDescent="0.55000000000000004">
      <c r="B56" s="5"/>
      <c r="C56" s="5"/>
    </row>
    <row r="57" spans="2:5" x14ac:dyDescent="0.55000000000000004">
      <c r="B57" s="5"/>
      <c r="C57" s="5"/>
    </row>
    <row r="58" spans="2:5" x14ac:dyDescent="0.55000000000000004">
      <c r="B58" s="5"/>
      <c r="C58" s="5"/>
    </row>
    <row r="59" spans="2:5" x14ac:dyDescent="0.55000000000000004">
      <c r="B59" s="5"/>
      <c r="C59" s="5"/>
    </row>
    <row r="61" spans="2:5" x14ac:dyDescent="0.55000000000000004">
      <c r="D61" s="30"/>
      <c r="E61" s="43"/>
    </row>
    <row r="65" spans="1:5" x14ac:dyDescent="0.55000000000000004">
      <c r="A65" s="8"/>
      <c r="B65" s="5" t="s">
        <v>62</v>
      </c>
      <c r="C65" s="5"/>
      <c r="D65" s="2">
        <f>4*7</f>
        <v>28</v>
      </c>
    </row>
    <row r="66" spans="1:5" x14ac:dyDescent="0.55000000000000004">
      <c r="A66" s="8"/>
      <c r="B66" s="5" t="s">
        <v>63</v>
      </c>
      <c r="C66" s="5"/>
      <c r="D66" s="2" t="s">
        <v>1638</v>
      </c>
    </row>
    <row r="67" spans="1:5" x14ac:dyDescent="0.55000000000000004">
      <c r="A67" s="8" t="s">
        <v>65</v>
      </c>
      <c r="B67" s="8"/>
      <c r="C67" s="5"/>
      <c r="D67" s="2" t="s">
        <v>1639</v>
      </c>
    </row>
    <row r="68" spans="1:5" x14ac:dyDescent="0.55000000000000004">
      <c r="A68" s="3" t="s">
        <v>67</v>
      </c>
    </row>
    <row r="69" spans="1:5" x14ac:dyDescent="0.55000000000000004">
      <c r="A69" s="1" t="s">
        <v>68</v>
      </c>
      <c r="C69" s="1">
        <v>17</v>
      </c>
      <c r="D69" s="2">
        <v>28</v>
      </c>
    </row>
    <row r="70" spans="1:5" x14ac:dyDescent="0.55000000000000004">
      <c r="B70" s="1" t="s">
        <v>94</v>
      </c>
    </row>
    <row r="71" spans="1:5" x14ac:dyDescent="0.55000000000000004">
      <c r="C71" s="5" t="s">
        <v>1640</v>
      </c>
      <c r="D71" s="7">
        <v>0.7</v>
      </c>
      <c r="E71" s="10">
        <v>1.06</v>
      </c>
    </row>
    <row r="72" spans="1:5" x14ac:dyDescent="0.55000000000000004">
      <c r="C72" s="5" t="s">
        <v>1641</v>
      </c>
      <c r="D72" s="7">
        <v>0.7</v>
      </c>
      <c r="E72" s="10">
        <v>1.06</v>
      </c>
    </row>
    <row r="73" spans="1:5" x14ac:dyDescent="0.55000000000000004">
      <c r="C73" s="5" t="s">
        <v>1642</v>
      </c>
      <c r="D73" s="7">
        <v>0.61</v>
      </c>
      <c r="E73" s="10">
        <v>0.78</v>
      </c>
    </row>
    <row r="74" spans="1:5" x14ac:dyDescent="0.55000000000000004">
      <c r="C74" s="5" t="s">
        <v>1643</v>
      </c>
      <c r="D74" s="7">
        <v>0.22</v>
      </c>
      <c r="E74" s="10">
        <v>0.42</v>
      </c>
    </row>
    <row r="75" spans="1:5" x14ac:dyDescent="0.55000000000000004">
      <c r="C75" s="5" t="s">
        <v>1644</v>
      </c>
      <c r="D75" s="2">
        <v>0.87</v>
      </c>
      <c r="E75" s="10">
        <v>0.46</v>
      </c>
    </row>
    <row r="76" spans="1:5" x14ac:dyDescent="0.55000000000000004">
      <c r="C76" s="5" t="s">
        <v>1645</v>
      </c>
      <c r="D76" s="7">
        <v>0.83</v>
      </c>
      <c r="E76" s="10">
        <v>0.49</v>
      </c>
    </row>
    <row r="77" spans="1:5" x14ac:dyDescent="0.55000000000000004">
      <c r="C77" s="5" t="s">
        <v>1646</v>
      </c>
      <c r="D77" s="7">
        <v>0.87</v>
      </c>
      <c r="E77" s="10">
        <v>0.69</v>
      </c>
    </row>
    <row r="78" spans="1:5" x14ac:dyDescent="0.55000000000000004">
      <c r="C78" s="5" t="s">
        <v>1647</v>
      </c>
      <c r="D78" s="7">
        <v>0.39</v>
      </c>
      <c r="E78" s="10">
        <v>0.5</v>
      </c>
    </row>
  </sheetData>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69"/>
  <sheetViews>
    <sheetView topLeftCell="A37" zoomScale="90" zoomScaleNormal="90" workbookViewId="0">
      <selection activeCell="F59" sqref="F59"/>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5.83984375" style="2" customWidth="1"/>
    <col min="5" max="5" width="8.578125" style="1" customWidth="1"/>
    <col min="6" max="1024" width="11.41796875" style="1"/>
  </cols>
  <sheetData>
    <row r="1" spans="1:4" x14ac:dyDescent="0.55000000000000004">
      <c r="A1" s="3" t="s">
        <v>0</v>
      </c>
      <c r="D1" s="2" t="s">
        <v>222</v>
      </c>
    </row>
    <row r="2" spans="1:4" x14ac:dyDescent="0.55000000000000004">
      <c r="A2" s="58" t="s">
        <v>2</v>
      </c>
      <c r="B2" s="58"/>
      <c r="D2" s="2" t="s">
        <v>223</v>
      </c>
    </row>
    <row r="3" spans="1:4" x14ac:dyDescent="0.55000000000000004">
      <c r="A3" s="58"/>
      <c r="B3" s="58"/>
      <c r="C3" s="5" t="s">
        <v>4</v>
      </c>
      <c r="D3" s="2" t="s">
        <v>224</v>
      </c>
    </row>
    <row r="4" spans="1:4" x14ac:dyDescent="0.55000000000000004">
      <c r="A4" s="58"/>
      <c r="B4" s="58"/>
      <c r="C4" s="5" t="s">
        <v>6</v>
      </c>
      <c r="D4" s="2">
        <v>2016</v>
      </c>
    </row>
    <row r="5" spans="1:4" ht="26.1" x14ac:dyDescent="0.55000000000000004">
      <c r="A5" s="58"/>
      <c r="B5" s="58"/>
      <c r="C5" s="5" t="s">
        <v>7</v>
      </c>
      <c r="D5" s="2" t="s">
        <v>225</v>
      </c>
    </row>
    <row r="6" spans="1:4" x14ac:dyDescent="0.55000000000000004">
      <c r="A6" s="58"/>
      <c r="B6" s="58"/>
      <c r="C6" s="5" t="s">
        <v>9</v>
      </c>
      <c r="D6" s="2" t="s">
        <v>226</v>
      </c>
    </row>
    <row r="7" spans="1:4" x14ac:dyDescent="0.55000000000000004">
      <c r="A7" s="58"/>
      <c r="B7" s="58"/>
      <c r="C7" s="5" t="s">
        <v>11</v>
      </c>
      <c r="D7" s="2" t="s">
        <v>12</v>
      </c>
    </row>
    <row r="8" spans="1:4" x14ac:dyDescent="0.55000000000000004">
      <c r="A8" s="59" t="s">
        <v>13</v>
      </c>
      <c r="B8" s="59"/>
      <c r="C8" s="5"/>
    </row>
    <row r="9" spans="1:4" ht="26.1" x14ac:dyDescent="0.55000000000000004">
      <c r="A9" s="58"/>
      <c r="B9" s="58"/>
      <c r="C9" s="5" t="s">
        <v>14</v>
      </c>
      <c r="D9" s="2" t="s">
        <v>227</v>
      </c>
    </row>
    <row r="10" spans="1:4" x14ac:dyDescent="0.55000000000000004">
      <c r="A10" s="58"/>
      <c r="B10" s="58"/>
      <c r="C10" s="5" t="s">
        <v>16</v>
      </c>
      <c r="D10" s="2" t="s">
        <v>165</v>
      </c>
    </row>
    <row r="11" spans="1:4" x14ac:dyDescent="0.55000000000000004">
      <c r="A11" s="58"/>
      <c r="B11" s="58"/>
      <c r="C11" s="5" t="s">
        <v>19</v>
      </c>
      <c r="D11" s="2" t="s">
        <v>20</v>
      </c>
    </row>
    <row r="12" spans="1:4" x14ac:dyDescent="0.55000000000000004">
      <c r="A12" s="58"/>
      <c r="B12" s="58"/>
      <c r="C12" s="5" t="s">
        <v>21</v>
      </c>
      <c r="D12" s="2" t="s">
        <v>20</v>
      </c>
    </row>
    <row r="13" spans="1:4" x14ac:dyDescent="0.55000000000000004">
      <c r="A13" s="58"/>
      <c r="B13" s="58"/>
      <c r="C13" s="5" t="s">
        <v>22</v>
      </c>
    </row>
    <row r="14" spans="1:4" x14ac:dyDescent="0.55000000000000004">
      <c r="A14" s="59" t="s">
        <v>24</v>
      </c>
      <c r="B14" s="59"/>
      <c r="C14" s="5"/>
    </row>
    <row r="15" spans="1:4" x14ac:dyDescent="0.55000000000000004">
      <c r="A15" s="58"/>
      <c r="B15" s="58"/>
      <c r="C15" s="5" t="s">
        <v>25</v>
      </c>
      <c r="D15" s="2" t="s">
        <v>122</v>
      </c>
    </row>
    <row r="16" spans="1:4" x14ac:dyDescent="0.55000000000000004">
      <c r="A16" s="58"/>
      <c r="B16" s="58"/>
      <c r="C16" s="5" t="s">
        <v>27</v>
      </c>
      <c r="D16" s="2" t="s">
        <v>228</v>
      </c>
    </row>
    <row r="17" spans="1:6" x14ac:dyDescent="0.55000000000000004">
      <c r="A17" s="59" t="s">
        <v>29</v>
      </c>
      <c r="B17" s="59"/>
      <c r="C17" s="5"/>
    </row>
    <row r="18" spans="1:6" x14ac:dyDescent="0.55000000000000004">
      <c r="A18" s="58"/>
      <c r="B18" s="58"/>
      <c r="C18" s="5" t="s">
        <v>30</v>
      </c>
      <c r="D18" s="2" t="s">
        <v>229</v>
      </c>
    </row>
    <row r="19" spans="1:6" x14ac:dyDescent="0.55000000000000004">
      <c r="A19" s="58"/>
      <c r="B19" s="58"/>
      <c r="C19" s="5" t="s">
        <v>32</v>
      </c>
      <c r="D19" s="2" t="s">
        <v>230</v>
      </c>
    </row>
    <row r="20" spans="1:6" x14ac:dyDescent="0.55000000000000004">
      <c r="A20" s="59" t="s">
        <v>34</v>
      </c>
      <c r="B20" s="59"/>
      <c r="C20" s="5"/>
      <c r="D20" s="1" t="s">
        <v>109</v>
      </c>
      <c r="E20" s="1" t="s">
        <v>222</v>
      </c>
      <c r="F20" s="2" t="s">
        <v>35</v>
      </c>
    </row>
    <row r="21" spans="1:6" s="1" customFormat="1" ht="12.9" x14ac:dyDescent="0.5">
      <c r="A21" s="58"/>
      <c r="B21" s="58"/>
      <c r="C21" s="5" t="s">
        <v>36</v>
      </c>
      <c r="F21" s="2">
        <v>1218</v>
      </c>
    </row>
    <row r="22" spans="1:6" x14ac:dyDescent="0.55000000000000004">
      <c r="A22" s="58"/>
      <c r="B22" s="58"/>
      <c r="C22" s="5" t="s">
        <v>37</v>
      </c>
      <c r="D22" s="1">
        <f>222+275</f>
        <v>497</v>
      </c>
      <c r="E22" s="1">
        <f>274+224</f>
        <v>498</v>
      </c>
      <c r="F22" s="2">
        <f>SUM(D22:E22)</f>
        <v>995</v>
      </c>
    </row>
    <row r="23" spans="1:6" x14ac:dyDescent="0.55000000000000004">
      <c r="A23" s="58"/>
      <c r="B23" s="58"/>
      <c r="C23" s="5" t="s">
        <v>38</v>
      </c>
      <c r="D23" s="1">
        <v>479</v>
      </c>
      <c r="E23" s="1">
        <v>482</v>
      </c>
      <c r="F23" s="2">
        <f>SUM(D23:E23)</f>
        <v>961</v>
      </c>
    </row>
    <row r="24" spans="1:6" x14ac:dyDescent="0.55000000000000004">
      <c r="A24" s="58"/>
      <c r="B24" s="58"/>
      <c r="C24" s="5" t="s">
        <v>39</v>
      </c>
      <c r="D24" s="1">
        <f>D22-D23</f>
        <v>18</v>
      </c>
      <c r="E24" s="1">
        <f>E22-E23</f>
        <v>16</v>
      </c>
      <c r="F24" s="1">
        <f>SUM(D24:E24)</f>
        <v>34</v>
      </c>
    </row>
    <row r="25" spans="1:6" x14ac:dyDescent="0.55000000000000004">
      <c r="A25" s="58"/>
      <c r="B25" s="58"/>
      <c r="C25" s="5" t="s">
        <v>40</v>
      </c>
      <c r="D25" s="7">
        <f>(62+112)/D23</f>
        <v>0.36325678496868474</v>
      </c>
      <c r="E25" s="10">
        <f>(103+61)/E23</f>
        <v>0.34024896265560167</v>
      </c>
    </row>
    <row r="26" spans="1:6" x14ac:dyDescent="0.55000000000000004">
      <c r="A26" s="58"/>
      <c r="B26" s="58"/>
      <c r="C26" s="5" t="s">
        <v>41</v>
      </c>
      <c r="D26" s="7">
        <f>((61.7*274)+(59.4*224))/D23</f>
        <v>63.071816283924846</v>
      </c>
      <c r="E26" s="7">
        <f>((61.7*275)+(60.1*224))/E23</f>
        <v>63.132572614107886</v>
      </c>
    </row>
    <row r="27" spans="1:6" x14ac:dyDescent="0.55000000000000004">
      <c r="A27" s="58"/>
      <c r="B27" s="58"/>
      <c r="C27" s="5" t="s">
        <v>42</v>
      </c>
      <c r="D27" s="7">
        <v>9.1999999999999993</v>
      </c>
      <c r="E27" s="10">
        <v>9.1</v>
      </c>
    </row>
    <row r="28" spans="1:6" x14ac:dyDescent="0.55000000000000004">
      <c r="A28" s="58"/>
      <c r="B28" s="58"/>
      <c r="C28" s="5" t="s">
        <v>43</v>
      </c>
    </row>
    <row r="29" spans="1:6" x14ac:dyDescent="0.55000000000000004">
      <c r="A29" s="58"/>
      <c r="B29" s="58"/>
      <c r="C29" s="5" t="s">
        <v>44</v>
      </c>
    </row>
    <row r="30" spans="1:6" x14ac:dyDescent="0.55000000000000004">
      <c r="A30" s="58"/>
      <c r="B30" s="58"/>
      <c r="C30" s="5" t="s">
        <v>45</v>
      </c>
      <c r="D30" s="2">
        <v>25.25</v>
      </c>
    </row>
    <row r="31" spans="1:6" x14ac:dyDescent="0.55000000000000004">
      <c r="A31" s="58"/>
      <c r="B31" s="58"/>
      <c r="C31" s="5" t="s">
        <v>46</v>
      </c>
      <c r="D31" s="2">
        <v>12.65</v>
      </c>
    </row>
    <row r="32" spans="1:6" x14ac:dyDescent="0.55000000000000004">
      <c r="A32" s="59" t="s">
        <v>47</v>
      </c>
      <c r="B32" s="59"/>
      <c r="C32" s="5"/>
    </row>
    <row r="33" spans="1:11" ht="77.7" x14ac:dyDescent="0.55000000000000004">
      <c r="A33" s="58"/>
      <c r="B33" s="58"/>
      <c r="C33" s="5" t="s">
        <v>48</v>
      </c>
      <c r="D33" s="2" t="s">
        <v>231</v>
      </c>
    </row>
    <row r="34" spans="1:11" x14ac:dyDescent="0.55000000000000004">
      <c r="A34" s="59" t="s">
        <v>50</v>
      </c>
      <c r="B34" s="59"/>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9"/>
      <c r="B36" s="5" t="s">
        <v>59</v>
      </c>
      <c r="C36" s="5"/>
    </row>
    <row r="37" spans="1:11" x14ac:dyDescent="0.55000000000000004">
      <c r="A37" s="59"/>
      <c r="B37" s="5"/>
      <c r="C37" s="5" t="s">
        <v>232</v>
      </c>
      <c r="D37" s="2">
        <v>-1.48</v>
      </c>
      <c r="E37" s="10">
        <f>F37*SQRT(E23)</f>
        <v>2.4149948240110164</v>
      </c>
      <c r="F37" s="10">
        <v>0.11</v>
      </c>
      <c r="G37" s="1">
        <v>-1.7</v>
      </c>
      <c r="H37" s="1">
        <v>-1.27</v>
      </c>
      <c r="I37" s="1">
        <v>1E-4</v>
      </c>
      <c r="J37" s="1">
        <v>4.41</v>
      </c>
    </row>
    <row r="38" spans="1:11" x14ac:dyDescent="0.55000000000000004">
      <c r="A38" s="59"/>
      <c r="B38" s="5"/>
      <c r="C38" s="5" t="s">
        <v>233</v>
      </c>
      <c r="D38" s="2">
        <v>-0.88</v>
      </c>
      <c r="E38" s="10">
        <f>F38*SQRT(D23)</f>
        <v>2.4293536177345612</v>
      </c>
      <c r="F38" s="10">
        <v>0.111</v>
      </c>
      <c r="G38" s="1">
        <v>-1.0900000000000001</v>
      </c>
      <c r="H38" s="1">
        <v>-0.66</v>
      </c>
      <c r="J38" s="1">
        <v>4.5199999999999996</v>
      </c>
    </row>
    <row r="39" spans="1:11" x14ac:dyDescent="0.55000000000000004">
      <c r="A39" s="59"/>
      <c r="B39" s="5"/>
      <c r="C39" s="5"/>
    </row>
    <row r="40" spans="1:11" x14ac:dyDescent="0.55000000000000004">
      <c r="A40" s="59"/>
      <c r="B40" s="5"/>
      <c r="C40" s="5"/>
    </row>
    <row r="41" spans="1:11" x14ac:dyDescent="0.55000000000000004">
      <c r="A41" s="59"/>
      <c r="B41" s="5"/>
      <c r="C41" s="5"/>
    </row>
    <row r="42" spans="1:11" x14ac:dyDescent="0.55000000000000004">
      <c r="A42" s="59"/>
      <c r="B42" s="5"/>
      <c r="C42" s="5"/>
    </row>
    <row r="43" spans="1:11" x14ac:dyDescent="0.55000000000000004">
      <c r="A43" s="59"/>
      <c r="B43" s="5"/>
      <c r="C43" s="5"/>
    </row>
    <row r="44" spans="1:11" x14ac:dyDescent="0.55000000000000004">
      <c r="A44" s="59"/>
      <c r="B44" s="5"/>
      <c r="C44" s="5"/>
    </row>
    <row r="45" spans="1:11" x14ac:dyDescent="0.55000000000000004">
      <c r="A45" s="59"/>
      <c r="B45" s="5" t="s">
        <v>61</v>
      </c>
      <c r="C45" s="5"/>
    </row>
    <row r="46" spans="1:11" x14ac:dyDescent="0.55000000000000004">
      <c r="A46" s="59"/>
      <c r="B46" s="5"/>
      <c r="C46" s="5"/>
    </row>
    <row r="47" spans="1:11" x14ac:dyDescent="0.55000000000000004">
      <c r="A47" s="59"/>
      <c r="B47" s="5"/>
      <c r="C47" s="5"/>
    </row>
    <row r="48" spans="1:11" x14ac:dyDescent="0.55000000000000004">
      <c r="A48" s="59"/>
      <c r="B48" s="5"/>
      <c r="C48" s="5"/>
    </row>
    <row r="49" spans="1:3" x14ac:dyDescent="0.55000000000000004">
      <c r="A49" s="59"/>
      <c r="B49" s="5"/>
      <c r="C49" s="5"/>
    </row>
    <row r="50" spans="1:3" x14ac:dyDescent="0.55000000000000004">
      <c r="A50" s="59"/>
      <c r="B50" s="5"/>
      <c r="C50" s="5"/>
    </row>
    <row r="51" spans="1:3" x14ac:dyDescent="0.55000000000000004">
      <c r="A51" s="59"/>
      <c r="B51" s="5"/>
      <c r="C51" s="5"/>
    </row>
    <row r="52" spans="1:3" x14ac:dyDescent="0.55000000000000004">
      <c r="A52" s="59"/>
      <c r="B52" s="5"/>
      <c r="C52" s="5"/>
    </row>
    <row r="53" spans="1:3" x14ac:dyDescent="0.55000000000000004">
      <c r="A53" s="59"/>
      <c r="B53" s="5"/>
      <c r="C53" s="5"/>
    </row>
    <row r="54" spans="1:3" x14ac:dyDescent="0.55000000000000004">
      <c r="A54" s="59"/>
      <c r="B54" s="5"/>
      <c r="C54" s="5"/>
    </row>
    <row r="55" spans="1:3" x14ac:dyDescent="0.55000000000000004">
      <c r="A55" s="59"/>
      <c r="B55" s="5"/>
      <c r="C55" s="5"/>
    </row>
    <row r="56" spans="1:3" x14ac:dyDescent="0.55000000000000004">
      <c r="A56" s="59"/>
      <c r="B56" s="5"/>
      <c r="C56" s="5"/>
    </row>
    <row r="57" spans="1:3" x14ac:dyDescent="0.55000000000000004">
      <c r="A57" s="59"/>
      <c r="B57" s="5"/>
      <c r="C57" s="5"/>
    </row>
    <row r="58" spans="1:3" x14ac:dyDescent="0.55000000000000004">
      <c r="A58" s="59"/>
      <c r="B58" s="5"/>
      <c r="C58" s="5"/>
    </row>
    <row r="59" spans="1:3" x14ac:dyDescent="0.55000000000000004">
      <c r="A59" s="59"/>
      <c r="B59" s="5"/>
      <c r="C59" s="5"/>
    </row>
    <row r="60" spans="1:3" x14ac:dyDescent="0.55000000000000004">
      <c r="A60" s="59"/>
      <c r="B60" s="5"/>
      <c r="C60" s="5"/>
    </row>
    <row r="61" spans="1:3" x14ac:dyDescent="0.55000000000000004">
      <c r="A61" s="59"/>
      <c r="B61" s="5"/>
      <c r="C61" s="5"/>
    </row>
    <row r="62" spans="1:3" x14ac:dyDescent="0.55000000000000004">
      <c r="A62" s="59"/>
      <c r="B62" s="5"/>
      <c r="C62" s="5"/>
    </row>
    <row r="63" spans="1:3" x14ac:dyDescent="0.55000000000000004">
      <c r="A63" s="59"/>
      <c r="B63" s="5"/>
      <c r="C63" s="5"/>
    </row>
    <row r="64" spans="1:3" x14ac:dyDescent="0.55000000000000004">
      <c r="A64" s="59"/>
      <c r="B64" s="5"/>
      <c r="C64" s="5"/>
    </row>
    <row r="65" spans="1:4" x14ac:dyDescent="0.55000000000000004">
      <c r="A65" s="59"/>
      <c r="B65" s="5" t="s">
        <v>62</v>
      </c>
      <c r="C65" s="5"/>
      <c r="D65" s="2">
        <f>24*7</f>
        <v>168</v>
      </c>
    </row>
    <row r="66" spans="1:4" x14ac:dyDescent="0.55000000000000004">
      <c r="A66" s="59"/>
      <c r="B66" s="5" t="s">
        <v>63</v>
      </c>
      <c r="C66" s="5"/>
      <c r="D66" s="2" t="s">
        <v>234</v>
      </c>
    </row>
    <row r="67" spans="1:4" ht="26.1" x14ac:dyDescent="0.55000000000000004">
      <c r="A67" s="59" t="s">
        <v>65</v>
      </c>
      <c r="B67" s="59"/>
      <c r="C67" s="5"/>
      <c r="D67" s="2" t="s">
        <v>235</v>
      </c>
    </row>
    <row r="68" spans="1:4" x14ac:dyDescent="0.55000000000000004">
      <c r="A68" s="3" t="s">
        <v>67</v>
      </c>
    </row>
    <row r="69" spans="1:4" x14ac:dyDescent="0.55000000000000004">
      <c r="A69" s="1" t="s">
        <v>68</v>
      </c>
      <c r="C69" s="1">
        <v>26</v>
      </c>
      <c r="D69" s="2">
        <v>26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dimension ref="A1:AMJ69"/>
  <sheetViews>
    <sheetView topLeftCell="A19" zoomScale="90" zoomScaleNormal="90" workbookViewId="0">
      <selection activeCell="D25" sqref="D25"/>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1.15625" style="1" customWidth="1"/>
    <col min="6" max="6" width="8.15625" style="1" customWidth="1"/>
    <col min="7" max="7" width="5.578125" style="1" customWidth="1"/>
    <col min="8" max="8" width="35.83984375" style="1" customWidth="1"/>
    <col min="9" max="1024" width="11.41796875" style="1"/>
  </cols>
  <sheetData>
    <row r="1" spans="1:4" x14ac:dyDescent="0.55000000000000004">
      <c r="A1" s="3" t="s">
        <v>0</v>
      </c>
      <c r="D1" s="2" t="s">
        <v>269</v>
      </c>
    </row>
    <row r="2" spans="1:4" x14ac:dyDescent="0.55000000000000004">
      <c r="A2" s="58" t="s">
        <v>2</v>
      </c>
      <c r="B2" s="58"/>
      <c r="D2" s="2" t="s">
        <v>1648</v>
      </c>
    </row>
    <row r="3" spans="1:4" x14ac:dyDescent="0.55000000000000004">
      <c r="A3" s="58"/>
      <c r="B3" s="58"/>
      <c r="C3" s="5" t="s">
        <v>4</v>
      </c>
      <c r="D3" s="2" t="s">
        <v>1649</v>
      </c>
    </row>
    <row r="4" spans="1:4" x14ac:dyDescent="0.55000000000000004">
      <c r="A4" s="58"/>
      <c r="B4" s="58"/>
      <c r="C4" s="5" t="s">
        <v>6</v>
      </c>
      <c r="D4" s="2">
        <v>1989</v>
      </c>
    </row>
    <row r="5" spans="1:4" ht="26.1" x14ac:dyDescent="0.55000000000000004">
      <c r="A5" s="58"/>
      <c r="B5" s="58"/>
      <c r="C5" s="5" t="s">
        <v>7</v>
      </c>
      <c r="D5" s="2" t="s">
        <v>1650</v>
      </c>
    </row>
    <row r="6" spans="1:4" x14ac:dyDescent="0.55000000000000004">
      <c r="A6" s="58"/>
      <c r="B6" s="58"/>
      <c r="C6" s="5" t="s">
        <v>9</v>
      </c>
      <c r="D6" s="2" t="s">
        <v>1651</v>
      </c>
    </row>
    <row r="7" spans="1:4" x14ac:dyDescent="0.55000000000000004">
      <c r="A7" s="58"/>
      <c r="B7" s="58"/>
      <c r="C7" s="5" t="s">
        <v>11</v>
      </c>
      <c r="D7" s="2" t="s">
        <v>12</v>
      </c>
    </row>
    <row r="8" spans="1:4" x14ac:dyDescent="0.55000000000000004">
      <c r="A8" s="59" t="s">
        <v>13</v>
      </c>
      <c r="B8" s="59"/>
      <c r="C8" s="5"/>
    </row>
    <row r="9" spans="1:4" x14ac:dyDescent="0.55000000000000004">
      <c r="A9" s="58"/>
      <c r="B9" s="58"/>
      <c r="C9" s="5" t="s">
        <v>14</v>
      </c>
      <c r="D9" s="2" t="s">
        <v>1652</v>
      </c>
    </row>
    <row r="10" spans="1:4" x14ac:dyDescent="0.55000000000000004">
      <c r="A10" s="58"/>
      <c r="B10" s="58"/>
      <c r="C10" s="5" t="s">
        <v>16</v>
      </c>
      <c r="D10" s="2" t="s">
        <v>86</v>
      </c>
    </row>
    <row r="11" spans="1:4" x14ac:dyDescent="0.55000000000000004">
      <c r="A11" s="58"/>
      <c r="B11" s="58"/>
      <c r="C11" s="5" t="s">
        <v>19</v>
      </c>
      <c r="D11" s="2" t="s">
        <v>20</v>
      </c>
    </row>
    <row r="12" spans="1:4" x14ac:dyDescent="0.55000000000000004">
      <c r="A12" s="58"/>
      <c r="B12" s="58"/>
      <c r="C12" s="5" t="s">
        <v>21</v>
      </c>
      <c r="D12" s="2" t="s">
        <v>20</v>
      </c>
    </row>
    <row r="13" spans="1:4" x14ac:dyDescent="0.55000000000000004">
      <c r="A13" s="58"/>
      <c r="B13" s="58"/>
      <c r="C13" s="5" t="s">
        <v>22</v>
      </c>
      <c r="D13" s="2" t="s">
        <v>20</v>
      </c>
    </row>
    <row r="14" spans="1:4" x14ac:dyDescent="0.55000000000000004">
      <c r="A14" s="59" t="s">
        <v>24</v>
      </c>
      <c r="B14" s="59"/>
      <c r="C14" s="5"/>
    </row>
    <row r="15" spans="1:4" x14ac:dyDescent="0.55000000000000004">
      <c r="A15" s="58"/>
      <c r="B15" s="58"/>
      <c r="C15" s="5" t="s">
        <v>25</v>
      </c>
      <c r="D15" s="2" t="s">
        <v>181</v>
      </c>
    </row>
    <row r="16" spans="1:4" x14ac:dyDescent="0.55000000000000004">
      <c r="A16" s="58"/>
      <c r="B16" s="58"/>
      <c r="C16" s="5" t="s">
        <v>27</v>
      </c>
      <c r="D16" s="2" t="s">
        <v>1653</v>
      </c>
    </row>
    <row r="17" spans="1:4" x14ac:dyDescent="0.55000000000000004">
      <c r="A17" s="59" t="s">
        <v>29</v>
      </c>
      <c r="B17" s="59"/>
      <c r="C17" s="5"/>
    </row>
    <row r="18" spans="1:4" ht="26.1" x14ac:dyDescent="0.55000000000000004">
      <c r="A18" s="58"/>
      <c r="B18" s="58"/>
      <c r="C18" s="5" t="s">
        <v>30</v>
      </c>
      <c r="D18" s="2" t="s">
        <v>1654</v>
      </c>
    </row>
    <row r="19" spans="1:4" ht="26.1" x14ac:dyDescent="0.55000000000000004">
      <c r="A19" s="58"/>
      <c r="B19" s="58"/>
      <c r="C19" s="5" t="s">
        <v>32</v>
      </c>
      <c r="D19" s="2" t="s">
        <v>1655</v>
      </c>
    </row>
    <row r="20" spans="1:4" x14ac:dyDescent="0.55000000000000004">
      <c r="A20" s="59" t="s">
        <v>34</v>
      </c>
      <c r="B20" s="59"/>
      <c r="C20" s="5"/>
      <c r="D20" s="2" t="s">
        <v>35</v>
      </c>
    </row>
    <row r="21" spans="1:4" x14ac:dyDescent="0.55000000000000004">
      <c r="A21" s="58"/>
      <c r="B21" s="58"/>
      <c r="C21" s="5" t="s">
        <v>36</v>
      </c>
      <c r="D21" s="2" t="s">
        <v>20</v>
      </c>
    </row>
    <row r="22" spans="1:4" x14ac:dyDescent="0.55000000000000004">
      <c r="A22" s="58"/>
      <c r="B22" s="58"/>
      <c r="C22" s="5" t="s">
        <v>37</v>
      </c>
      <c r="D22" s="2">
        <v>10</v>
      </c>
    </row>
    <row r="23" spans="1:4" x14ac:dyDescent="0.55000000000000004">
      <c r="A23" s="58"/>
      <c r="B23" s="58"/>
      <c r="C23" s="5" t="s">
        <v>38</v>
      </c>
      <c r="D23" s="2">
        <v>10</v>
      </c>
    </row>
    <row r="24" spans="1:4" x14ac:dyDescent="0.55000000000000004">
      <c r="A24" s="58"/>
      <c r="B24" s="58"/>
      <c r="C24" s="5" t="s">
        <v>39</v>
      </c>
      <c r="D24" s="2">
        <v>0</v>
      </c>
    </row>
    <row r="25" spans="1:4" x14ac:dyDescent="0.55000000000000004">
      <c r="A25" s="58"/>
      <c r="B25" s="58"/>
      <c r="C25" s="5" t="s">
        <v>40</v>
      </c>
      <c r="D25" s="2" t="s">
        <v>20</v>
      </c>
    </row>
    <row r="26" spans="1:4" x14ac:dyDescent="0.55000000000000004">
      <c r="A26" s="58"/>
      <c r="B26" s="58"/>
      <c r="C26" s="5" t="s">
        <v>41</v>
      </c>
      <c r="D26" s="2">
        <v>60</v>
      </c>
    </row>
    <row r="27" spans="1:4" x14ac:dyDescent="0.55000000000000004">
      <c r="A27" s="58"/>
      <c r="B27" s="58"/>
      <c r="C27" s="5" t="s">
        <v>42</v>
      </c>
      <c r="D27" s="2" t="s">
        <v>20</v>
      </c>
    </row>
    <row r="28" spans="1:4" x14ac:dyDescent="0.55000000000000004">
      <c r="A28" s="58"/>
      <c r="B28" s="58"/>
      <c r="C28" s="5" t="s">
        <v>43</v>
      </c>
      <c r="D28" s="2" t="s">
        <v>20</v>
      </c>
    </row>
    <row r="29" spans="1:4" x14ac:dyDescent="0.55000000000000004">
      <c r="A29" s="58"/>
      <c r="B29" s="58"/>
      <c r="C29" s="5" t="s">
        <v>44</v>
      </c>
      <c r="D29" s="2" t="s">
        <v>20</v>
      </c>
    </row>
    <row r="30" spans="1:4" x14ac:dyDescent="0.55000000000000004">
      <c r="A30" s="58"/>
      <c r="B30" s="58"/>
      <c r="C30" s="5" t="s">
        <v>45</v>
      </c>
      <c r="D30" s="2" t="s">
        <v>20</v>
      </c>
    </row>
    <row r="31" spans="1:4" x14ac:dyDescent="0.55000000000000004">
      <c r="A31" s="58"/>
      <c r="B31" s="58"/>
      <c r="C31" s="5" t="s">
        <v>46</v>
      </c>
      <c r="D31" s="2" t="s">
        <v>20</v>
      </c>
    </row>
    <row r="32" spans="1:4" x14ac:dyDescent="0.55000000000000004">
      <c r="A32" s="59" t="s">
        <v>47</v>
      </c>
      <c r="B32" s="59"/>
      <c r="C32" s="5"/>
    </row>
    <row r="33" spans="1:10" ht="26.1" x14ac:dyDescent="0.55000000000000004">
      <c r="A33" s="58"/>
      <c r="B33" s="58"/>
      <c r="C33" s="5" t="s">
        <v>48</v>
      </c>
      <c r="D33" s="2" t="s">
        <v>1656</v>
      </c>
    </row>
    <row r="34" spans="1:10" x14ac:dyDescent="0.55000000000000004">
      <c r="A34" s="59" t="s">
        <v>50</v>
      </c>
      <c r="B34" s="59"/>
      <c r="C34" s="5"/>
    </row>
    <row r="35" spans="1:10" x14ac:dyDescent="0.55000000000000004">
      <c r="A35" s="8"/>
      <c r="B35" s="8"/>
      <c r="C35" s="5"/>
      <c r="E35" s="57"/>
    </row>
    <row r="36" spans="1:10" x14ac:dyDescent="0.55000000000000004">
      <c r="A36" s="59"/>
      <c r="B36" s="5" t="s">
        <v>59</v>
      </c>
      <c r="C36" s="5"/>
      <c r="D36" s="2" t="s">
        <v>51</v>
      </c>
      <c r="E36" s="1" t="s">
        <v>52</v>
      </c>
      <c r="F36" s="1" t="s">
        <v>53</v>
      </c>
      <c r="G36" s="1" t="s">
        <v>54</v>
      </c>
      <c r="H36" s="1" t="s">
        <v>55</v>
      </c>
      <c r="I36" s="1" t="s">
        <v>56</v>
      </c>
      <c r="J36" s="1" t="s">
        <v>57</v>
      </c>
    </row>
    <row r="37" spans="1:10" x14ac:dyDescent="0.55000000000000004">
      <c r="A37" s="59"/>
      <c r="B37" s="5"/>
      <c r="C37" s="5" t="s">
        <v>1657</v>
      </c>
      <c r="D37" s="7">
        <v>1.5343511450381599</v>
      </c>
      <c r="E37" s="10">
        <f>F37*SQRT(10)</f>
        <v>1.9311619298738407</v>
      </c>
      <c r="F37" s="10">
        <v>0.61068702290077004</v>
      </c>
      <c r="H37" s="39"/>
    </row>
    <row r="38" spans="1:10" x14ac:dyDescent="0.55000000000000004">
      <c r="A38" s="59"/>
      <c r="B38" s="5"/>
      <c r="C38" s="5" t="s">
        <v>1658</v>
      </c>
      <c r="D38" s="7">
        <v>0.26717557251908503</v>
      </c>
      <c r="E38" s="10">
        <f>F38*SQRT(10)</f>
        <v>0.43451143422160382</v>
      </c>
      <c r="F38" s="10">
        <v>0.13740458015266999</v>
      </c>
    </row>
    <row r="39" spans="1:10" x14ac:dyDescent="0.55000000000000004">
      <c r="A39" s="59"/>
      <c r="B39" s="5"/>
    </row>
    <row r="40" spans="1:10" x14ac:dyDescent="0.55000000000000004">
      <c r="A40" s="59"/>
      <c r="B40" s="5"/>
      <c r="C40" s="5"/>
    </row>
    <row r="41" spans="1:10" s="1" customFormat="1" ht="12.9" x14ac:dyDescent="0.5">
      <c r="A41" s="59"/>
      <c r="B41" s="5"/>
      <c r="C41" s="5"/>
    </row>
    <row r="42" spans="1:10" x14ac:dyDescent="0.55000000000000004">
      <c r="A42" s="59"/>
      <c r="B42" s="5"/>
      <c r="C42" s="5"/>
    </row>
    <row r="43" spans="1:10" x14ac:dyDescent="0.55000000000000004">
      <c r="A43" s="59"/>
      <c r="B43" s="5"/>
      <c r="C43" s="5"/>
    </row>
    <row r="44" spans="1:10" x14ac:dyDescent="0.55000000000000004">
      <c r="A44" s="59"/>
      <c r="B44" s="5"/>
      <c r="C44" s="5"/>
    </row>
    <row r="45" spans="1:10" x14ac:dyDescent="0.55000000000000004">
      <c r="A45" s="59"/>
      <c r="B45" s="5" t="s">
        <v>61</v>
      </c>
      <c r="C45" s="5"/>
    </row>
    <row r="46" spans="1:10" x14ac:dyDescent="0.55000000000000004">
      <c r="A46" s="59"/>
      <c r="B46" s="5"/>
      <c r="C46" s="1" t="s">
        <v>79</v>
      </c>
      <c r="D46" s="2">
        <v>1</v>
      </c>
    </row>
    <row r="47" spans="1:10" x14ac:dyDescent="0.55000000000000004">
      <c r="A47" s="59"/>
      <c r="B47" s="5"/>
    </row>
    <row r="48" spans="1:10" x14ac:dyDescent="0.55000000000000004">
      <c r="A48" s="59"/>
      <c r="B48" s="5"/>
    </row>
    <row r="49" spans="1:3" x14ac:dyDescent="0.55000000000000004">
      <c r="A49" s="59"/>
      <c r="B49" s="5"/>
    </row>
    <row r="50" spans="1:3" x14ac:dyDescent="0.55000000000000004">
      <c r="A50" s="59"/>
      <c r="B50" s="5"/>
    </row>
    <row r="51" spans="1:3" x14ac:dyDescent="0.55000000000000004">
      <c r="A51" s="59"/>
      <c r="B51" s="5"/>
    </row>
    <row r="52" spans="1:3" x14ac:dyDescent="0.55000000000000004">
      <c r="A52" s="59"/>
      <c r="B52" s="5"/>
    </row>
    <row r="53" spans="1:3" x14ac:dyDescent="0.55000000000000004">
      <c r="A53" s="59"/>
      <c r="B53" s="5"/>
    </row>
    <row r="54" spans="1:3" x14ac:dyDescent="0.55000000000000004">
      <c r="A54" s="59"/>
      <c r="B54" s="5"/>
    </row>
    <row r="55" spans="1:3" x14ac:dyDescent="0.55000000000000004">
      <c r="A55" s="59"/>
      <c r="B55" s="5"/>
      <c r="C55" s="5"/>
    </row>
    <row r="56" spans="1:3" x14ac:dyDescent="0.55000000000000004">
      <c r="A56" s="59"/>
      <c r="B56" s="5"/>
      <c r="C56" s="5"/>
    </row>
    <row r="57" spans="1:3" x14ac:dyDescent="0.55000000000000004">
      <c r="A57" s="59"/>
      <c r="B57" s="5"/>
      <c r="C57" s="5"/>
    </row>
    <row r="58" spans="1:3" x14ac:dyDescent="0.55000000000000004">
      <c r="A58" s="59"/>
      <c r="B58" s="5"/>
      <c r="C58" s="5"/>
    </row>
    <row r="59" spans="1:3" x14ac:dyDescent="0.55000000000000004">
      <c r="A59" s="59"/>
      <c r="B59" s="5"/>
      <c r="C59" s="5"/>
    </row>
    <row r="60" spans="1:3" x14ac:dyDescent="0.55000000000000004">
      <c r="A60" s="59"/>
      <c r="B60" s="5"/>
      <c r="C60" s="5"/>
    </row>
    <row r="61" spans="1:3" x14ac:dyDescent="0.55000000000000004">
      <c r="A61" s="59"/>
      <c r="B61" s="5"/>
      <c r="C61" s="5"/>
    </row>
    <row r="62" spans="1:3" x14ac:dyDescent="0.55000000000000004">
      <c r="A62" s="59"/>
      <c r="B62" s="5"/>
      <c r="C62" s="5"/>
    </row>
    <row r="63" spans="1:3" x14ac:dyDescent="0.55000000000000004">
      <c r="A63" s="59"/>
      <c r="B63" s="5"/>
      <c r="C63" s="5"/>
    </row>
    <row r="64" spans="1:3" x14ac:dyDescent="0.55000000000000004">
      <c r="A64" s="59"/>
      <c r="B64" s="5"/>
      <c r="C64" s="5"/>
    </row>
    <row r="65" spans="1:6" x14ac:dyDescent="0.55000000000000004">
      <c r="A65" s="59"/>
      <c r="B65" s="5" t="s">
        <v>62</v>
      </c>
      <c r="C65" s="5"/>
      <c r="D65" s="2">
        <v>3</v>
      </c>
    </row>
    <row r="66" spans="1:6" x14ac:dyDescent="0.55000000000000004">
      <c r="A66" s="59"/>
      <c r="B66" s="5" t="s">
        <v>63</v>
      </c>
      <c r="C66" s="5"/>
      <c r="D66" s="2" t="s">
        <v>1609</v>
      </c>
    </row>
    <row r="67" spans="1:6" x14ac:dyDescent="0.55000000000000004">
      <c r="A67" s="59" t="s">
        <v>65</v>
      </c>
      <c r="B67" s="59"/>
      <c r="C67" s="5"/>
    </row>
    <row r="68" spans="1:6" x14ac:dyDescent="0.55000000000000004">
      <c r="A68" s="3" t="s">
        <v>67</v>
      </c>
    </row>
    <row r="69" spans="1:6" x14ac:dyDescent="0.55000000000000004">
      <c r="A69" s="1" t="s">
        <v>68</v>
      </c>
      <c r="C69" s="1">
        <v>8</v>
      </c>
      <c r="D69" s="2">
        <v>22</v>
      </c>
      <c r="E69" s="1">
        <v>6</v>
      </c>
      <c r="F69" s="1">
        <v>22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dimension ref="A1:AMJ73"/>
  <sheetViews>
    <sheetView topLeftCell="A47" zoomScale="90" zoomScaleNormal="90" workbookViewId="0">
      <selection activeCell="D26" sqref="D26"/>
    </sheetView>
  </sheetViews>
  <sheetFormatPr baseColWidth="10" defaultColWidth="11.41796875" defaultRowHeight="14.4" x14ac:dyDescent="0.55000000000000004"/>
  <cols>
    <col min="1" max="1" width="10.83984375" style="1" customWidth="1"/>
    <col min="2" max="2" width="18.83984375" style="1" customWidth="1"/>
    <col min="3" max="3" width="48.578125" style="1" customWidth="1"/>
    <col min="4" max="4" width="56.15625" style="2" customWidth="1"/>
    <col min="5" max="5" width="6.41796875" style="1" customWidth="1"/>
    <col min="6" max="6" width="4.83984375" style="1" customWidth="1"/>
    <col min="7" max="1024" width="11.41796875" style="1"/>
  </cols>
  <sheetData>
    <row r="1" spans="1:5" x14ac:dyDescent="0.55000000000000004">
      <c r="A1" s="3" t="s">
        <v>0</v>
      </c>
      <c r="D1" s="2" t="s">
        <v>69</v>
      </c>
    </row>
    <row r="2" spans="1:5" x14ac:dyDescent="0.55000000000000004">
      <c r="A2" s="58" t="s">
        <v>2</v>
      </c>
      <c r="B2" s="58"/>
      <c r="D2" s="2" t="s">
        <v>1659</v>
      </c>
    </row>
    <row r="3" spans="1:5" x14ac:dyDescent="0.55000000000000004">
      <c r="A3" s="58"/>
      <c r="B3" s="58"/>
      <c r="C3" s="5" t="s">
        <v>4</v>
      </c>
      <c r="D3" s="2" t="s">
        <v>1660</v>
      </c>
    </row>
    <row r="4" spans="1:5" x14ac:dyDescent="0.55000000000000004">
      <c r="A4" s="58"/>
      <c r="B4" s="58"/>
      <c r="C4" s="5" t="s">
        <v>6</v>
      </c>
      <c r="D4" s="2">
        <v>2019</v>
      </c>
    </row>
    <row r="5" spans="1:5" ht="26.1" x14ac:dyDescent="0.55000000000000004">
      <c r="A5" s="58"/>
      <c r="B5" s="58"/>
      <c r="C5" s="5" t="s">
        <v>7</v>
      </c>
      <c r="D5" s="2" t="s">
        <v>1661</v>
      </c>
    </row>
    <row r="6" spans="1:5" x14ac:dyDescent="0.55000000000000004">
      <c r="A6" s="58"/>
      <c r="B6" s="58"/>
      <c r="C6" s="5" t="s">
        <v>9</v>
      </c>
      <c r="D6" s="2" t="s">
        <v>1662</v>
      </c>
    </row>
    <row r="7" spans="1:5" x14ac:dyDescent="0.55000000000000004">
      <c r="A7" s="58"/>
      <c r="B7" s="58"/>
      <c r="C7" s="5" t="s">
        <v>11</v>
      </c>
      <c r="D7" s="2" t="s">
        <v>12</v>
      </c>
    </row>
    <row r="8" spans="1:5" x14ac:dyDescent="0.55000000000000004">
      <c r="A8" s="59" t="s">
        <v>13</v>
      </c>
      <c r="B8" s="59"/>
      <c r="C8" s="5"/>
    </row>
    <row r="9" spans="1:5" ht="26.1" x14ac:dyDescent="0.55000000000000004">
      <c r="A9" s="58"/>
      <c r="B9" s="58"/>
      <c r="C9" s="5" t="s">
        <v>14</v>
      </c>
      <c r="D9" s="2" t="s">
        <v>1663</v>
      </c>
    </row>
    <row r="10" spans="1:5" x14ac:dyDescent="0.55000000000000004">
      <c r="A10" s="58"/>
      <c r="B10" s="58"/>
      <c r="C10" s="5" t="s">
        <v>16</v>
      </c>
      <c r="D10" s="2" t="s">
        <v>17</v>
      </c>
      <c r="E10" s="1" t="s">
        <v>18</v>
      </c>
    </row>
    <row r="11" spans="1:5" x14ac:dyDescent="0.55000000000000004">
      <c r="A11" s="58"/>
      <c r="B11" s="58"/>
      <c r="C11" s="5" t="s">
        <v>19</v>
      </c>
      <c r="D11" s="2" t="s">
        <v>20</v>
      </c>
    </row>
    <row r="12" spans="1:5" x14ac:dyDescent="0.55000000000000004">
      <c r="A12" s="58"/>
      <c r="B12" s="58"/>
      <c r="C12" s="5" t="s">
        <v>21</v>
      </c>
      <c r="D12" s="2" t="s">
        <v>20</v>
      </c>
    </row>
    <row r="13" spans="1:5" x14ac:dyDescent="0.55000000000000004">
      <c r="A13" s="58"/>
      <c r="B13" s="58"/>
      <c r="C13" s="5" t="s">
        <v>22</v>
      </c>
      <c r="D13" s="2" t="s">
        <v>1664</v>
      </c>
    </row>
    <row r="14" spans="1:5" x14ac:dyDescent="0.55000000000000004">
      <c r="A14" s="59" t="s">
        <v>24</v>
      </c>
      <c r="B14" s="59"/>
      <c r="C14" s="5"/>
    </row>
    <row r="15" spans="1:5" x14ac:dyDescent="0.55000000000000004">
      <c r="A15" s="58"/>
      <c r="B15" s="58"/>
      <c r="C15" s="5" t="s">
        <v>25</v>
      </c>
      <c r="D15" s="2" t="s">
        <v>1665</v>
      </c>
    </row>
    <row r="16" spans="1:5" x14ac:dyDescent="0.55000000000000004">
      <c r="A16" s="58"/>
      <c r="B16" s="58"/>
      <c r="C16" s="5" t="s">
        <v>27</v>
      </c>
      <c r="D16" s="2" t="s">
        <v>1666</v>
      </c>
    </row>
    <row r="17" spans="1:4" x14ac:dyDescent="0.55000000000000004">
      <c r="A17" s="59" t="s">
        <v>29</v>
      </c>
      <c r="B17" s="59"/>
      <c r="C17" s="5"/>
    </row>
    <row r="18" spans="1:4" ht="26.1" x14ac:dyDescent="0.55000000000000004">
      <c r="A18" s="58"/>
      <c r="B18" s="58"/>
      <c r="C18" s="5" t="s">
        <v>30</v>
      </c>
      <c r="D18" s="2" t="s">
        <v>1667</v>
      </c>
    </row>
    <row r="19" spans="1:4" ht="26.1" x14ac:dyDescent="0.55000000000000004">
      <c r="A19" s="58"/>
      <c r="B19" s="58"/>
      <c r="C19" s="5" t="s">
        <v>32</v>
      </c>
      <c r="D19" s="2" t="s">
        <v>1668</v>
      </c>
    </row>
    <row r="20" spans="1:4" x14ac:dyDescent="0.55000000000000004">
      <c r="A20" s="59" t="s">
        <v>34</v>
      </c>
      <c r="B20" s="59"/>
      <c r="C20" s="5"/>
      <c r="D20" s="2" t="s">
        <v>35</v>
      </c>
    </row>
    <row r="21" spans="1:4" x14ac:dyDescent="0.55000000000000004">
      <c r="A21" s="58"/>
      <c r="B21" s="58"/>
      <c r="C21" s="5" t="s">
        <v>36</v>
      </c>
      <c r="D21" s="2" t="s">
        <v>20</v>
      </c>
    </row>
    <row r="22" spans="1:4" x14ac:dyDescent="0.55000000000000004">
      <c r="A22" s="58"/>
      <c r="B22" s="58"/>
      <c r="C22" s="5" t="s">
        <v>37</v>
      </c>
      <c r="D22" s="2">
        <v>21</v>
      </c>
    </row>
    <row r="23" spans="1:4" x14ac:dyDescent="0.55000000000000004">
      <c r="A23" s="58"/>
      <c r="B23" s="58"/>
      <c r="C23" s="5" t="s">
        <v>38</v>
      </c>
      <c r="D23" s="2">
        <v>21</v>
      </c>
    </row>
    <row r="24" spans="1:4" x14ac:dyDescent="0.55000000000000004">
      <c r="A24" s="58"/>
      <c r="B24" s="58"/>
      <c r="C24" s="5" t="s">
        <v>39</v>
      </c>
      <c r="D24" s="2">
        <v>3</v>
      </c>
    </row>
    <row r="25" spans="1:4" x14ac:dyDescent="0.55000000000000004">
      <c r="A25" s="58"/>
      <c r="B25" s="58"/>
      <c r="C25" s="5" t="s">
        <v>40</v>
      </c>
      <c r="D25" s="7">
        <v>33.299999999999997</v>
      </c>
    </row>
    <row r="26" spans="1:4" x14ac:dyDescent="0.55000000000000004">
      <c r="A26" s="58"/>
      <c r="B26" s="58"/>
      <c r="C26" s="5" t="s">
        <v>41</v>
      </c>
      <c r="D26" s="7">
        <v>66.63</v>
      </c>
    </row>
    <row r="27" spans="1:4" x14ac:dyDescent="0.55000000000000004">
      <c r="A27" s="58"/>
      <c r="B27" s="58"/>
      <c r="C27" s="5" t="s">
        <v>42</v>
      </c>
      <c r="D27" s="7">
        <v>9.3000000000000007</v>
      </c>
    </row>
    <row r="28" spans="1:4" x14ac:dyDescent="0.55000000000000004">
      <c r="A28" s="58"/>
      <c r="B28" s="58"/>
      <c r="C28" s="5" t="s">
        <v>43</v>
      </c>
    </row>
    <row r="29" spans="1:4" x14ac:dyDescent="0.55000000000000004">
      <c r="A29" s="58"/>
      <c r="B29" s="58"/>
      <c r="C29" s="5" t="s">
        <v>44</v>
      </c>
    </row>
    <row r="30" spans="1:4" x14ac:dyDescent="0.55000000000000004">
      <c r="A30" s="58"/>
      <c r="B30" s="58"/>
      <c r="C30" s="5" t="s">
        <v>45</v>
      </c>
      <c r="D30" s="7">
        <v>29.19</v>
      </c>
    </row>
    <row r="31" spans="1:4" x14ac:dyDescent="0.55000000000000004">
      <c r="A31" s="58"/>
      <c r="B31" s="58"/>
      <c r="C31" s="5" t="s">
        <v>46</v>
      </c>
      <c r="D31" s="7">
        <v>10.4</v>
      </c>
    </row>
    <row r="32" spans="1:4" x14ac:dyDescent="0.55000000000000004">
      <c r="A32" s="59" t="s">
        <v>47</v>
      </c>
      <c r="B32" s="59"/>
      <c r="C32" s="5"/>
    </row>
    <row r="33" spans="1:10" ht="51.9" x14ac:dyDescent="0.55000000000000004">
      <c r="A33" s="58"/>
      <c r="B33" s="58"/>
      <c r="C33" s="5" t="s">
        <v>48</v>
      </c>
      <c r="D33" s="2" t="s">
        <v>1669</v>
      </c>
    </row>
    <row r="34" spans="1:10" x14ac:dyDescent="0.55000000000000004">
      <c r="A34" s="59" t="s">
        <v>50</v>
      </c>
      <c r="B34" s="59"/>
      <c r="C34" s="5"/>
    </row>
    <row r="35" spans="1:10" x14ac:dyDescent="0.55000000000000004">
      <c r="A35" s="8"/>
      <c r="B35" s="8"/>
      <c r="C35" s="5"/>
    </row>
    <row r="36" spans="1:10" x14ac:dyDescent="0.55000000000000004">
      <c r="A36" s="59"/>
      <c r="B36" s="5" t="s">
        <v>59</v>
      </c>
      <c r="C36" s="5"/>
      <c r="D36" s="2" t="s">
        <v>51</v>
      </c>
      <c r="E36" s="1" t="s">
        <v>52</v>
      </c>
      <c r="F36" s="1" t="s">
        <v>53</v>
      </c>
      <c r="G36" s="1" t="s">
        <v>54</v>
      </c>
      <c r="H36" s="1" t="s">
        <v>55</v>
      </c>
      <c r="I36" s="1" t="s">
        <v>56</v>
      </c>
      <c r="J36" s="1" t="s">
        <v>57</v>
      </c>
    </row>
    <row r="37" spans="1:10" x14ac:dyDescent="0.55000000000000004">
      <c r="A37" s="59"/>
      <c r="B37" s="5"/>
      <c r="C37" s="5" t="s">
        <v>1670</v>
      </c>
      <c r="D37" s="7">
        <v>7.7619047619047601</v>
      </c>
      <c r="E37" s="10">
        <v>1.7292993351285899</v>
      </c>
    </row>
    <row r="38" spans="1:10" x14ac:dyDescent="0.55000000000000004">
      <c r="A38" s="59"/>
      <c r="B38" s="5"/>
      <c r="C38" s="5" t="s">
        <v>1671</v>
      </c>
      <c r="D38" s="7">
        <v>4.9047619047619104</v>
      </c>
      <c r="E38" s="10">
        <v>2.1657507221460599</v>
      </c>
    </row>
    <row r="39" spans="1:10" x14ac:dyDescent="0.55000000000000004">
      <c r="A39" s="59"/>
      <c r="B39" s="5"/>
    </row>
    <row r="40" spans="1:10" x14ac:dyDescent="0.55000000000000004">
      <c r="A40" s="59"/>
      <c r="B40" s="5"/>
    </row>
    <row r="41" spans="1:10" x14ac:dyDescent="0.55000000000000004">
      <c r="A41" s="59"/>
      <c r="B41" s="5"/>
      <c r="C41" s="5"/>
    </row>
    <row r="42" spans="1:10" x14ac:dyDescent="0.55000000000000004">
      <c r="A42" s="59"/>
      <c r="B42" s="5"/>
      <c r="C42" s="5"/>
    </row>
    <row r="43" spans="1:10" x14ac:dyDescent="0.55000000000000004">
      <c r="A43" s="59"/>
      <c r="B43" s="5"/>
      <c r="C43" s="5"/>
    </row>
    <row r="44" spans="1:10" x14ac:dyDescent="0.55000000000000004">
      <c r="A44" s="59"/>
      <c r="B44" s="5"/>
      <c r="C44" s="5"/>
    </row>
    <row r="45" spans="1:10" x14ac:dyDescent="0.55000000000000004">
      <c r="A45" s="59"/>
      <c r="B45" s="5" t="s">
        <v>61</v>
      </c>
      <c r="C45" s="5"/>
    </row>
    <row r="46" spans="1:10" x14ac:dyDescent="0.55000000000000004">
      <c r="A46" s="59"/>
      <c r="B46" s="5"/>
    </row>
    <row r="47" spans="1:10" x14ac:dyDescent="0.55000000000000004">
      <c r="A47" s="59"/>
      <c r="B47" s="5"/>
    </row>
    <row r="48" spans="1:10" x14ac:dyDescent="0.55000000000000004">
      <c r="A48" s="59"/>
      <c r="B48" s="5"/>
    </row>
    <row r="49" spans="1:3" x14ac:dyDescent="0.55000000000000004">
      <c r="A49" s="59"/>
      <c r="B49" s="5"/>
      <c r="C49" s="5"/>
    </row>
    <row r="50" spans="1:3" x14ac:dyDescent="0.55000000000000004">
      <c r="A50" s="59"/>
      <c r="B50" s="5"/>
      <c r="C50" s="5"/>
    </row>
    <row r="51" spans="1:3" x14ac:dyDescent="0.55000000000000004">
      <c r="A51" s="59"/>
      <c r="B51" s="5"/>
      <c r="C51" s="5"/>
    </row>
    <row r="52" spans="1:3" x14ac:dyDescent="0.55000000000000004">
      <c r="A52" s="59"/>
      <c r="B52" s="5"/>
      <c r="C52" s="5"/>
    </row>
    <row r="53" spans="1:3" x14ac:dyDescent="0.55000000000000004">
      <c r="A53" s="59"/>
      <c r="B53" s="5"/>
      <c r="C53" s="5"/>
    </row>
    <row r="54" spans="1:3" x14ac:dyDescent="0.55000000000000004">
      <c r="A54" s="59"/>
      <c r="B54" s="5"/>
      <c r="C54" s="5"/>
    </row>
    <row r="55" spans="1:3" x14ac:dyDescent="0.55000000000000004">
      <c r="A55" s="59"/>
      <c r="B55" s="5"/>
      <c r="C55" s="5"/>
    </row>
    <row r="56" spans="1:3" x14ac:dyDescent="0.55000000000000004">
      <c r="A56" s="59"/>
      <c r="B56" s="5"/>
      <c r="C56" s="5"/>
    </row>
    <row r="57" spans="1:3" x14ac:dyDescent="0.55000000000000004">
      <c r="A57" s="59"/>
      <c r="B57" s="5"/>
      <c r="C57" s="5"/>
    </row>
    <row r="58" spans="1:3" x14ac:dyDescent="0.55000000000000004">
      <c r="A58" s="59"/>
      <c r="B58" s="5"/>
      <c r="C58" s="5"/>
    </row>
    <row r="59" spans="1:3" x14ac:dyDescent="0.55000000000000004">
      <c r="A59" s="59"/>
      <c r="B59" s="5"/>
    </row>
    <row r="60" spans="1:3" x14ac:dyDescent="0.55000000000000004">
      <c r="A60" s="59"/>
      <c r="B60" s="5"/>
      <c r="C60" s="5"/>
    </row>
    <row r="61" spans="1:3" x14ac:dyDescent="0.55000000000000004">
      <c r="A61" s="59"/>
      <c r="B61" s="5"/>
      <c r="C61" s="5"/>
    </row>
    <row r="62" spans="1:3" x14ac:dyDescent="0.55000000000000004">
      <c r="A62" s="59"/>
      <c r="B62" s="5"/>
      <c r="C62" s="5"/>
    </row>
    <row r="63" spans="1:3" x14ac:dyDescent="0.55000000000000004">
      <c r="A63" s="59"/>
      <c r="B63" s="5"/>
      <c r="C63" s="5"/>
    </row>
    <row r="64" spans="1:3" x14ac:dyDescent="0.55000000000000004">
      <c r="A64" s="59"/>
      <c r="B64" s="5"/>
      <c r="C64" s="5"/>
    </row>
    <row r="65" spans="1:5" x14ac:dyDescent="0.55000000000000004">
      <c r="A65" s="59"/>
      <c r="B65" s="5" t="s">
        <v>62</v>
      </c>
      <c r="C65" s="5"/>
      <c r="D65" s="7">
        <f>1/1440*84.76</f>
        <v>5.8861111111111114E-2</v>
      </c>
      <c r="E65" s="1" t="s">
        <v>51</v>
      </c>
    </row>
    <row r="66" spans="1:5" x14ac:dyDescent="0.55000000000000004">
      <c r="A66" s="59"/>
      <c r="B66" s="5" t="s">
        <v>63</v>
      </c>
      <c r="C66" s="5"/>
      <c r="D66" s="2" t="s">
        <v>1672</v>
      </c>
    </row>
    <row r="67" spans="1:5" ht="26.1" x14ac:dyDescent="0.55000000000000004">
      <c r="A67" s="59" t="s">
        <v>65</v>
      </c>
      <c r="B67" s="59"/>
      <c r="C67" s="5"/>
      <c r="D67" s="2" t="s">
        <v>1673</v>
      </c>
    </row>
    <row r="68" spans="1:5" x14ac:dyDescent="0.55000000000000004">
      <c r="A68" s="3" t="s">
        <v>67</v>
      </c>
    </row>
    <row r="69" spans="1:5" x14ac:dyDescent="0.55000000000000004">
      <c r="A69" s="1" t="s">
        <v>68</v>
      </c>
      <c r="C69" s="1">
        <v>16</v>
      </c>
      <c r="D69" s="2">
        <v>22</v>
      </c>
    </row>
    <row r="70" spans="1:5" x14ac:dyDescent="0.55000000000000004">
      <c r="B70" s="1" t="s">
        <v>952</v>
      </c>
    </row>
    <row r="71" spans="1:5" x14ac:dyDescent="0.55000000000000004">
      <c r="C71" s="5" t="s">
        <v>1674</v>
      </c>
      <c r="D71" s="7">
        <v>29.19</v>
      </c>
      <c r="E71" s="10">
        <v>10.4</v>
      </c>
    </row>
    <row r="72" spans="1:5" x14ac:dyDescent="0.55000000000000004">
      <c r="C72" s="5" t="s">
        <v>1674</v>
      </c>
      <c r="D72" s="7">
        <v>19</v>
      </c>
      <c r="E72" s="10">
        <v>8.1199999999999992</v>
      </c>
    </row>
    <row r="73" spans="1:5" x14ac:dyDescent="0.55000000000000004">
      <c r="C73" s="5" t="s">
        <v>1675</v>
      </c>
      <c r="D73" s="2">
        <v>25.4</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dimension ref="A1:AMJ69"/>
  <sheetViews>
    <sheetView topLeftCell="A38" zoomScale="90" zoomScaleNormal="90" workbookViewId="0">
      <selection activeCell="C70" sqref="C70"/>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4.15625" style="1" customWidth="1"/>
    <col min="6" max="6" width="4.83984375" style="1" customWidth="1"/>
    <col min="7" max="1024" width="11.41796875" style="1"/>
  </cols>
  <sheetData>
    <row r="1" spans="1:4" x14ac:dyDescent="0.55000000000000004">
      <c r="A1" s="3" t="s">
        <v>0</v>
      </c>
      <c r="D1" s="2" t="s">
        <v>209</v>
      </c>
    </row>
    <row r="2" spans="1:4" x14ac:dyDescent="0.55000000000000004">
      <c r="A2" s="58" t="s">
        <v>2</v>
      </c>
      <c r="B2" s="58"/>
      <c r="D2" s="2" t="s">
        <v>1676</v>
      </c>
    </row>
    <row r="3" spans="1:4" x14ac:dyDescent="0.55000000000000004">
      <c r="A3" s="58"/>
      <c r="B3" s="58"/>
      <c r="C3" s="5" t="s">
        <v>4</v>
      </c>
      <c r="D3" s="2" t="s">
        <v>1677</v>
      </c>
    </row>
    <row r="4" spans="1:4" x14ac:dyDescent="0.55000000000000004">
      <c r="A4" s="58"/>
      <c r="B4" s="58"/>
      <c r="C4" s="5" t="s">
        <v>6</v>
      </c>
      <c r="D4" s="2">
        <v>1996</v>
      </c>
    </row>
    <row r="5" spans="1:4" x14ac:dyDescent="0.55000000000000004">
      <c r="A5" s="58"/>
      <c r="B5" s="58"/>
      <c r="C5" s="5" t="s">
        <v>7</v>
      </c>
      <c r="D5" s="2" t="s">
        <v>1678</v>
      </c>
    </row>
    <row r="6" spans="1:4" x14ac:dyDescent="0.55000000000000004">
      <c r="A6" s="58"/>
      <c r="B6" s="58"/>
      <c r="C6" s="5" t="s">
        <v>9</v>
      </c>
      <c r="D6" s="2" t="s">
        <v>1679</v>
      </c>
    </row>
    <row r="7" spans="1:4" x14ac:dyDescent="0.55000000000000004">
      <c r="A7" s="58"/>
      <c r="B7" s="58"/>
      <c r="C7" s="5" t="s">
        <v>11</v>
      </c>
      <c r="D7" s="2" t="s">
        <v>12</v>
      </c>
    </row>
    <row r="8" spans="1:4" x14ac:dyDescent="0.55000000000000004">
      <c r="A8" s="59" t="s">
        <v>13</v>
      </c>
      <c r="B8" s="59"/>
      <c r="C8" s="5"/>
    </row>
    <row r="9" spans="1:4" ht="26.1" x14ac:dyDescent="0.55000000000000004">
      <c r="A9" s="58"/>
      <c r="B9" s="58"/>
      <c r="C9" s="5" t="s">
        <v>14</v>
      </c>
      <c r="D9" s="2" t="s">
        <v>1680</v>
      </c>
    </row>
    <row r="10" spans="1:4" x14ac:dyDescent="0.55000000000000004">
      <c r="A10" s="58"/>
      <c r="B10" s="58"/>
      <c r="C10" s="5" t="s">
        <v>16</v>
      </c>
      <c r="D10" s="2" t="s">
        <v>17</v>
      </c>
    </row>
    <row r="11" spans="1:4" x14ac:dyDescent="0.55000000000000004">
      <c r="A11" s="58"/>
      <c r="B11" s="58"/>
      <c r="C11" s="5" t="s">
        <v>19</v>
      </c>
      <c r="D11" s="2" t="s">
        <v>20</v>
      </c>
    </row>
    <row r="12" spans="1:4" x14ac:dyDescent="0.55000000000000004">
      <c r="A12" s="58"/>
      <c r="B12" s="58"/>
      <c r="C12" s="5" t="s">
        <v>21</v>
      </c>
      <c r="D12" s="2" t="s">
        <v>20</v>
      </c>
    </row>
    <row r="13" spans="1:4" x14ac:dyDescent="0.55000000000000004">
      <c r="A13" s="58"/>
      <c r="B13" s="58"/>
      <c r="C13" s="5" t="s">
        <v>22</v>
      </c>
      <c r="D13" s="2" t="s">
        <v>20</v>
      </c>
    </row>
    <row r="14" spans="1:4" x14ac:dyDescent="0.55000000000000004">
      <c r="A14" s="59" t="s">
        <v>24</v>
      </c>
      <c r="B14" s="59"/>
      <c r="C14" s="5"/>
    </row>
    <row r="15" spans="1:4" x14ac:dyDescent="0.55000000000000004">
      <c r="A15" s="58"/>
      <c r="B15" s="58"/>
      <c r="C15" s="5" t="s">
        <v>25</v>
      </c>
      <c r="D15" s="2" t="s">
        <v>553</v>
      </c>
    </row>
    <row r="16" spans="1:4" x14ac:dyDescent="0.55000000000000004">
      <c r="A16" s="58"/>
      <c r="B16" s="58"/>
      <c r="C16" s="5" t="s">
        <v>27</v>
      </c>
      <c r="D16" s="2" t="s">
        <v>1681</v>
      </c>
    </row>
    <row r="17" spans="1:4" x14ac:dyDescent="0.55000000000000004">
      <c r="A17" s="59" t="s">
        <v>29</v>
      </c>
      <c r="B17" s="59"/>
      <c r="C17" s="5"/>
    </row>
    <row r="18" spans="1:4" x14ac:dyDescent="0.55000000000000004">
      <c r="A18" s="58"/>
      <c r="B18" s="58"/>
      <c r="C18" s="5" t="s">
        <v>30</v>
      </c>
      <c r="D18" s="2" t="s">
        <v>31</v>
      </c>
    </row>
    <row r="19" spans="1:4" ht="39" x14ac:dyDescent="0.55000000000000004">
      <c r="A19" s="58"/>
      <c r="B19" s="58"/>
      <c r="C19" s="5" t="s">
        <v>32</v>
      </c>
      <c r="D19" s="2" t="s">
        <v>1682</v>
      </c>
    </row>
    <row r="20" spans="1:4" x14ac:dyDescent="0.55000000000000004">
      <c r="A20" s="59" t="s">
        <v>34</v>
      </c>
      <c r="B20" s="59"/>
      <c r="C20" s="5"/>
      <c r="D20" s="2" t="s">
        <v>35</v>
      </c>
    </row>
    <row r="21" spans="1:4" x14ac:dyDescent="0.55000000000000004">
      <c r="A21" s="58"/>
      <c r="B21" s="58"/>
      <c r="C21" s="5" t="s">
        <v>36</v>
      </c>
      <c r="D21" s="2">
        <v>20</v>
      </c>
    </row>
    <row r="22" spans="1:4" x14ac:dyDescent="0.55000000000000004">
      <c r="A22" s="58"/>
      <c r="B22" s="58"/>
      <c r="C22" s="5" t="s">
        <v>37</v>
      </c>
      <c r="D22" s="2">
        <v>20</v>
      </c>
    </row>
    <row r="23" spans="1:4" x14ac:dyDescent="0.55000000000000004">
      <c r="A23" s="58"/>
      <c r="B23" s="58"/>
      <c r="C23" s="5" t="s">
        <v>38</v>
      </c>
      <c r="D23" s="2">
        <v>20</v>
      </c>
    </row>
    <row r="24" spans="1:4" x14ac:dyDescent="0.55000000000000004">
      <c r="A24" s="58"/>
      <c r="B24" s="58"/>
      <c r="C24" s="5" t="s">
        <v>39</v>
      </c>
      <c r="D24" s="2">
        <v>0</v>
      </c>
    </row>
    <row r="25" spans="1:4" x14ac:dyDescent="0.55000000000000004">
      <c r="A25" s="58"/>
      <c r="B25" s="58"/>
      <c r="C25" s="5" t="s">
        <v>40</v>
      </c>
      <c r="D25" s="2">
        <f>10/20</f>
        <v>0.5</v>
      </c>
    </row>
    <row r="26" spans="1:4" x14ac:dyDescent="0.55000000000000004">
      <c r="A26" s="58"/>
      <c r="B26" s="58"/>
      <c r="C26" s="5" t="s">
        <v>41</v>
      </c>
      <c r="D26" s="7">
        <v>62</v>
      </c>
    </row>
    <row r="27" spans="1:4" x14ac:dyDescent="0.55000000000000004">
      <c r="A27" s="58"/>
      <c r="B27" s="58"/>
      <c r="C27" s="5" t="s">
        <v>42</v>
      </c>
      <c r="D27" s="7">
        <v>9</v>
      </c>
    </row>
    <row r="28" spans="1:4" x14ac:dyDescent="0.55000000000000004">
      <c r="A28" s="58"/>
      <c r="B28" s="58"/>
      <c r="C28" s="5" t="s">
        <v>43</v>
      </c>
      <c r="D28" s="2" t="s">
        <v>20</v>
      </c>
    </row>
    <row r="29" spans="1:4" x14ac:dyDescent="0.55000000000000004">
      <c r="A29" s="58"/>
      <c r="B29" s="58"/>
      <c r="C29" s="5" t="s">
        <v>44</v>
      </c>
      <c r="D29" s="2" t="s">
        <v>20</v>
      </c>
    </row>
    <row r="30" spans="1:4" x14ac:dyDescent="0.55000000000000004">
      <c r="A30" s="58"/>
      <c r="B30" s="58"/>
      <c r="C30" s="5" t="s">
        <v>45</v>
      </c>
      <c r="D30" s="2" t="s">
        <v>20</v>
      </c>
    </row>
    <row r="31" spans="1:4" x14ac:dyDescent="0.55000000000000004">
      <c r="A31" s="58"/>
      <c r="B31" s="58"/>
      <c r="C31" s="5" t="s">
        <v>46</v>
      </c>
      <c r="D31" s="2" t="s">
        <v>20</v>
      </c>
    </row>
    <row r="32" spans="1:4" x14ac:dyDescent="0.55000000000000004">
      <c r="A32" s="59" t="s">
        <v>47</v>
      </c>
      <c r="B32" s="59"/>
      <c r="C32" s="5"/>
    </row>
    <row r="33" spans="1:10" ht="39" x14ac:dyDescent="0.55000000000000004">
      <c r="A33" s="58"/>
      <c r="B33" s="58"/>
      <c r="C33" s="5" t="s">
        <v>48</v>
      </c>
      <c r="D33" s="2" t="s">
        <v>1683</v>
      </c>
    </row>
    <row r="34" spans="1:10" x14ac:dyDescent="0.55000000000000004">
      <c r="A34" s="59" t="s">
        <v>50</v>
      </c>
      <c r="B34" s="59"/>
      <c r="C34" s="5"/>
    </row>
    <row r="35" spans="1:10" x14ac:dyDescent="0.55000000000000004">
      <c r="A35" s="8"/>
      <c r="B35" s="8"/>
      <c r="C35" s="5"/>
    </row>
    <row r="36" spans="1:10" x14ac:dyDescent="0.55000000000000004">
      <c r="A36" s="59"/>
      <c r="B36" s="5" t="s">
        <v>59</v>
      </c>
      <c r="C36" s="5"/>
      <c r="D36" s="2" t="s">
        <v>51</v>
      </c>
      <c r="E36" s="1" t="s">
        <v>52</v>
      </c>
      <c r="F36" s="1" t="s">
        <v>53</v>
      </c>
      <c r="G36" s="1" t="s">
        <v>54</v>
      </c>
      <c r="H36" s="1" t="s">
        <v>55</v>
      </c>
      <c r="I36" s="1" t="s">
        <v>56</v>
      </c>
      <c r="J36" s="1" t="s">
        <v>57</v>
      </c>
    </row>
    <row r="37" spans="1:10" x14ac:dyDescent="0.55000000000000004">
      <c r="A37" s="59"/>
      <c r="B37" s="5"/>
    </row>
    <row r="38" spans="1:10" x14ac:dyDescent="0.55000000000000004">
      <c r="A38" s="59"/>
      <c r="B38" s="5"/>
    </row>
    <row r="39" spans="1:10" x14ac:dyDescent="0.55000000000000004">
      <c r="A39" s="59"/>
      <c r="B39" s="5"/>
      <c r="C39" s="5"/>
    </row>
    <row r="40" spans="1:10" x14ac:dyDescent="0.55000000000000004">
      <c r="A40" s="59"/>
      <c r="B40" s="5"/>
      <c r="C40" s="5"/>
    </row>
    <row r="41" spans="1:10" x14ac:dyDescent="0.55000000000000004">
      <c r="A41" s="59"/>
      <c r="B41" s="5"/>
      <c r="C41" s="5"/>
    </row>
    <row r="42" spans="1:10" x14ac:dyDescent="0.55000000000000004">
      <c r="A42" s="59"/>
      <c r="B42" s="5"/>
      <c r="C42" s="5"/>
    </row>
    <row r="43" spans="1:10" x14ac:dyDescent="0.55000000000000004">
      <c r="A43" s="59"/>
      <c r="B43" s="5"/>
      <c r="C43" s="5"/>
    </row>
    <row r="44" spans="1:10" x14ac:dyDescent="0.55000000000000004">
      <c r="A44" s="59"/>
      <c r="B44" s="5"/>
      <c r="C44" s="5"/>
    </row>
    <row r="45" spans="1:10" x14ac:dyDescent="0.55000000000000004">
      <c r="A45" s="59"/>
      <c r="B45" s="5" t="s">
        <v>61</v>
      </c>
      <c r="C45" s="5"/>
    </row>
    <row r="46" spans="1:10" x14ac:dyDescent="0.55000000000000004">
      <c r="A46" s="59"/>
      <c r="B46" s="5"/>
      <c r="C46" s="5" t="s">
        <v>1684</v>
      </c>
      <c r="D46" s="7">
        <v>1.6</v>
      </c>
      <c r="E46" s="10">
        <v>0.6</v>
      </c>
    </row>
    <row r="47" spans="1:10" x14ac:dyDescent="0.55000000000000004">
      <c r="A47" s="59"/>
      <c r="B47" s="5"/>
      <c r="C47" s="5" t="s">
        <v>1685</v>
      </c>
      <c r="D47" s="7">
        <v>1</v>
      </c>
      <c r="E47" s="10">
        <v>0.6</v>
      </c>
    </row>
    <row r="48" spans="1:10" x14ac:dyDescent="0.55000000000000004">
      <c r="A48" s="59"/>
      <c r="B48" s="5"/>
      <c r="C48" s="5"/>
    </row>
    <row r="49" spans="1:3" x14ac:dyDescent="0.55000000000000004">
      <c r="A49" s="59"/>
      <c r="B49" s="5"/>
      <c r="C49" s="5"/>
    </row>
    <row r="50" spans="1:3" x14ac:dyDescent="0.55000000000000004">
      <c r="A50" s="59"/>
      <c r="B50" s="5"/>
      <c r="C50" s="5"/>
    </row>
    <row r="51" spans="1:3" x14ac:dyDescent="0.55000000000000004">
      <c r="A51" s="59"/>
      <c r="B51" s="5"/>
      <c r="C51" s="5"/>
    </row>
    <row r="52" spans="1:3" x14ac:dyDescent="0.55000000000000004">
      <c r="A52" s="59"/>
      <c r="B52" s="5"/>
      <c r="C52" s="5"/>
    </row>
    <row r="53" spans="1:3" x14ac:dyDescent="0.55000000000000004">
      <c r="A53" s="59"/>
      <c r="B53" s="5"/>
      <c r="C53" s="5"/>
    </row>
    <row r="54" spans="1:3" x14ac:dyDescent="0.55000000000000004">
      <c r="A54" s="59"/>
      <c r="B54" s="5"/>
      <c r="C54" s="5"/>
    </row>
    <row r="55" spans="1:3" x14ac:dyDescent="0.55000000000000004">
      <c r="A55" s="59"/>
      <c r="B55" s="5"/>
      <c r="C55" s="5"/>
    </row>
    <row r="56" spans="1:3" x14ac:dyDescent="0.55000000000000004">
      <c r="A56" s="59"/>
      <c r="B56" s="5"/>
      <c r="C56" s="5"/>
    </row>
    <row r="57" spans="1:3" x14ac:dyDescent="0.55000000000000004">
      <c r="A57" s="59"/>
      <c r="B57" s="5"/>
      <c r="C57" s="5"/>
    </row>
    <row r="58" spans="1:3" x14ac:dyDescent="0.55000000000000004">
      <c r="A58" s="59"/>
      <c r="B58" s="5"/>
      <c r="C58" s="5"/>
    </row>
    <row r="59" spans="1:3" x14ac:dyDescent="0.55000000000000004">
      <c r="A59" s="59"/>
      <c r="B59" s="5"/>
      <c r="C59" s="5"/>
    </row>
    <row r="60" spans="1:3" x14ac:dyDescent="0.55000000000000004">
      <c r="A60" s="59"/>
      <c r="B60" s="5"/>
      <c r="C60" s="5"/>
    </row>
    <row r="61" spans="1:3" x14ac:dyDescent="0.55000000000000004">
      <c r="A61" s="59"/>
      <c r="B61" s="5"/>
      <c r="C61" s="5"/>
    </row>
    <row r="62" spans="1:3" x14ac:dyDescent="0.55000000000000004">
      <c r="A62" s="59"/>
      <c r="B62" s="5"/>
      <c r="C62" s="5"/>
    </row>
    <row r="63" spans="1:3" x14ac:dyDescent="0.55000000000000004">
      <c r="A63" s="59"/>
      <c r="B63" s="5"/>
      <c r="C63" s="5"/>
    </row>
    <row r="64" spans="1:3" x14ac:dyDescent="0.55000000000000004">
      <c r="A64" s="59"/>
      <c r="B64" s="5"/>
      <c r="C64" s="5"/>
    </row>
    <row r="65" spans="1:4" x14ac:dyDescent="0.55000000000000004">
      <c r="A65" s="59"/>
      <c r="B65" s="5" t="s">
        <v>62</v>
      </c>
      <c r="C65" s="5"/>
      <c r="D65" s="2">
        <f>8*7</f>
        <v>56</v>
      </c>
    </row>
    <row r="66" spans="1:4" x14ac:dyDescent="0.55000000000000004">
      <c r="A66" s="59"/>
      <c r="B66" s="5" t="s">
        <v>63</v>
      </c>
      <c r="C66" s="5"/>
      <c r="D66" s="2" t="s">
        <v>1686</v>
      </c>
    </row>
    <row r="67" spans="1:4" ht="51.9" x14ac:dyDescent="0.55000000000000004">
      <c r="A67" s="59" t="s">
        <v>65</v>
      </c>
      <c r="B67" s="59"/>
      <c r="C67" s="5"/>
      <c r="D67" s="2" t="s">
        <v>1687</v>
      </c>
    </row>
    <row r="68" spans="1:4" x14ac:dyDescent="0.55000000000000004">
      <c r="A68" s="3" t="s">
        <v>67</v>
      </c>
    </row>
    <row r="69" spans="1:4" x14ac:dyDescent="0.55000000000000004">
      <c r="A69" s="1" t="s">
        <v>68</v>
      </c>
      <c r="C69" s="1">
        <v>13</v>
      </c>
      <c r="D69" s="2">
        <v>20</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dimension ref="A1:AMJ76"/>
  <sheetViews>
    <sheetView topLeftCell="A6" zoomScale="90" zoomScaleNormal="90" workbookViewId="0">
      <selection activeCell="E47" sqref="E47"/>
    </sheetView>
  </sheetViews>
  <sheetFormatPr baseColWidth="10" defaultColWidth="11.41796875" defaultRowHeight="14.4" x14ac:dyDescent="0.55000000000000004"/>
  <cols>
    <col min="1" max="1" width="10.83984375" style="1" customWidth="1"/>
    <col min="2" max="2" width="18.83984375" style="1" customWidth="1"/>
    <col min="3" max="3" width="51.15625" style="1" customWidth="1"/>
    <col min="4" max="4" width="56.15625" style="2" customWidth="1"/>
    <col min="5" max="5" width="11.15625" style="1" customWidth="1"/>
    <col min="6" max="6" width="36.578125" style="1" customWidth="1"/>
    <col min="7" max="1024" width="11.41796875" style="1"/>
  </cols>
  <sheetData>
    <row r="1" spans="1:5" x14ac:dyDescent="0.55000000000000004">
      <c r="A1" s="3" t="s">
        <v>0</v>
      </c>
      <c r="D1" s="2" t="s">
        <v>269</v>
      </c>
    </row>
    <row r="2" spans="1:5" x14ac:dyDescent="0.55000000000000004">
      <c r="A2" s="58" t="s">
        <v>2</v>
      </c>
      <c r="B2" s="58"/>
      <c r="D2" s="2" t="s">
        <v>1688</v>
      </c>
    </row>
    <row r="3" spans="1:5" x14ac:dyDescent="0.55000000000000004">
      <c r="A3" s="58"/>
      <c r="B3" s="58"/>
      <c r="C3" s="5" t="s">
        <v>4</v>
      </c>
      <c r="D3" s="2" t="s">
        <v>1689</v>
      </c>
    </row>
    <row r="4" spans="1:5" x14ac:dyDescent="0.55000000000000004">
      <c r="A4" s="58"/>
      <c r="B4" s="58"/>
      <c r="C4" s="5" t="s">
        <v>6</v>
      </c>
      <c r="D4" s="2">
        <v>2017</v>
      </c>
    </row>
    <row r="5" spans="1:5" ht="26.1" x14ac:dyDescent="0.55000000000000004">
      <c r="A5" s="58"/>
      <c r="B5" s="58"/>
      <c r="C5" s="5" t="s">
        <v>7</v>
      </c>
      <c r="D5" s="2" t="s">
        <v>1690</v>
      </c>
    </row>
    <row r="6" spans="1:5" x14ac:dyDescent="0.55000000000000004">
      <c r="A6" s="58"/>
      <c r="B6" s="58"/>
      <c r="C6" s="5" t="s">
        <v>9</v>
      </c>
      <c r="D6" s="2" t="s">
        <v>1691</v>
      </c>
    </row>
    <row r="7" spans="1:5" x14ac:dyDescent="0.55000000000000004">
      <c r="A7" s="58"/>
      <c r="B7" s="58"/>
      <c r="C7" s="5" t="s">
        <v>11</v>
      </c>
      <c r="D7" s="2" t="s">
        <v>12</v>
      </c>
    </row>
    <row r="8" spans="1:5" x14ac:dyDescent="0.55000000000000004">
      <c r="A8" s="59" t="s">
        <v>13</v>
      </c>
      <c r="B8" s="59"/>
      <c r="C8" s="5"/>
    </row>
    <row r="9" spans="1:5" ht="26.1" x14ac:dyDescent="0.55000000000000004">
      <c r="A9" s="58"/>
      <c r="B9" s="58"/>
      <c r="C9" s="5" t="s">
        <v>14</v>
      </c>
      <c r="D9" s="2" t="s">
        <v>1692</v>
      </c>
    </row>
    <row r="10" spans="1:5" x14ac:dyDescent="0.55000000000000004">
      <c r="A10" s="58"/>
      <c r="B10" s="58"/>
      <c r="C10" s="5" t="s">
        <v>16</v>
      </c>
      <c r="D10" s="2" t="s">
        <v>17</v>
      </c>
      <c r="E10" s="1" t="s">
        <v>18</v>
      </c>
    </row>
    <row r="11" spans="1:5" x14ac:dyDescent="0.55000000000000004">
      <c r="A11" s="58"/>
      <c r="B11" s="58"/>
      <c r="C11" s="5" t="s">
        <v>19</v>
      </c>
      <c r="D11" s="2" t="s">
        <v>20</v>
      </c>
    </row>
    <row r="12" spans="1:5" x14ac:dyDescent="0.55000000000000004">
      <c r="A12" s="58"/>
      <c r="B12" s="58"/>
      <c r="C12" s="5" t="s">
        <v>21</v>
      </c>
      <c r="D12" s="2" t="s">
        <v>20</v>
      </c>
    </row>
    <row r="13" spans="1:5" x14ac:dyDescent="0.55000000000000004">
      <c r="A13" s="58"/>
      <c r="B13" s="58"/>
      <c r="C13" s="5" t="s">
        <v>22</v>
      </c>
      <c r="D13" s="2" t="s">
        <v>1693</v>
      </c>
    </row>
    <row r="14" spans="1:5" x14ac:dyDescent="0.55000000000000004">
      <c r="A14" s="59" t="s">
        <v>24</v>
      </c>
      <c r="B14" s="59"/>
      <c r="C14" s="5"/>
    </row>
    <row r="15" spans="1:5" x14ac:dyDescent="0.55000000000000004">
      <c r="A15" s="58"/>
      <c r="B15" s="58"/>
      <c r="C15" s="5" t="s">
        <v>25</v>
      </c>
      <c r="D15" s="2" t="s">
        <v>293</v>
      </c>
    </row>
    <row r="16" spans="1:5" x14ac:dyDescent="0.55000000000000004">
      <c r="A16" s="58"/>
      <c r="B16" s="58"/>
      <c r="C16" s="5" t="s">
        <v>27</v>
      </c>
      <c r="D16" s="2" t="s">
        <v>294</v>
      </c>
    </row>
    <row r="17" spans="1:5" x14ac:dyDescent="0.55000000000000004">
      <c r="A17" s="59" t="s">
        <v>29</v>
      </c>
      <c r="B17" s="59"/>
      <c r="C17" s="5"/>
    </row>
    <row r="18" spans="1:5" ht="26.1" x14ac:dyDescent="0.55000000000000004">
      <c r="A18" s="58"/>
      <c r="B18" s="58"/>
      <c r="C18" s="5" t="s">
        <v>30</v>
      </c>
      <c r="D18" s="2" t="s">
        <v>1694</v>
      </c>
    </row>
    <row r="19" spans="1:5" ht="26.1" x14ac:dyDescent="0.55000000000000004">
      <c r="A19" s="58"/>
      <c r="B19" s="58"/>
      <c r="C19" s="5" t="s">
        <v>32</v>
      </c>
      <c r="D19" s="2" t="s">
        <v>1695</v>
      </c>
    </row>
    <row r="20" spans="1:5" x14ac:dyDescent="0.55000000000000004">
      <c r="A20" s="59" t="s">
        <v>34</v>
      </c>
      <c r="B20" s="59"/>
      <c r="C20" s="5"/>
      <c r="D20" s="2" t="s">
        <v>35</v>
      </c>
    </row>
    <row r="21" spans="1:5" x14ac:dyDescent="0.55000000000000004">
      <c r="A21" s="58"/>
      <c r="B21" s="58"/>
      <c r="C21" s="5" t="s">
        <v>36</v>
      </c>
      <c r="D21" s="2" t="s">
        <v>20</v>
      </c>
    </row>
    <row r="22" spans="1:5" x14ac:dyDescent="0.55000000000000004">
      <c r="A22" s="58"/>
      <c r="B22" s="58"/>
      <c r="C22" s="5" t="s">
        <v>37</v>
      </c>
      <c r="D22" s="2">
        <v>71</v>
      </c>
    </row>
    <row r="23" spans="1:5" x14ac:dyDescent="0.55000000000000004">
      <c r="A23" s="58"/>
      <c r="B23" s="58"/>
      <c r="C23" s="5" t="s">
        <v>38</v>
      </c>
      <c r="D23" s="2">
        <v>69</v>
      </c>
    </row>
    <row r="24" spans="1:5" x14ac:dyDescent="0.55000000000000004">
      <c r="A24" s="58"/>
      <c r="B24" s="58"/>
      <c r="C24" s="5" t="s">
        <v>39</v>
      </c>
      <c r="D24" s="2">
        <v>2</v>
      </c>
    </row>
    <row r="25" spans="1:5" x14ac:dyDescent="0.55000000000000004">
      <c r="A25" s="58"/>
      <c r="B25" s="58"/>
      <c r="C25" s="5" t="s">
        <v>40</v>
      </c>
      <c r="D25" s="2">
        <v>31</v>
      </c>
    </row>
    <row r="26" spans="1:5" x14ac:dyDescent="0.55000000000000004">
      <c r="A26" s="58"/>
      <c r="B26" s="58"/>
      <c r="C26" s="5" t="s">
        <v>41</v>
      </c>
      <c r="D26" s="2">
        <v>63</v>
      </c>
    </row>
    <row r="27" spans="1:5" s="1" customFormat="1" ht="12.9" x14ac:dyDescent="0.5">
      <c r="A27" s="58"/>
      <c r="B27" s="58"/>
      <c r="C27" s="5" t="s">
        <v>42</v>
      </c>
      <c r="E27" s="2"/>
    </row>
    <row r="28" spans="1:5" x14ac:dyDescent="0.55000000000000004">
      <c r="A28" s="58"/>
      <c r="B28" s="58"/>
      <c r="C28" s="5" t="s">
        <v>43</v>
      </c>
      <c r="D28" s="2" t="s">
        <v>20</v>
      </c>
    </row>
    <row r="29" spans="1:5" x14ac:dyDescent="0.55000000000000004">
      <c r="A29" s="58"/>
      <c r="B29" s="58"/>
      <c r="C29" s="5" t="s">
        <v>44</v>
      </c>
      <c r="D29" s="2">
        <v>2</v>
      </c>
    </row>
    <row r="30" spans="1:5" x14ac:dyDescent="0.55000000000000004">
      <c r="A30" s="58"/>
      <c r="B30" s="58"/>
      <c r="C30" s="5" t="s">
        <v>45</v>
      </c>
      <c r="D30" s="7">
        <v>43.9</v>
      </c>
      <c r="E30" s="1" t="s">
        <v>1340</v>
      </c>
    </row>
    <row r="31" spans="1:5" x14ac:dyDescent="0.55000000000000004">
      <c r="A31" s="58"/>
      <c r="B31" s="58"/>
      <c r="C31" s="5" t="s">
        <v>46</v>
      </c>
      <c r="D31" s="7">
        <v>1.8</v>
      </c>
      <c r="E31" s="1" t="s">
        <v>1340</v>
      </c>
    </row>
    <row r="32" spans="1:5" x14ac:dyDescent="0.55000000000000004">
      <c r="A32" s="59" t="s">
        <v>47</v>
      </c>
      <c r="B32" s="59"/>
      <c r="C32" s="5"/>
    </row>
    <row r="33" spans="1:10" ht="26.1" x14ac:dyDescent="0.55000000000000004">
      <c r="A33" s="58"/>
      <c r="B33" s="58"/>
      <c r="C33" s="5" t="s">
        <v>48</v>
      </c>
      <c r="D33" s="2" t="s">
        <v>1696</v>
      </c>
    </row>
    <row r="34" spans="1:10" x14ac:dyDescent="0.55000000000000004">
      <c r="A34" s="59" t="s">
        <v>50</v>
      </c>
      <c r="B34" s="59"/>
      <c r="C34" s="5"/>
    </row>
    <row r="35" spans="1:10" x14ac:dyDescent="0.55000000000000004">
      <c r="A35" s="8"/>
      <c r="B35" s="8"/>
      <c r="C35" s="5"/>
    </row>
    <row r="36" spans="1:10" x14ac:dyDescent="0.55000000000000004">
      <c r="A36" s="59"/>
      <c r="B36" s="5" t="s">
        <v>59</v>
      </c>
      <c r="C36" s="5"/>
      <c r="D36" s="2" t="s">
        <v>51</v>
      </c>
      <c r="E36" s="1" t="s">
        <v>52</v>
      </c>
      <c r="F36" s="1" t="s">
        <v>53</v>
      </c>
      <c r="G36" s="1" t="s">
        <v>54</v>
      </c>
      <c r="H36" s="1" t="s">
        <v>55</v>
      </c>
      <c r="I36" s="1" t="s">
        <v>56</v>
      </c>
      <c r="J36" s="1" t="s">
        <v>57</v>
      </c>
    </row>
    <row r="37" spans="1:10" x14ac:dyDescent="0.55000000000000004">
      <c r="A37" s="59"/>
      <c r="B37" s="5"/>
      <c r="E37" s="10"/>
    </row>
    <row r="38" spans="1:10" x14ac:dyDescent="0.55000000000000004">
      <c r="A38" s="59"/>
      <c r="B38" s="5"/>
      <c r="E38" s="10"/>
    </row>
    <row r="39" spans="1:10" x14ac:dyDescent="0.55000000000000004">
      <c r="A39" s="59"/>
      <c r="B39" s="5"/>
      <c r="D39" s="10"/>
      <c r="E39" s="10"/>
    </row>
    <row r="40" spans="1:10" x14ac:dyDescent="0.55000000000000004">
      <c r="A40" s="59"/>
      <c r="B40" s="5"/>
      <c r="D40" s="10"/>
      <c r="E40" s="10"/>
    </row>
    <row r="41" spans="1:10" x14ac:dyDescent="0.55000000000000004">
      <c r="A41" s="59"/>
      <c r="D41" s="7"/>
      <c r="E41" s="10"/>
      <c r="F41" s="2"/>
    </row>
    <row r="42" spans="1:10" x14ac:dyDescent="0.55000000000000004">
      <c r="A42" s="59"/>
      <c r="B42" s="5"/>
      <c r="D42" s="7"/>
      <c r="E42" s="10"/>
    </row>
    <row r="43" spans="1:10" x14ac:dyDescent="0.55000000000000004">
      <c r="A43" s="59"/>
      <c r="C43" s="5"/>
      <c r="D43" s="7"/>
      <c r="E43" s="10"/>
      <c r="F43" s="39"/>
    </row>
    <row r="44" spans="1:10" x14ac:dyDescent="0.55000000000000004">
      <c r="A44" s="59"/>
      <c r="B44" s="5"/>
      <c r="C44" s="5"/>
      <c r="D44" s="7"/>
      <c r="E44" s="10"/>
      <c r="F44" s="39"/>
    </row>
    <row r="45" spans="1:10" x14ac:dyDescent="0.55000000000000004">
      <c r="A45" s="59"/>
      <c r="B45" s="5" t="s">
        <v>61</v>
      </c>
      <c r="E45" s="10"/>
    </row>
    <row r="46" spans="1:10" x14ac:dyDescent="0.55000000000000004">
      <c r="A46" s="59"/>
      <c r="B46" s="5"/>
      <c r="C46" s="1" t="s">
        <v>1697</v>
      </c>
      <c r="D46" s="10">
        <v>7.3228346456692899</v>
      </c>
      <c r="E46" s="10">
        <f>SQRT(D23)*F46</f>
        <v>3.2703243554795254</v>
      </c>
      <c r="F46" s="10">
        <v>0.393700787401571</v>
      </c>
    </row>
    <row r="47" spans="1:10" x14ac:dyDescent="0.55000000000000004">
      <c r="A47" s="59"/>
      <c r="B47" s="5"/>
      <c r="C47" s="1" t="s">
        <v>1698</v>
      </c>
      <c r="D47" s="10">
        <v>4.8661417322834604</v>
      </c>
      <c r="E47" s="10">
        <f>SQRT(D23)*F47</f>
        <v>3.139511381260351</v>
      </c>
      <c r="F47" s="10">
        <v>0.37795275590550897</v>
      </c>
    </row>
    <row r="48" spans="1:10" x14ac:dyDescent="0.55000000000000004">
      <c r="A48" s="59"/>
      <c r="B48" s="5"/>
    </row>
    <row r="49" spans="1:6" x14ac:dyDescent="0.55000000000000004">
      <c r="A49" s="59"/>
      <c r="B49" s="5"/>
    </row>
    <row r="50" spans="1:6" x14ac:dyDescent="0.55000000000000004">
      <c r="A50" s="59"/>
      <c r="B50" s="5"/>
    </row>
    <row r="51" spans="1:6" x14ac:dyDescent="0.55000000000000004">
      <c r="A51" s="59"/>
      <c r="B51" s="5"/>
      <c r="D51" s="10"/>
      <c r="E51" s="10"/>
      <c r="F51" s="10"/>
    </row>
    <row r="52" spans="1:6" x14ac:dyDescent="0.55000000000000004">
      <c r="A52" s="59"/>
      <c r="B52" s="5"/>
      <c r="D52" s="10"/>
      <c r="E52" s="10"/>
      <c r="F52" s="10"/>
    </row>
    <row r="53" spans="1:6" x14ac:dyDescent="0.55000000000000004">
      <c r="A53" s="59"/>
      <c r="B53" s="5"/>
      <c r="D53" s="10"/>
      <c r="E53" s="10"/>
      <c r="F53" s="10"/>
    </row>
    <row r="54" spans="1:6" x14ac:dyDescent="0.55000000000000004">
      <c r="A54" s="59"/>
      <c r="B54" s="5"/>
      <c r="D54" s="10"/>
      <c r="E54" s="10"/>
      <c r="F54" s="10"/>
    </row>
    <row r="55" spans="1:6" x14ac:dyDescent="0.55000000000000004">
      <c r="A55" s="59"/>
      <c r="B55" s="5"/>
      <c r="D55" s="10"/>
      <c r="E55" s="10"/>
      <c r="F55" s="10"/>
    </row>
    <row r="56" spans="1:6" x14ac:dyDescent="0.55000000000000004">
      <c r="A56" s="59"/>
      <c r="B56" s="5"/>
      <c r="C56" s="5"/>
    </row>
    <row r="57" spans="1:6" x14ac:dyDescent="0.55000000000000004">
      <c r="A57" s="59"/>
      <c r="B57" s="5"/>
      <c r="C57" s="5"/>
    </row>
    <row r="58" spans="1:6" x14ac:dyDescent="0.55000000000000004">
      <c r="A58" s="59"/>
      <c r="B58" s="5"/>
      <c r="C58" s="5"/>
    </row>
    <row r="59" spans="1:6" x14ac:dyDescent="0.55000000000000004">
      <c r="A59" s="59"/>
      <c r="B59" s="5"/>
      <c r="C59" s="5"/>
    </row>
    <row r="60" spans="1:6" x14ac:dyDescent="0.55000000000000004">
      <c r="A60" s="59"/>
      <c r="B60" s="5"/>
      <c r="C60" s="5"/>
    </row>
    <row r="61" spans="1:6" x14ac:dyDescent="0.55000000000000004">
      <c r="A61" s="59"/>
      <c r="B61" s="5"/>
      <c r="C61" s="5"/>
    </row>
    <row r="62" spans="1:6" x14ac:dyDescent="0.55000000000000004">
      <c r="A62" s="59"/>
      <c r="B62" s="5"/>
      <c r="C62" s="5"/>
    </row>
    <row r="63" spans="1:6" x14ac:dyDescent="0.55000000000000004">
      <c r="A63" s="59"/>
      <c r="C63" s="5"/>
    </row>
    <row r="64" spans="1:6" x14ac:dyDescent="0.55000000000000004">
      <c r="A64" s="59"/>
      <c r="B64" s="5"/>
      <c r="C64" s="5"/>
      <c r="D64" s="40"/>
    </row>
    <row r="65" spans="1:6" x14ac:dyDescent="0.55000000000000004">
      <c r="A65" s="59"/>
      <c r="B65" s="5" t="s">
        <v>62</v>
      </c>
      <c r="C65" s="5"/>
      <c r="D65" s="7">
        <f>1/1440*47</f>
        <v>3.2638888888888891E-2</v>
      </c>
    </row>
    <row r="66" spans="1:6" x14ac:dyDescent="0.55000000000000004">
      <c r="A66" s="59"/>
      <c r="B66" s="5" t="s">
        <v>63</v>
      </c>
      <c r="C66" s="5"/>
      <c r="D66" s="2" t="s">
        <v>1699</v>
      </c>
    </row>
    <row r="67" spans="1:6" ht="26.1" x14ac:dyDescent="0.55000000000000004">
      <c r="A67" s="59" t="s">
        <v>65</v>
      </c>
      <c r="B67" s="59"/>
      <c r="C67" s="5"/>
      <c r="D67" s="2" t="s">
        <v>1700</v>
      </c>
    </row>
    <row r="68" spans="1:6" x14ac:dyDescent="0.55000000000000004">
      <c r="A68" s="3" t="s">
        <v>67</v>
      </c>
    </row>
    <row r="69" spans="1:6" x14ac:dyDescent="0.55000000000000004">
      <c r="A69" s="1" t="s">
        <v>68</v>
      </c>
      <c r="C69" s="1">
        <v>16</v>
      </c>
      <c r="D69" s="2">
        <v>28</v>
      </c>
    </row>
    <row r="70" spans="1:6" x14ac:dyDescent="0.55000000000000004">
      <c r="B70" s="1" t="s">
        <v>94</v>
      </c>
    </row>
    <row r="71" spans="1:6" x14ac:dyDescent="0.55000000000000004">
      <c r="C71" s="1" t="s">
        <v>1701</v>
      </c>
      <c r="D71" s="10">
        <v>2.97</v>
      </c>
    </row>
    <row r="72" spans="1:6" x14ac:dyDescent="0.55000000000000004">
      <c r="C72" s="1" t="s">
        <v>1702</v>
      </c>
      <c r="D72" s="10">
        <v>2.0099999999999998</v>
      </c>
    </row>
    <row r="73" spans="1:6" x14ac:dyDescent="0.55000000000000004">
      <c r="C73" s="1" t="s">
        <v>1703</v>
      </c>
      <c r="D73" s="10">
        <v>9.9527559055118093</v>
      </c>
      <c r="E73" s="10">
        <f>SQRT(D23)*F73</f>
        <v>3.139511381260351</v>
      </c>
      <c r="F73" s="10">
        <v>0.37795275590550897</v>
      </c>
    </row>
    <row r="74" spans="1:6" x14ac:dyDescent="0.55000000000000004">
      <c r="C74" s="1" t="s">
        <v>1704</v>
      </c>
      <c r="D74" s="10">
        <v>8.2204724409448797</v>
      </c>
      <c r="E74" s="10">
        <f>SQRT(D23)*F74</f>
        <v>3.1395113812604429</v>
      </c>
      <c r="F74" s="10">
        <v>0.37795275590552002</v>
      </c>
    </row>
    <row r="75" spans="1:6" x14ac:dyDescent="0.55000000000000004">
      <c r="C75" s="1" t="s">
        <v>1705</v>
      </c>
      <c r="D75" s="10">
        <v>43.9</v>
      </c>
    </row>
    <row r="76" spans="1:6" x14ac:dyDescent="0.55000000000000004">
      <c r="C76" s="1" t="s">
        <v>1706</v>
      </c>
      <c r="D76" s="10">
        <v>25.9</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dimension ref="A1:AMJ74"/>
  <sheetViews>
    <sheetView zoomScale="90" zoomScaleNormal="90" workbookViewId="0">
      <selection activeCell="D13" sqref="D13"/>
    </sheetView>
  </sheetViews>
  <sheetFormatPr baseColWidth="10" defaultColWidth="11.41796875" defaultRowHeight="14.4" x14ac:dyDescent="0.55000000000000004"/>
  <cols>
    <col min="1" max="1" width="29.83984375" style="1" customWidth="1"/>
    <col min="2" max="2" width="18.83984375" style="1" customWidth="1"/>
    <col min="3" max="3" width="47.578125" style="1" customWidth="1"/>
    <col min="4" max="4" width="56.15625" style="2" customWidth="1"/>
    <col min="5" max="5" width="11.15625" style="1" customWidth="1"/>
    <col min="6" max="6" width="7.15625" style="1" customWidth="1"/>
    <col min="7" max="7" width="5.15625" style="1" customWidth="1"/>
    <col min="8" max="8" width="4.15625" style="1" customWidth="1"/>
    <col min="9" max="9" width="2.41796875" style="1" customWidth="1"/>
    <col min="10" max="1024" width="11.41796875" style="1"/>
  </cols>
  <sheetData>
    <row r="1" spans="1:5" x14ac:dyDescent="0.55000000000000004">
      <c r="A1" s="3" t="s">
        <v>0</v>
      </c>
      <c r="D1" s="2" t="s">
        <v>69</v>
      </c>
    </row>
    <row r="2" spans="1:5" x14ac:dyDescent="0.55000000000000004">
      <c r="A2" s="5" t="s">
        <v>2</v>
      </c>
      <c r="B2" s="5"/>
      <c r="D2" s="1" t="s">
        <v>1707</v>
      </c>
    </row>
    <row r="3" spans="1:5" x14ac:dyDescent="0.55000000000000004">
      <c r="A3" s="5"/>
      <c r="B3" s="5"/>
      <c r="C3" s="5" t="s">
        <v>4</v>
      </c>
      <c r="D3" s="2" t="s">
        <v>1708</v>
      </c>
    </row>
    <row r="4" spans="1:5" x14ac:dyDescent="0.55000000000000004">
      <c r="A4" s="5"/>
      <c r="B4" s="5"/>
      <c r="C4" s="5" t="s">
        <v>6</v>
      </c>
      <c r="D4" s="2">
        <v>2020</v>
      </c>
    </row>
    <row r="5" spans="1:5" ht="26.1" x14ac:dyDescent="0.55000000000000004">
      <c r="A5" s="5"/>
      <c r="B5" s="5"/>
      <c r="C5" s="5" t="s">
        <v>7</v>
      </c>
      <c r="D5" s="2" t="s">
        <v>1709</v>
      </c>
    </row>
    <row r="6" spans="1:5" x14ac:dyDescent="0.55000000000000004">
      <c r="A6" s="5"/>
      <c r="B6" s="5"/>
      <c r="C6" s="5" t="s">
        <v>9</v>
      </c>
      <c r="D6" s="2" t="s">
        <v>101</v>
      </c>
    </row>
    <row r="7" spans="1:5" x14ac:dyDescent="0.55000000000000004">
      <c r="A7" s="5"/>
      <c r="B7" s="5"/>
      <c r="C7" s="5" t="s">
        <v>11</v>
      </c>
      <c r="D7" s="2" t="s">
        <v>12</v>
      </c>
    </row>
    <row r="8" spans="1:5" x14ac:dyDescent="0.55000000000000004">
      <c r="A8" s="8" t="s">
        <v>13</v>
      </c>
      <c r="B8" s="8"/>
      <c r="C8" s="5"/>
    </row>
    <row r="9" spans="1:5" ht="26.1" x14ac:dyDescent="0.55000000000000004">
      <c r="A9" s="5"/>
      <c r="B9" s="5"/>
      <c r="C9" s="5" t="s">
        <v>14</v>
      </c>
      <c r="D9" s="2" t="s">
        <v>1710</v>
      </c>
    </row>
    <row r="10" spans="1:5" x14ac:dyDescent="0.55000000000000004">
      <c r="A10" s="5"/>
      <c r="B10" s="5"/>
      <c r="C10" s="5" t="s">
        <v>16</v>
      </c>
      <c r="D10" s="2" t="s">
        <v>86</v>
      </c>
      <c r="E10" s="1" t="s">
        <v>1711</v>
      </c>
    </row>
    <row r="11" spans="1:5" x14ac:dyDescent="0.55000000000000004">
      <c r="A11" s="5"/>
      <c r="B11" s="5"/>
      <c r="C11" s="5" t="s">
        <v>19</v>
      </c>
      <c r="D11" s="2" t="s">
        <v>20</v>
      </c>
    </row>
    <row r="12" spans="1:5" x14ac:dyDescent="0.55000000000000004">
      <c r="A12" s="5"/>
      <c r="B12" s="5"/>
      <c r="C12" s="5" t="s">
        <v>21</v>
      </c>
      <c r="D12" s="2" t="s">
        <v>20</v>
      </c>
    </row>
    <row r="13" spans="1:5" ht="26.1" x14ac:dyDescent="0.55000000000000004">
      <c r="A13" s="5"/>
      <c r="B13" s="5"/>
      <c r="C13" s="5" t="s">
        <v>22</v>
      </c>
      <c r="D13" s="2" t="s">
        <v>292</v>
      </c>
    </row>
    <row r="14" spans="1:5" x14ac:dyDescent="0.55000000000000004">
      <c r="A14" s="8" t="s">
        <v>24</v>
      </c>
      <c r="B14" s="8"/>
      <c r="C14" s="5"/>
    </row>
    <row r="15" spans="1:5" x14ac:dyDescent="0.55000000000000004">
      <c r="A15" s="5"/>
      <c r="B15" s="5"/>
      <c r="C15" s="5" t="s">
        <v>25</v>
      </c>
      <c r="D15" s="2" t="s">
        <v>293</v>
      </c>
    </row>
    <row r="16" spans="1:5" x14ac:dyDescent="0.55000000000000004">
      <c r="A16" s="5"/>
      <c r="B16" s="5"/>
      <c r="C16" s="5" t="s">
        <v>27</v>
      </c>
      <c r="D16" s="2" t="s">
        <v>294</v>
      </c>
    </row>
    <row r="17" spans="1:5" x14ac:dyDescent="0.55000000000000004">
      <c r="A17" s="8" t="s">
        <v>29</v>
      </c>
      <c r="B17" s="8"/>
      <c r="C17" s="5"/>
    </row>
    <row r="18" spans="1:5" ht="26.1" x14ac:dyDescent="0.55000000000000004">
      <c r="A18" s="5"/>
      <c r="B18" s="5"/>
      <c r="C18" s="5" t="s">
        <v>30</v>
      </c>
      <c r="D18" s="2" t="s">
        <v>295</v>
      </c>
    </row>
    <row r="19" spans="1:5" ht="39" x14ac:dyDescent="0.55000000000000004">
      <c r="A19" s="5"/>
      <c r="B19" s="5"/>
      <c r="C19" s="5" t="s">
        <v>32</v>
      </c>
      <c r="D19" s="2" t="s">
        <v>296</v>
      </c>
    </row>
    <row r="20" spans="1:5" x14ac:dyDescent="0.55000000000000004">
      <c r="A20" s="8" t="s">
        <v>34</v>
      </c>
      <c r="B20" s="8"/>
      <c r="C20" s="5"/>
      <c r="D20" s="2" t="s">
        <v>35</v>
      </c>
    </row>
    <row r="21" spans="1:5" x14ac:dyDescent="0.55000000000000004">
      <c r="A21" s="5"/>
      <c r="B21" s="5"/>
      <c r="C21" s="5" t="s">
        <v>36</v>
      </c>
      <c r="D21" s="2" t="s">
        <v>20</v>
      </c>
    </row>
    <row r="22" spans="1:5" x14ac:dyDescent="0.55000000000000004">
      <c r="A22" s="5"/>
      <c r="B22" s="5"/>
      <c r="C22" s="5" t="s">
        <v>37</v>
      </c>
      <c r="D22" s="2">
        <v>83</v>
      </c>
    </row>
    <row r="23" spans="1:5" x14ac:dyDescent="0.55000000000000004">
      <c r="A23" s="5"/>
      <c r="B23" s="5"/>
      <c r="C23" s="5" t="s">
        <v>38</v>
      </c>
      <c r="D23" s="2">
        <v>76</v>
      </c>
    </row>
    <row r="24" spans="1:5" x14ac:dyDescent="0.55000000000000004">
      <c r="A24" s="5"/>
      <c r="B24" s="5"/>
      <c r="C24" s="5" t="s">
        <v>39</v>
      </c>
      <c r="D24" s="2">
        <v>7</v>
      </c>
    </row>
    <row r="25" spans="1:5" x14ac:dyDescent="0.55000000000000004">
      <c r="A25" s="5"/>
      <c r="B25" s="5"/>
      <c r="C25" s="5" t="s">
        <v>40</v>
      </c>
      <c r="D25" s="7">
        <f>24/76*100</f>
        <v>31.578947368421051</v>
      </c>
    </row>
    <row r="26" spans="1:5" x14ac:dyDescent="0.55000000000000004">
      <c r="A26" s="5"/>
      <c r="B26" s="5"/>
      <c r="C26" s="5" t="s">
        <v>41</v>
      </c>
      <c r="D26" s="2">
        <v>62</v>
      </c>
    </row>
    <row r="27" spans="1:5" x14ac:dyDescent="0.55000000000000004">
      <c r="A27" s="5"/>
      <c r="B27" s="5"/>
      <c r="C27" s="5" t="s">
        <v>42</v>
      </c>
      <c r="D27" s="2" t="s">
        <v>20</v>
      </c>
    </row>
    <row r="28" spans="1:5" x14ac:dyDescent="0.55000000000000004">
      <c r="A28" s="5"/>
      <c r="B28" s="5"/>
      <c r="C28" s="5" t="s">
        <v>43</v>
      </c>
      <c r="D28" s="2" t="s">
        <v>20</v>
      </c>
    </row>
    <row r="29" spans="1:5" x14ac:dyDescent="0.55000000000000004">
      <c r="A29" s="5"/>
      <c r="B29" s="5"/>
      <c r="C29" s="5" t="s">
        <v>44</v>
      </c>
      <c r="D29" s="2">
        <v>2</v>
      </c>
    </row>
    <row r="30" spans="1:5" x14ac:dyDescent="0.55000000000000004">
      <c r="A30" s="5"/>
      <c r="B30" s="5"/>
      <c r="C30" s="5" t="s">
        <v>45</v>
      </c>
      <c r="D30" s="2">
        <v>44</v>
      </c>
      <c r="E30" s="1" t="s">
        <v>1340</v>
      </c>
    </row>
    <row r="31" spans="1:5" x14ac:dyDescent="0.55000000000000004">
      <c r="A31" s="5"/>
      <c r="B31" s="5"/>
      <c r="C31" s="5" t="s">
        <v>46</v>
      </c>
      <c r="D31" s="2">
        <v>1.8</v>
      </c>
    </row>
    <row r="32" spans="1:5" x14ac:dyDescent="0.55000000000000004">
      <c r="A32" s="8" t="s">
        <v>47</v>
      </c>
      <c r="B32" s="8"/>
      <c r="C32" s="5"/>
    </row>
    <row r="33" spans="1:10" ht="51.9" x14ac:dyDescent="0.55000000000000004">
      <c r="A33" s="5"/>
      <c r="B33" s="5"/>
      <c r="C33" s="5" t="s">
        <v>48</v>
      </c>
      <c r="D33" s="2" t="s">
        <v>1712</v>
      </c>
    </row>
    <row r="34" spans="1:10" x14ac:dyDescent="0.55000000000000004">
      <c r="A34" s="8" t="s">
        <v>50</v>
      </c>
      <c r="B34" s="8"/>
      <c r="C34" s="5"/>
    </row>
    <row r="35" spans="1:10" x14ac:dyDescent="0.55000000000000004">
      <c r="A35" s="8"/>
      <c r="B35" s="8"/>
      <c r="C35" s="5"/>
    </row>
    <row r="36" spans="1:10" x14ac:dyDescent="0.55000000000000004">
      <c r="A36" s="8"/>
      <c r="B36" s="5" t="s">
        <v>59</v>
      </c>
      <c r="C36" s="5"/>
      <c r="D36" s="2" t="s">
        <v>51</v>
      </c>
      <c r="E36" s="1" t="s">
        <v>52</v>
      </c>
      <c r="F36" s="1" t="s">
        <v>53</v>
      </c>
      <c r="G36" s="1" t="s">
        <v>54</v>
      </c>
      <c r="H36" s="1" t="s">
        <v>55</v>
      </c>
      <c r="I36" s="1" t="s">
        <v>56</v>
      </c>
      <c r="J36" s="1" t="s">
        <v>57</v>
      </c>
    </row>
    <row r="37" spans="1:10" x14ac:dyDescent="0.55000000000000004">
      <c r="A37" s="8"/>
      <c r="B37" s="5"/>
      <c r="C37" s="5" t="s">
        <v>1713</v>
      </c>
      <c r="D37" s="7">
        <v>10.5</v>
      </c>
      <c r="E37" s="10">
        <f>F37*SQRT(76)</f>
        <v>3.4871191548325395</v>
      </c>
      <c r="F37" s="10">
        <v>0.4</v>
      </c>
    </row>
    <row r="38" spans="1:10" x14ac:dyDescent="0.55000000000000004">
      <c r="A38" s="8"/>
      <c r="B38" s="5"/>
      <c r="C38" s="5" t="s">
        <v>1714</v>
      </c>
      <c r="D38" s="7">
        <v>6.1</v>
      </c>
      <c r="E38" s="10">
        <f>F38*SQRT(76)</f>
        <v>4.358898943540674</v>
      </c>
      <c r="F38" s="10">
        <v>0.5</v>
      </c>
    </row>
    <row r="39" spans="1:10" x14ac:dyDescent="0.55000000000000004">
      <c r="A39" s="8"/>
      <c r="B39" s="5"/>
    </row>
    <row r="40" spans="1:10" x14ac:dyDescent="0.55000000000000004">
      <c r="A40" s="8"/>
      <c r="B40" s="5"/>
    </row>
    <row r="41" spans="1:10" x14ac:dyDescent="0.55000000000000004">
      <c r="A41" s="8"/>
      <c r="B41" s="5"/>
    </row>
    <row r="42" spans="1:10" x14ac:dyDescent="0.55000000000000004">
      <c r="A42" s="8"/>
      <c r="B42" s="5"/>
    </row>
    <row r="43" spans="1:10" x14ac:dyDescent="0.55000000000000004">
      <c r="A43" s="8"/>
      <c r="B43" s="5"/>
      <c r="D43" s="7"/>
    </row>
    <row r="44" spans="1:10" x14ac:dyDescent="0.55000000000000004">
      <c r="A44" s="8"/>
      <c r="B44" s="5"/>
      <c r="D44" s="7"/>
    </row>
    <row r="45" spans="1:10" x14ac:dyDescent="0.55000000000000004">
      <c r="A45" s="8"/>
      <c r="B45" s="5" t="s">
        <v>61</v>
      </c>
      <c r="C45" s="5"/>
    </row>
    <row r="50" spans="3:6" x14ac:dyDescent="0.55000000000000004">
      <c r="C50" s="5"/>
      <c r="D50" s="7"/>
      <c r="E50" s="10"/>
      <c r="F50" s="10"/>
    </row>
    <row r="51" spans="3:6" x14ac:dyDescent="0.55000000000000004">
      <c r="C51" s="5"/>
      <c r="D51" s="7"/>
      <c r="E51" s="10"/>
      <c r="F51" s="10"/>
    </row>
    <row r="52" spans="3:6" x14ac:dyDescent="0.55000000000000004">
      <c r="C52" s="5"/>
      <c r="D52" s="7"/>
      <c r="E52" s="10"/>
      <c r="F52" s="10"/>
    </row>
    <row r="53" spans="3:6" x14ac:dyDescent="0.55000000000000004">
      <c r="C53" s="5"/>
      <c r="D53" s="7"/>
      <c r="E53" s="10"/>
      <c r="F53" s="10"/>
    </row>
    <row r="54" spans="3:6" x14ac:dyDescent="0.55000000000000004">
      <c r="C54" s="5"/>
      <c r="D54" s="7"/>
      <c r="E54" s="10"/>
      <c r="F54" s="10"/>
    </row>
    <row r="55" spans="3:6" x14ac:dyDescent="0.55000000000000004">
      <c r="C55" s="5"/>
      <c r="D55" s="7"/>
      <c r="E55" s="10"/>
      <c r="F55" s="10"/>
    </row>
    <row r="56" spans="3:6" x14ac:dyDescent="0.55000000000000004">
      <c r="C56" s="5"/>
      <c r="D56" s="7"/>
      <c r="E56" s="10"/>
      <c r="F56" s="10"/>
    </row>
    <row r="57" spans="3:6" x14ac:dyDescent="0.55000000000000004">
      <c r="C57" s="5"/>
      <c r="D57" s="7"/>
      <c r="E57" s="10"/>
      <c r="F57" s="10"/>
    </row>
    <row r="58" spans="3:6" x14ac:dyDescent="0.55000000000000004">
      <c r="C58" s="5"/>
      <c r="D58" s="7"/>
      <c r="E58" s="10"/>
      <c r="F58" s="10"/>
    </row>
    <row r="59" spans="3:6" x14ac:dyDescent="0.55000000000000004">
      <c r="C59" s="5"/>
      <c r="D59" s="7"/>
      <c r="E59" s="10"/>
      <c r="F59" s="10"/>
    </row>
    <row r="60" spans="3:6" x14ac:dyDescent="0.55000000000000004">
      <c r="C60" s="5"/>
      <c r="D60" s="7"/>
      <c r="E60" s="10"/>
      <c r="F60" s="10"/>
    </row>
    <row r="61" spans="3:6" x14ac:dyDescent="0.55000000000000004">
      <c r="C61" s="5"/>
      <c r="D61" s="7"/>
      <c r="E61" s="10"/>
      <c r="F61" s="10"/>
    </row>
    <row r="65" spans="1:6" x14ac:dyDescent="0.55000000000000004">
      <c r="A65" s="8"/>
      <c r="B65" s="5" t="s">
        <v>62</v>
      </c>
      <c r="C65" s="5"/>
      <c r="D65" s="2">
        <f>1/1440*60</f>
        <v>4.1666666666666671E-2</v>
      </c>
    </row>
    <row r="66" spans="1:6" x14ac:dyDescent="0.55000000000000004">
      <c r="A66" s="8"/>
      <c r="B66" s="5" t="s">
        <v>63</v>
      </c>
      <c r="C66" s="5"/>
      <c r="D66" s="2" t="s">
        <v>1715</v>
      </c>
    </row>
    <row r="67" spans="1:6" x14ac:dyDescent="0.55000000000000004">
      <c r="A67" s="8" t="s">
        <v>65</v>
      </c>
      <c r="B67" s="8"/>
      <c r="C67" s="5"/>
      <c r="D67" s="2" t="s">
        <v>1716</v>
      </c>
    </row>
    <row r="68" spans="1:6" x14ac:dyDescent="0.55000000000000004">
      <c r="A68" s="3" t="s">
        <v>67</v>
      </c>
      <c r="D68" s="2">
        <v>20</v>
      </c>
    </row>
    <row r="69" spans="1:6" x14ac:dyDescent="0.55000000000000004">
      <c r="A69" s="1" t="s">
        <v>68</v>
      </c>
      <c r="C69" s="1">
        <v>20</v>
      </c>
      <c r="D69" s="2">
        <v>28</v>
      </c>
    </row>
    <row r="70" spans="1:6" x14ac:dyDescent="0.55000000000000004">
      <c r="B70" s="1" t="s">
        <v>94</v>
      </c>
    </row>
    <row r="71" spans="1:6" x14ac:dyDescent="0.55000000000000004">
      <c r="C71" s="5" t="s">
        <v>1717</v>
      </c>
      <c r="D71" s="7">
        <v>5.74</v>
      </c>
      <c r="E71" s="10">
        <f>0.4*SQRT(76)</f>
        <v>3.4871191548325395</v>
      </c>
      <c r="F71" s="10">
        <v>0.4</v>
      </c>
    </row>
    <row r="72" spans="1:6" x14ac:dyDescent="0.55000000000000004">
      <c r="C72" s="5" t="s">
        <v>1718</v>
      </c>
      <c r="D72" s="7">
        <v>2.7</v>
      </c>
      <c r="E72" s="10">
        <f>0.4*SQRT(76)</f>
        <v>3.4871191548325395</v>
      </c>
      <c r="F72" s="10">
        <v>0.4</v>
      </c>
    </row>
    <row r="73" spans="1:6" x14ac:dyDescent="0.55000000000000004">
      <c r="C73" s="5" t="s">
        <v>1719</v>
      </c>
      <c r="D73" s="7">
        <v>8.4</v>
      </c>
      <c r="E73" s="10">
        <f>0.4*SQRT(76)</f>
        <v>3.4871191548325395</v>
      </c>
      <c r="F73" s="10">
        <v>0.4</v>
      </c>
    </row>
    <row r="74" spans="1:6" x14ac:dyDescent="0.55000000000000004">
      <c r="C74" s="5" t="s">
        <v>1720</v>
      </c>
      <c r="D74" s="7">
        <v>6.02</v>
      </c>
      <c r="E74" s="10">
        <f>0.4*SQRT(76)</f>
        <v>3.4871191548325395</v>
      </c>
      <c r="F74" s="10">
        <v>0.4</v>
      </c>
    </row>
  </sheetData>
  <pageMargins left="0.7" right="0.7" top="0.75" bottom="0.75" header="0.511811023622047" footer="0.511811023622047"/>
  <pageSetup paperSize="9" orientation="portrait" horizontalDpi="300" verticalDpi="300"/>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dimension ref="A1:AMJ69"/>
  <sheetViews>
    <sheetView topLeftCell="C1" zoomScale="90" zoomScaleNormal="90" workbookViewId="0">
      <selection activeCell="D25" sqref="D25"/>
    </sheetView>
  </sheetViews>
  <sheetFormatPr baseColWidth="10" defaultColWidth="11.41796875" defaultRowHeight="14.4" x14ac:dyDescent="0.55000000000000004"/>
  <cols>
    <col min="1" max="1" width="10.83984375" style="1" customWidth="1"/>
    <col min="2" max="2" width="18.83984375" style="1" customWidth="1"/>
    <col min="3" max="3" width="44.578125" style="1" customWidth="1"/>
    <col min="4" max="4" width="56.15625" style="2" customWidth="1"/>
    <col min="5" max="6" width="11.15625" style="1" customWidth="1"/>
    <col min="7" max="1024" width="11.41796875" style="1"/>
  </cols>
  <sheetData>
    <row r="1" spans="1:5" x14ac:dyDescent="0.55000000000000004">
      <c r="A1" s="3" t="s">
        <v>0</v>
      </c>
      <c r="D1" s="2" t="s">
        <v>323</v>
      </c>
    </row>
    <row r="2" spans="1:5" x14ac:dyDescent="0.55000000000000004">
      <c r="A2" s="58" t="s">
        <v>2</v>
      </c>
      <c r="B2" s="58"/>
      <c r="D2" s="1" t="s">
        <v>1721</v>
      </c>
    </row>
    <row r="3" spans="1:5" x14ac:dyDescent="0.55000000000000004">
      <c r="A3" s="58"/>
      <c r="B3" s="58"/>
      <c r="C3" s="5" t="s">
        <v>4</v>
      </c>
      <c r="D3" s="2" t="s">
        <v>1722</v>
      </c>
    </row>
    <row r="4" spans="1:5" x14ac:dyDescent="0.55000000000000004">
      <c r="A4" s="58"/>
      <c r="B4" s="58"/>
      <c r="C4" s="5" t="s">
        <v>6</v>
      </c>
      <c r="D4" s="2">
        <v>2013</v>
      </c>
    </row>
    <row r="5" spans="1:5" ht="39" x14ac:dyDescent="0.55000000000000004">
      <c r="A5" s="58"/>
      <c r="B5" s="58"/>
      <c r="C5" s="5" t="s">
        <v>7</v>
      </c>
      <c r="D5" s="2" t="s">
        <v>1723</v>
      </c>
    </row>
    <row r="6" spans="1:5" x14ac:dyDescent="0.55000000000000004">
      <c r="A6" s="58"/>
      <c r="B6" s="58"/>
      <c r="C6" s="5" t="s">
        <v>9</v>
      </c>
      <c r="D6" s="2" t="s">
        <v>1724</v>
      </c>
    </row>
    <row r="7" spans="1:5" x14ac:dyDescent="0.55000000000000004">
      <c r="A7" s="58"/>
      <c r="B7" s="58"/>
      <c r="C7" s="5" t="s">
        <v>11</v>
      </c>
      <c r="D7" s="2" t="s">
        <v>12</v>
      </c>
    </row>
    <row r="8" spans="1:5" x14ac:dyDescent="0.55000000000000004">
      <c r="A8" s="59" t="s">
        <v>13</v>
      </c>
      <c r="B8" s="59"/>
      <c r="C8" s="5"/>
    </row>
    <row r="9" spans="1:5" ht="26.1" x14ac:dyDescent="0.55000000000000004">
      <c r="A9" s="58"/>
      <c r="B9" s="58"/>
      <c r="C9" s="5" t="s">
        <v>14</v>
      </c>
      <c r="D9" s="2" t="s">
        <v>1725</v>
      </c>
    </row>
    <row r="10" spans="1:5" x14ac:dyDescent="0.55000000000000004">
      <c r="A10" s="58"/>
      <c r="B10" s="58"/>
      <c r="C10" s="5" t="s">
        <v>16</v>
      </c>
      <c r="D10" s="2" t="s">
        <v>165</v>
      </c>
      <c r="E10" s="1" t="s">
        <v>1726</v>
      </c>
    </row>
    <row r="11" spans="1:5" x14ac:dyDescent="0.55000000000000004">
      <c r="A11" s="58"/>
      <c r="B11" s="58"/>
      <c r="C11" s="5" t="s">
        <v>19</v>
      </c>
      <c r="D11" s="2" t="s">
        <v>20</v>
      </c>
    </row>
    <row r="12" spans="1:5" x14ac:dyDescent="0.55000000000000004">
      <c r="A12" s="58"/>
      <c r="B12" s="58"/>
      <c r="C12" s="5" t="s">
        <v>21</v>
      </c>
      <c r="D12" s="2" t="s">
        <v>20</v>
      </c>
    </row>
    <row r="13" spans="1:5" x14ac:dyDescent="0.55000000000000004">
      <c r="A13" s="58"/>
      <c r="B13" s="58"/>
      <c r="C13" s="5" t="s">
        <v>22</v>
      </c>
      <c r="D13" s="2" t="s">
        <v>20</v>
      </c>
    </row>
    <row r="14" spans="1:5" x14ac:dyDescent="0.55000000000000004">
      <c r="A14" s="59" t="s">
        <v>24</v>
      </c>
      <c r="B14" s="59"/>
      <c r="C14" s="5"/>
    </row>
    <row r="15" spans="1:5" x14ac:dyDescent="0.55000000000000004">
      <c r="A15" s="58"/>
      <c r="B15" s="58"/>
      <c r="C15" s="5" t="s">
        <v>25</v>
      </c>
      <c r="D15" s="2" t="s">
        <v>1727</v>
      </c>
    </row>
    <row r="16" spans="1:5" x14ac:dyDescent="0.55000000000000004">
      <c r="A16" s="58"/>
      <c r="B16" s="58"/>
      <c r="C16" s="5" t="s">
        <v>27</v>
      </c>
      <c r="D16" s="2" t="s">
        <v>88</v>
      </c>
    </row>
    <row r="17" spans="1:6" x14ac:dyDescent="0.55000000000000004">
      <c r="A17" s="59" t="s">
        <v>29</v>
      </c>
      <c r="B17" s="59"/>
      <c r="C17" s="5"/>
    </row>
    <row r="18" spans="1:6" ht="51.9" x14ac:dyDescent="0.55000000000000004">
      <c r="A18" s="58"/>
      <c r="B18" s="58"/>
      <c r="C18" s="5" t="s">
        <v>30</v>
      </c>
      <c r="D18" s="2" t="s">
        <v>1728</v>
      </c>
    </row>
    <row r="19" spans="1:6" ht="51.9" x14ac:dyDescent="0.55000000000000004">
      <c r="A19" s="58"/>
      <c r="B19" s="58"/>
      <c r="C19" s="5" t="s">
        <v>32</v>
      </c>
      <c r="D19" s="2" t="s">
        <v>1729</v>
      </c>
    </row>
    <row r="20" spans="1:6" x14ac:dyDescent="0.55000000000000004">
      <c r="A20" s="59" t="s">
        <v>34</v>
      </c>
      <c r="B20" s="59"/>
      <c r="C20" s="5"/>
      <c r="D20" s="2" t="s">
        <v>323</v>
      </c>
      <c r="E20" s="1" t="s">
        <v>109</v>
      </c>
      <c r="F20" s="1" t="s">
        <v>35</v>
      </c>
    </row>
    <row r="21" spans="1:6" x14ac:dyDescent="0.55000000000000004">
      <c r="A21" s="58"/>
      <c r="B21" s="58"/>
      <c r="C21" s="5" t="s">
        <v>36</v>
      </c>
      <c r="D21" s="2" t="s">
        <v>20</v>
      </c>
      <c r="E21" s="1" t="s">
        <v>20</v>
      </c>
      <c r="F21" s="2">
        <v>250</v>
      </c>
    </row>
    <row r="22" spans="1:6" x14ac:dyDescent="0.55000000000000004">
      <c r="A22" s="58"/>
      <c r="B22" s="58"/>
      <c r="C22" s="5" t="s">
        <v>37</v>
      </c>
      <c r="D22" s="2">
        <v>119</v>
      </c>
      <c r="E22" s="1">
        <v>125</v>
      </c>
      <c r="F22" s="2">
        <f>SUM(D22:E22)</f>
        <v>244</v>
      </c>
    </row>
    <row r="23" spans="1:6" x14ac:dyDescent="0.55000000000000004">
      <c r="A23" s="58"/>
      <c r="B23" s="58"/>
      <c r="C23" s="5" t="s">
        <v>38</v>
      </c>
      <c r="D23" s="2">
        <v>108</v>
      </c>
      <c r="E23" s="1">
        <v>111</v>
      </c>
      <c r="F23" s="2">
        <f>SUM(D23:E23)</f>
        <v>219</v>
      </c>
    </row>
    <row r="24" spans="1:6" x14ac:dyDescent="0.55000000000000004">
      <c r="A24" s="58"/>
      <c r="B24" s="58"/>
      <c r="C24" s="5" t="s">
        <v>39</v>
      </c>
      <c r="D24" s="2">
        <v>11</v>
      </c>
      <c r="E24" s="1">
        <v>14</v>
      </c>
      <c r="F24" s="2">
        <f>F22-F23</f>
        <v>25</v>
      </c>
    </row>
    <row r="25" spans="1:6" x14ac:dyDescent="0.55000000000000004">
      <c r="A25" s="58"/>
      <c r="B25" s="58"/>
      <c r="C25" s="5" t="s">
        <v>40</v>
      </c>
      <c r="D25" s="7">
        <f>(119-64)/D22</f>
        <v>0.46218487394957986</v>
      </c>
      <c r="E25" s="7">
        <f>(125-67)/E22</f>
        <v>0.46400000000000002</v>
      </c>
      <c r="F25" s="7">
        <f>((D25*D22)+(E25*E22))/F22</f>
        <v>0.46311475409836067</v>
      </c>
    </row>
    <row r="26" spans="1:6" x14ac:dyDescent="0.55000000000000004">
      <c r="A26" s="58"/>
      <c r="B26" s="58"/>
      <c r="C26" s="5" t="s">
        <v>41</v>
      </c>
      <c r="D26" s="7">
        <v>61.64</v>
      </c>
      <c r="E26" s="10">
        <v>61.56</v>
      </c>
      <c r="F26" s="7">
        <f>((D26*D22)+(E26*E22))/F22</f>
        <v>61.599016393442625</v>
      </c>
    </row>
    <row r="27" spans="1:6" x14ac:dyDescent="0.55000000000000004">
      <c r="A27" s="58"/>
      <c r="B27" s="58"/>
      <c r="C27" s="5" t="s">
        <v>42</v>
      </c>
      <c r="D27" s="7">
        <v>8.5299999999999994</v>
      </c>
      <c r="E27" s="10">
        <v>9.5</v>
      </c>
      <c r="F27" s="7">
        <f>SQRT((D23*(D27^2+(F$26-D26)^2)+E23*(E27^2+(F$26-E26)^2))/F23)</f>
        <v>9.0347572322515255</v>
      </c>
    </row>
    <row r="28" spans="1:6" x14ac:dyDescent="0.55000000000000004">
      <c r="A28" s="58"/>
      <c r="B28" s="58"/>
      <c r="C28" s="5" t="s">
        <v>43</v>
      </c>
      <c r="D28" s="2" t="s">
        <v>20</v>
      </c>
      <c r="E28" s="1" t="s">
        <v>20</v>
      </c>
      <c r="F28" s="2" t="s">
        <v>20</v>
      </c>
    </row>
    <row r="29" spans="1:6" x14ac:dyDescent="0.55000000000000004">
      <c r="A29" s="58"/>
      <c r="B29" s="58"/>
      <c r="C29" s="5" t="s">
        <v>44</v>
      </c>
      <c r="D29" s="2" t="s">
        <v>20</v>
      </c>
      <c r="E29" s="1" t="s">
        <v>20</v>
      </c>
      <c r="F29" s="2" t="s">
        <v>20</v>
      </c>
    </row>
    <row r="30" spans="1:6" x14ac:dyDescent="0.55000000000000004">
      <c r="A30" s="58"/>
      <c r="B30" s="58"/>
      <c r="C30" s="5" t="s">
        <v>45</v>
      </c>
      <c r="D30" s="7">
        <v>37.56</v>
      </c>
      <c r="E30" s="10">
        <v>37.81</v>
      </c>
      <c r="F30" s="7">
        <f>((D30*D23)+(E30*E23))/F23</f>
        <v>37.686712328767122</v>
      </c>
    </row>
    <row r="31" spans="1:6" x14ac:dyDescent="0.55000000000000004">
      <c r="A31" s="58"/>
      <c r="B31" s="58"/>
      <c r="C31" s="5" t="s">
        <v>46</v>
      </c>
      <c r="D31" s="7">
        <v>11.12</v>
      </c>
      <c r="E31" s="10">
        <v>12.86</v>
      </c>
      <c r="F31" s="7">
        <f>SQRT((D22*(D31^2+(F$30-D30)^2)+E22*(E31^2+(F$30-E30)^2))/F22)</f>
        <v>12.043489202035964</v>
      </c>
    </row>
    <row r="32" spans="1:6" x14ac:dyDescent="0.55000000000000004">
      <c r="A32" s="59" t="s">
        <v>47</v>
      </c>
      <c r="B32" s="59"/>
      <c r="C32" s="5"/>
    </row>
    <row r="33" spans="1:10" ht="26.1" x14ac:dyDescent="0.55000000000000004">
      <c r="A33" s="58"/>
      <c r="B33" s="58"/>
      <c r="C33" s="5" t="s">
        <v>48</v>
      </c>
      <c r="D33" s="2" t="s">
        <v>1730</v>
      </c>
    </row>
    <row r="34" spans="1:10" x14ac:dyDescent="0.55000000000000004">
      <c r="A34" s="59" t="s">
        <v>50</v>
      </c>
      <c r="B34" s="59"/>
      <c r="C34" s="5"/>
    </row>
    <row r="35" spans="1:10" x14ac:dyDescent="0.55000000000000004">
      <c r="A35" s="8"/>
      <c r="B35" s="8"/>
      <c r="C35" s="5"/>
      <c r="D35" s="12" t="s">
        <v>51</v>
      </c>
      <c r="E35" s="11" t="s">
        <v>52</v>
      </c>
      <c r="F35" s="11" t="s">
        <v>53</v>
      </c>
      <c r="G35" s="11" t="s">
        <v>54</v>
      </c>
      <c r="H35" s="11" t="s">
        <v>55</v>
      </c>
      <c r="I35" s="11" t="s">
        <v>56</v>
      </c>
      <c r="J35" s="11" t="s">
        <v>57</v>
      </c>
    </row>
    <row r="36" spans="1:10" x14ac:dyDescent="0.55000000000000004">
      <c r="A36" s="59"/>
      <c r="B36" s="5" t="s">
        <v>59</v>
      </c>
      <c r="C36" s="5"/>
    </row>
    <row r="37" spans="1:10" x14ac:dyDescent="0.55000000000000004">
      <c r="A37" s="59"/>
      <c r="B37" s="5"/>
      <c r="C37" s="5" t="s">
        <v>1731</v>
      </c>
      <c r="D37" s="2">
        <v>3.08</v>
      </c>
      <c r="E37" s="1">
        <v>1.5</v>
      </c>
    </row>
    <row r="38" spans="1:10" x14ac:dyDescent="0.55000000000000004">
      <c r="A38" s="59"/>
      <c r="B38" s="5"/>
      <c r="C38" s="5" t="s">
        <v>1732</v>
      </c>
      <c r="D38" s="2">
        <v>2.16</v>
      </c>
      <c r="E38" s="1">
        <v>1.1299999999999999</v>
      </c>
    </row>
    <row r="39" spans="1:10" x14ac:dyDescent="0.55000000000000004">
      <c r="A39" s="59"/>
      <c r="B39" s="5"/>
      <c r="C39" s="5" t="s">
        <v>172</v>
      </c>
      <c r="D39" s="2">
        <v>3.14</v>
      </c>
      <c r="E39" s="1">
        <v>1.45</v>
      </c>
    </row>
    <row r="40" spans="1:10" x14ac:dyDescent="0.55000000000000004">
      <c r="A40" s="59"/>
      <c r="B40" s="5"/>
      <c r="C40" s="5" t="s">
        <v>173</v>
      </c>
      <c r="D40" s="2">
        <v>2.68</v>
      </c>
      <c r="E40" s="1">
        <v>1.43</v>
      </c>
    </row>
    <row r="41" spans="1:10" x14ac:dyDescent="0.55000000000000004">
      <c r="A41" s="59"/>
    </row>
    <row r="42" spans="1:10" x14ac:dyDescent="0.55000000000000004">
      <c r="A42" s="59"/>
      <c r="B42" s="5"/>
    </row>
    <row r="43" spans="1:10" x14ac:dyDescent="0.55000000000000004">
      <c r="A43" s="59"/>
      <c r="B43" s="5"/>
      <c r="C43" s="5"/>
    </row>
    <row r="44" spans="1:10" x14ac:dyDescent="0.55000000000000004">
      <c r="A44" s="59"/>
      <c r="B44" s="5"/>
      <c r="C44" s="5"/>
    </row>
    <row r="45" spans="1:10" x14ac:dyDescent="0.55000000000000004">
      <c r="A45" s="59"/>
      <c r="B45" s="5" t="s">
        <v>61</v>
      </c>
      <c r="C45" s="5"/>
    </row>
    <row r="46" spans="1:10" x14ac:dyDescent="0.55000000000000004">
      <c r="A46" s="59"/>
      <c r="C46" s="5" t="s">
        <v>79</v>
      </c>
      <c r="D46" s="2">
        <v>1</v>
      </c>
    </row>
    <row r="47" spans="1:10" x14ac:dyDescent="0.55000000000000004">
      <c r="A47" s="59"/>
      <c r="B47" s="5"/>
      <c r="C47" s="5"/>
    </row>
    <row r="48" spans="1:10" x14ac:dyDescent="0.55000000000000004">
      <c r="A48" s="59"/>
      <c r="B48" s="5"/>
      <c r="C48" s="5"/>
    </row>
    <row r="49" spans="1:3" x14ac:dyDescent="0.55000000000000004">
      <c r="A49" s="59"/>
      <c r="B49" s="5"/>
      <c r="C49" s="5"/>
    </row>
    <row r="50" spans="1:3" x14ac:dyDescent="0.55000000000000004">
      <c r="A50" s="59"/>
      <c r="B50" s="5"/>
      <c r="C50" s="5"/>
    </row>
    <row r="51" spans="1:3" x14ac:dyDescent="0.55000000000000004">
      <c r="A51" s="59"/>
      <c r="B51" s="5"/>
      <c r="C51" s="5"/>
    </row>
    <row r="52" spans="1:3" x14ac:dyDescent="0.55000000000000004">
      <c r="A52" s="59"/>
      <c r="B52" s="5"/>
      <c r="C52" s="5"/>
    </row>
    <row r="53" spans="1:3" x14ac:dyDescent="0.55000000000000004">
      <c r="A53" s="59"/>
      <c r="B53" s="5"/>
      <c r="C53" s="5"/>
    </row>
    <row r="54" spans="1:3" x14ac:dyDescent="0.55000000000000004">
      <c r="A54" s="59"/>
      <c r="B54" s="5"/>
      <c r="C54" s="5"/>
    </row>
    <row r="55" spans="1:3" x14ac:dyDescent="0.55000000000000004">
      <c r="A55" s="59"/>
      <c r="B55" s="5"/>
      <c r="C55" s="5"/>
    </row>
    <row r="56" spans="1:3" x14ac:dyDescent="0.55000000000000004">
      <c r="A56" s="59"/>
      <c r="B56" s="5"/>
      <c r="C56" s="5"/>
    </row>
    <row r="57" spans="1:3" x14ac:dyDescent="0.55000000000000004">
      <c r="A57" s="59"/>
      <c r="B57" s="5"/>
    </row>
    <row r="58" spans="1:3" x14ac:dyDescent="0.55000000000000004">
      <c r="A58" s="59"/>
      <c r="B58" s="5"/>
    </row>
    <row r="59" spans="1:3" x14ac:dyDescent="0.55000000000000004">
      <c r="A59" s="59"/>
      <c r="B59" s="5"/>
    </row>
    <row r="60" spans="1:3" x14ac:dyDescent="0.55000000000000004">
      <c r="A60" s="59"/>
      <c r="B60" s="5"/>
    </row>
    <row r="61" spans="1:3" x14ac:dyDescent="0.55000000000000004">
      <c r="A61" s="59"/>
      <c r="B61" s="5"/>
    </row>
    <row r="62" spans="1:3" x14ac:dyDescent="0.55000000000000004">
      <c r="A62" s="59"/>
      <c r="B62" s="5"/>
    </row>
    <row r="63" spans="1:3" x14ac:dyDescent="0.55000000000000004">
      <c r="A63" s="59"/>
      <c r="B63" s="5"/>
    </row>
    <row r="64" spans="1:3" x14ac:dyDescent="0.55000000000000004">
      <c r="A64" s="59"/>
      <c r="B64" s="5"/>
    </row>
    <row r="65" spans="1:4" x14ac:dyDescent="0.55000000000000004">
      <c r="A65" s="59"/>
      <c r="B65" s="5" t="s">
        <v>62</v>
      </c>
      <c r="C65" s="5"/>
      <c r="D65" s="2">
        <f>12*7</f>
        <v>84</v>
      </c>
    </row>
    <row r="66" spans="1:4" x14ac:dyDescent="0.55000000000000004">
      <c r="A66" s="59"/>
      <c r="B66" s="5" t="s">
        <v>63</v>
      </c>
      <c r="C66" s="5"/>
      <c r="D66" s="2" t="s">
        <v>1733</v>
      </c>
    </row>
    <row r="67" spans="1:4" x14ac:dyDescent="0.55000000000000004">
      <c r="A67" s="59" t="s">
        <v>65</v>
      </c>
      <c r="B67" s="59"/>
      <c r="C67" s="5"/>
    </row>
    <row r="68" spans="1:4" x14ac:dyDescent="0.55000000000000004">
      <c r="A68" s="3" t="s">
        <v>67</v>
      </c>
    </row>
    <row r="69" spans="1:4" x14ac:dyDescent="0.55000000000000004">
      <c r="A69" s="1" t="s">
        <v>68</v>
      </c>
      <c r="C69" s="1">
        <v>20</v>
      </c>
      <c r="D69" s="2">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dimension ref="A1:AMJ72"/>
  <sheetViews>
    <sheetView topLeftCell="A9" zoomScale="90" zoomScaleNormal="90" workbookViewId="0">
      <selection activeCell="D68" sqref="D68"/>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4.15625" style="1" customWidth="1"/>
    <col min="6" max="6" width="3.41796875" style="1" customWidth="1"/>
    <col min="7" max="7" width="5.15625" style="1" customWidth="1"/>
    <col min="8" max="8" width="5.83984375" style="1" customWidth="1"/>
    <col min="9" max="1024" width="11.41796875" style="1"/>
  </cols>
  <sheetData>
    <row r="1" spans="1:4" x14ac:dyDescent="0.55000000000000004">
      <c r="A1" s="3" t="s">
        <v>0</v>
      </c>
      <c r="D1" s="2" t="s">
        <v>1734</v>
      </c>
    </row>
    <row r="2" spans="1:4" x14ac:dyDescent="0.55000000000000004">
      <c r="A2" s="58" t="s">
        <v>2</v>
      </c>
      <c r="B2" s="58"/>
      <c r="D2" s="1" t="s">
        <v>1735</v>
      </c>
    </row>
    <row r="3" spans="1:4" x14ac:dyDescent="0.55000000000000004">
      <c r="A3" s="58"/>
      <c r="B3" s="58"/>
      <c r="C3" s="5" t="s">
        <v>4</v>
      </c>
      <c r="D3" s="2" t="s">
        <v>1736</v>
      </c>
    </row>
    <row r="4" spans="1:4" x14ac:dyDescent="0.55000000000000004">
      <c r="A4" s="58"/>
      <c r="B4" s="58"/>
      <c r="C4" s="5" t="s">
        <v>6</v>
      </c>
      <c r="D4" s="2">
        <v>2018</v>
      </c>
    </row>
    <row r="5" spans="1:4" ht="26.1" x14ac:dyDescent="0.55000000000000004">
      <c r="A5" s="58"/>
      <c r="B5" s="58"/>
      <c r="C5" s="5" t="s">
        <v>7</v>
      </c>
      <c r="D5" s="2" t="s">
        <v>1737</v>
      </c>
    </row>
    <row r="6" spans="1:4" x14ac:dyDescent="0.55000000000000004">
      <c r="A6" s="58"/>
      <c r="B6" s="58"/>
      <c r="C6" s="5" t="s">
        <v>9</v>
      </c>
      <c r="D6" s="2" t="s">
        <v>1738</v>
      </c>
    </row>
    <row r="7" spans="1:4" x14ac:dyDescent="0.55000000000000004">
      <c r="A7" s="58"/>
      <c r="B7" s="58"/>
      <c r="C7" s="5" t="s">
        <v>11</v>
      </c>
      <c r="D7" s="2" t="s">
        <v>12</v>
      </c>
    </row>
    <row r="8" spans="1:4" x14ac:dyDescent="0.55000000000000004">
      <c r="A8" s="59" t="s">
        <v>13</v>
      </c>
      <c r="B8" s="59"/>
      <c r="C8" s="5"/>
    </row>
    <row r="9" spans="1:4" ht="26.1" x14ac:dyDescent="0.55000000000000004">
      <c r="A9" s="58"/>
      <c r="B9" s="58"/>
      <c r="C9" s="5" t="s">
        <v>14</v>
      </c>
      <c r="D9" s="2" t="s">
        <v>1739</v>
      </c>
    </row>
    <row r="10" spans="1:4" x14ac:dyDescent="0.55000000000000004">
      <c r="A10" s="58"/>
      <c r="B10" s="58"/>
      <c r="C10" s="5" t="s">
        <v>16</v>
      </c>
      <c r="D10" s="2" t="s">
        <v>165</v>
      </c>
    </row>
    <row r="11" spans="1:4" x14ac:dyDescent="0.55000000000000004">
      <c r="A11" s="58"/>
      <c r="B11" s="58"/>
      <c r="C11" s="5" t="s">
        <v>19</v>
      </c>
      <c r="D11" s="2" t="s">
        <v>20</v>
      </c>
    </row>
    <row r="12" spans="1:4" x14ac:dyDescent="0.55000000000000004">
      <c r="A12" s="58"/>
      <c r="B12" s="58"/>
      <c r="C12" s="5" t="s">
        <v>21</v>
      </c>
      <c r="D12" s="2" t="s">
        <v>20</v>
      </c>
    </row>
    <row r="13" spans="1:4" x14ac:dyDescent="0.55000000000000004">
      <c r="A13" s="58"/>
      <c r="B13" s="58"/>
      <c r="C13" s="5" t="s">
        <v>22</v>
      </c>
      <c r="D13" s="2" t="s">
        <v>20</v>
      </c>
    </row>
    <row r="14" spans="1:4" x14ac:dyDescent="0.55000000000000004">
      <c r="A14" s="59" t="s">
        <v>24</v>
      </c>
      <c r="B14" s="59"/>
      <c r="C14" s="5"/>
    </row>
    <row r="15" spans="1:4" x14ac:dyDescent="0.55000000000000004">
      <c r="A15" s="58"/>
      <c r="B15" s="58"/>
      <c r="C15" s="5" t="s">
        <v>25</v>
      </c>
      <c r="D15" s="2" t="s">
        <v>755</v>
      </c>
    </row>
    <row r="16" spans="1:4" x14ac:dyDescent="0.55000000000000004">
      <c r="A16" s="58"/>
      <c r="B16" s="58"/>
      <c r="C16" s="5" t="s">
        <v>27</v>
      </c>
      <c r="D16" s="2" t="s">
        <v>1740</v>
      </c>
    </row>
    <row r="17" spans="1:4" x14ac:dyDescent="0.55000000000000004">
      <c r="A17" s="59" t="s">
        <v>29</v>
      </c>
      <c r="B17" s="59"/>
      <c r="C17" s="5"/>
    </row>
    <row r="18" spans="1:4" ht="39" x14ac:dyDescent="0.55000000000000004">
      <c r="A18" s="58"/>
      <c r="B18" s="58"/>
      <c r="C18" s="5" t="s">
        <v>30</v>
      </c>
      <c r="D18" s="2" t="s">
        <v>1741</v>
      </c>
    </row>
    <row r="19" spans="1:4" ht="39" x14ac:dyDescent="0.55000000000000004">
      <c r="A19" s="58"/>
      <c r="B19" s="58"/>
      <c r="C19" s="5" t="s">
        <v>32</v>
      </c>
      <c r="D19" s="2" t="s">
        <v>1742</v>
      </c>
    </row>
    <row r="20" spans="1:4" x14ac:dyDescent="0.55000000000000004">
      <c r="A20" s="59" t="s">
        <v>34</v>
      </c>
      <c r="B20" s="59"/>
      <c r="C20" s="5"/>
      <c r="D20" s="2" t="s">
        <v>35</v>
      </c>
    </row>
    <row r="21" spans="1:4" x14ac:dyDescent="0.55000000000000004">
      <c r="A21" s="58"/>
      <c r="B21" s="58"/>
      <c r="C21" s="5" t="s">
        <v>36</v>
      </c>
      <c r="D21" s="2" t="s">
        <v>20</v>
      </c>
    </row>
    <row r="22" spans="1:4" x14ac:dyDescent="0.55000000000000004">
      <c r="A22" s="58"/>
      <c r="B22" s="58"/>
      <c r="C22" s="5" t="s">
        <v>37</v>
      </c>
      <c r="D22" s="2">
        <v>80</v>
      </c>
    </row>
    <row r="23" spans="1:4" x14ac:dyDescent="0.55000000000000004">
      <c r="A23" s="58"/>
      <c r="B23" s="58"/>
      <c r="C23" s="5" t="s">
        <v>38</v>
      </c>
      <c r="D23" s="2">
        <v>80</v>
      </c>
    </row>
    <row r="24" spans="1:4" x14ac:dyDescent="0.55000000000000004">
      <c r="A24" s="58"/>
      <c r="B24" s="58"/>
      <c r="C24" s="5" t="s">
        <v>39</v>
      </c>
      <c r="D24" s="2" t="s">
        <v>20</v>
      </c>
    </row>
    <row r="25" spans="1:4" x14ac:dyDescent="0.55000000000000004">
      <c r="A25" s="58"/>
      <c r="B25" s="58"/>
      <c r="C25" s="5" t="s">
        <v>40</v>
      </c>
      <c r="D25" s="2">
        <v>41</v>
      </c>
    </row>
    <row r="26" spans="1:4" x14ac:dyDescent="0.55000000000000004">
      <c r="A26" s="58"/>
      <c r="B26" s="58"/>
      <c r="C26" s="5" t="s">
        <v>41</v>
      </c>
      <c r="D26" s="7">
        <f>(63.47+64.13)/2</f>
        <v>63.8</v>
      </c>
    </row>
    <row r="27" spans="1:4" x14ac:dyDescent="0.55000000000000004">
      <c r="A27" s="58"/>
      <c r="B27" s="58"/>
      <c r="C27" s="5" t="s">
        <v>42</v>
      </c>
      <c r="D27" s="7">
        <f>(9.58+8.71)/2</f>
        <v>9.1449999999999996</v>
      </c>
    </row>
    <row r="28" spans="1:4" x14ac:dyDescent="0.55000000000000004">
      <c r="A28" s="58"/>
      <c r="B28" s="58"/>
      <c r="C28" s="5" t="s">
        <v>43</v>
      </c>
      <c r="D28" s="2" t="s">
        <v>20</v>
      </c>
    </row>
    <row r="29" spans="1:4" x14ac:dyDescent="0.55000000000000004">
      <c r="A29" s="58"/>
      <c r="B29" s="58"/>
      <c r="C29" s="5" t="s">
        <v>44</v>
      </c>
      <c r="D29" s="2" t="s">
        <v>20</v>
      </c>
    </row>
    <row r="30" spans="1:4" x14ac:dyDescent="0.55000000000000004">
      <c r="A30" s="58"/>
      <c r="B30" s="58"/>
      <c r="C30" s="5" t="s">
        <v>45</v>
      </c>
      <c r="D30" s="2" t="s">
        <v>20</v>
      </c>
    </row>
    <row r="31" spans="1:4" x14ac:dyDescent="0.55000000000000004">
      <c r="A31" s="58"/>
      <c r="B31" s="58"/>
      <c r="C31" s="5" t="s">
        <v>46</v>
      </c>
      <c r="D31" s="2" t="s">
        <v>20</v>
      </c>
    </row>
    <row r="32" spans="1:4" x14ac:dyDescent="0.55000000000000004">
      <c r="A32" s="59" t="s">
        <v>47</v>
      </c>
      <c r="B32" s="59"/>
      <c r="C32" s="5"/>
    </row>
    <row r="33" spans="1:10" x14ac:dyDescent="0.55000000000000004">
      <c r="A33" s="58"/>
      <c r="B33" s="58"/>
      <c r="C33" s="5" t="s">
        <v>48</v>
      </c>
      <c r="D33" s="2" t="s">
        <v>1743</v>
      </c>
    </row>
    <row r="34" spans="1:10" x14ac:dyDescent="0.55000000000000004">
      <c r="A34" s="59" t="s">
        <v>50</v>
      </c>
      <c r="B34" s="59"/>
      <c r="C34" s="5"/>
    </row>
    <row r="35" spans="1:10" x14ac:dyDescent="0.55000000000000004">
      <c r="A35" s="8"/>
      <c r="B35" s="8"/>
      <c r="C35" s="5"/>
      <c r="D35" s="12" t="s">
        <v>51</v>
      </c>
      <c r="E35" s="11" t="s">
        <v>52</v>
      </c>
      <c r="F35" s="11" t="s">
        <v>53</v>
      </c>
      <c r="G35" s="11" t="s">
        <v>54</v>
      </c>
      <c r="H35" s="11" t="s">
        <v>55</v>
      </c>
      <c r="I35" s="11" t="s">
        <v>56</v>
      </c>
      <c r="J35" s="11" t="s">
        <v>57</v>
      </c>
    </row>
    <row r="36" spans="1:10" x14ac:dyDescent="0.55000000000000004">
      <c r="A36" s="59"/>
      <c r="B36" s="5" t="s">
        <v>59</v>
      </c>
      <c r="C36" s="5"/>
    </row>
    <row r="37" spans="1:10" x14ac:dyDescent="0.55000000000000004">
      <c r="A37" s="59"/>
      <c r="B37" s="5"/>
      <c r="C37" s="5" t="s">
        <v>1744</v>
      </c>
      <c r="D37" s="2">
        <v>5.0199999999999996</v>
      </c>
      <c r="E37" s="1">
        <v>3.76</v>
      </c>
    </row>
    <row r="38" spans="1:10" x14ac:dyDescent="0.55000000000000004">
      <c r="A38" s="59"/>
      <c r="B38" s="5"/>
      <c r="C38" s="5" t="s">
        <v>1745</v>
      </c>
      <c r="D38" s="2">
        <v>5.23</v>
      </c>
      <c r="E38" s="1">
        <v>3.59</v>
      </c>
    </row>
    <row r="39" spans="1:10" x14ac:dyDescent="0.55000000000000004">
      <c r="A39" s="59"/>
      <c r="B39" s="5"/>
      <c r="C39" s="5" t="s">
        <v>1746</v>
      </c>
      <c r="D39" s="2">
        <v>3.29</v>
      </c>
      <c r="E39" s="1">
        <v>2.99</v>
      </c>
    </row>
    <row r="40" spans="1:10" x14ac:dyDescent="0.55000000000000004">
      <c r="A40" s="59"/>
      <c r="B40" s="5"/>
      <c r="C40" s="5" t="s">
        <v>1747</v>
      </c>
      <c r="D40" s="2">
        <v>3.95</v>
      </c>
      <c r="E40" s="1">
        <v>3.46</v>
      </c>
    </row>
    <row r="41" spans="1:10" x14ac:dyDescent="0.55000000000000004">
      <c r="A41" s="59"/>
      <c r="B41" s="5"/>
    </row>
    <row r="42" spans="1:10" x14ac:dyDescent="0.55000000000000004">
      <c r="A42" s="59"/>
      <c r="B42" s="5"/>
    </row>
    <row r="43" spans="1:10" x14ac:dyDescent="0.55000000000000004">
      <c r="A43" s="59"/>
      <c r="B43" s="5"/>
      <c r="C43" s="5"/>
    </row>
    <row r="44" spans="1:10" x14ac:dyDescent="0.55000000000000004">
      <c r="A44" s="59"/>
      <c r="B44" s="5"/>
      <c r="C44" s="5"/>
    </row>
    <row r="45" spans="1:10" x14ac:dyDescent="0.55000000000000004">
      <c r="A45" s="59"/>
      <c r="B45" s="5" t="s">
        <v>61</v>
      </c>
      <c r="C45" s="5"/>
    </row>
    <row r="46" spans="1:10" x14ac:dyDescent="0.55000000000000004">
      <c r="A46" s="59"/>
      <c r="B46" s="5"/>
      <c r="C46" s="5" t="s">
        <v>1748</v>
      </c>
    </row>
    <row r="47" spans="1:10" x14ac:dyDescent="0.55000000000000004">
      <c r="A47" s="59"/>
      <c r="B47" s="5"/>
      <c r="C47" s="5"/>
    </row>
    <row r="48" spans="1:10" x14ac:dyDescent="0.55000000000000004">
      <c r="A48" s="59"/>
      <c r="B48" s="5"/>
      <c r="C48" s="5"/>
    </row>
    <row r="49" spans="1:3" x14ac:dyDescent="0.55000000000000004">
      <c r="A49" s="59"/>
      <c r="B49" s="5"/>
      <c r="C49" s="5"/>
    </row>
    <row r="50" spans="1:3" x14ac:dyDescent="0.55000000000000004">
      <c r="A50" s="59"/>
      <c r="B50" s="5"/>
      <c r="C50" s="5"/>
    </row>
    <row r="51" spans="1:3" x14ac:dyDescent="0.55000000000000004">
      <c r="A51" s="59"/>
      <c r="B51" s="5"/>
      <c r="C51" s="5"/>
    </row>
    <row r="52" spans="1:3" x14ac:dyDescent="0.55000000000000004">
      <c r="A52" s="59"/>
      <c r="B52" s="5"/>
      <c r="C52" s="5"/>
    </row>
    <row r="53" spans="1:3" x14ac:dyDescent="0.55000000000000004">
      <c r="A53" s="59"/>
      <c r="B53" s="5"/>
      <c r="C53" s="5"/>
    </row>
    <row r="54" spans="1:3" x14ac:dyDescent="0.55000000000000004">
      <c r="A54" s="59"/>
      <c r="B54" s="5"/>
      <c r="C54" s="5"/>
    </row>
    <row r="55" spans="1:3" x14ac:dyDescent="0.55000000000000004">
      <c r="A55" s="59"/>
      <c r="B55" s="5"/>
      <c r="C55" s="5"/>
    </row>
    <row r="56" spans="1:3" x14ac:dyDescent="0.55000000000000004">
      <c r="A56" s="59"/>
      <c r="B56" s="5"/>
      <c r="C56" s="5"/>
    </row>
    <row r="57" spans="1:3" x14ac:dyDescent="0.55000000000000004">
      <c r="A57" s="59"/>
      <c r="B57" s="5"/>
      <c r="C57" s="5"/>
    </row>
    <row r="58" spans="1:3" x14ac:dyDescent="0.55000000000000004">
      <c r="A58" s="59"/>
      <c r="B58" s="5"/>
      <c r="C58" s="5"/>
    </row>
    <row r="59" spans="1:3" x14ac:dyDescent="0.55000000000000004">
      <c r="A59" s="59"/>
      <c r="B59" s="5"/>
      <c r="C59" s="5"/>
    </row>
    <row r="60" spans="1:3" x14ac:dyDescent="0.55000000000000004">
      <c r="A60" s="59"/>
      <c r="B60" s="5"/>
      <c r="C60" s="5"/>
    </row>
    <row r="61" spans="1:3" x14ac:dyDescent="0.55000000000000004">
      <c r="A61" s="59"/>
      <c r="B61" s="5"/>
      <c r="C61" s="5"/>
    </row>
    <row r="62" spans="1:3" x14ac:dyDescent="0.55000000000000004">
      <c r="A62" s="59"/>
      <c r="B62" s="5"/>
      <c r="C62" s="5"/>
    </row>
    <row r="63" spans="1:3" x14ac:dyDescent="0.55000000000000004">
      <c r="A63" s="59"/>
      <c r="B63" s="5"/>
      <c r="C63" s="5"/>
    </row>
    <row r="64" spans="1:3" x14ac:dyDescent="0.55000000000000004">
      <c r="A64" s="59"/>
      <c r="B64" s="5"/>
      <c r="C64" s="5"/>
    </row>
    <row r="65" spans="1:5" x14ac:dyDescent="0.55000000000000004">
      <c r="A65" s="59"/>
      <c r="B65" s="5" t="s">
        <v>62</v>
      </c>
      <c r="C65" s="5"/>
      <c r="D65" s="2">
        <f>26*7</f>
        <v>182</v>
      </c>
    </row>
    <row r="66" spans="1:5" x14ac:dyDescent="0.55000000000000004">
      <c r="A66" s="59"/>
      <c r="B66" s="5" t="s">
        <v>63</v>
      </c>
      <c r="C66" s="5"/>
      <c r="D66" s="2" t="s">
        <v>1749</v>
      </c>
    </row>
    <row r="67" spans="1:5" ht="26.1" x14ac:dyDescent="0.55000000000000004">
      <c r="A67" s="59" t="s">
        <v>65</v>
      </c>
      <c r="B67" s="59"/>
      <c r="C67" s="5"/>
      <c r="D67" s="2" t="s">
        <v>1750</v>
      </c>
    </row>
    <row r="68" spans="1:5" x14ac:dyDescent="0.55000000000000004">
      <c r="A68" s="3" t="s">
        <v>67</v>
      </c>
    </row>
    <row r="69" spans="1:5" x14ac:dyDescent="0.55000000000000004">
      <c r="A69" s="1" t="s">
        <v>68</v>
      </c>
      <c r="C69" s="1">
        <v>7</v>
      </c>
      <c r="D69" s="2">
        <v>28</v>
      </c>
    </row>
    <row r="70" spans="1:5" x14ac:dyDescent="0.55000000000000004">
      <c r="B70" s="1" t="s">
        <v>94</v>
      </c>
    </row>
    <row r="71" spans="1:5" x14ac:dyDescent="0.55000000000000004">
      <c r="C71" s="5" t="s">
        <v>1751</v>
      </c>
      <c r="D71" s="2">
        <v>1.73</v>
      </c>
      <c r="E71" s="1">
        <v>3.03</v>
      </c>
    </row>
    <row r="72" spans="1:5" x14ac:dyDescent="0.55000000000000004">
      <c r="C72" s="5" t="s">
        <v>1752</v>
      </c>
      <c r="D72" s="2">
        <v>1.28</v>
      </c>
      <c r="E72" s="1">
        <v>2.35</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dimension ref="A1:AMJ69"/>
  <sheetViews>
    <sheetView topLeftCell="A15" zoomScale="90" zoomScaleNormal="90" workbookViewId="0">
      <selection activeCell="C37" sqref="C37"/>
    </sheetView>
  </sheetViews>
  <sheetFormatPr baseColWidth="10" defaultColWidth="11.41796875" defaultRowHeight="14.4" x14ac:dyDescent="0.55000000000000004"/>
  <cols>
    <col min="1" max="1" width="9.83984375" style="1" customWidth="1"/>
    <col min="2" max="2" width="17.41796875" style="1" customWidth="1"/>
    <col min="3" max="3" width="42.15625" style="1" customWidth="1"/>
    <col min="4" max="4" width="56.15625" style="2" customWidth="1"/>
    <col min="5" max="5" width="9.83984375" style="1" customWidth="1"/>
    <col min="6" max="6" width="4.83984375" style="1" customWidth="1"/>
    <col min="7" max="7" width="5.15625" style="1" customWidth="1"/>
    <col min="8" max="1024" width="11.41796875" style="1"/>
  </cols>
  <sheetData>
    <row r="1" spans="1:5" x14ac:dyDescent="0.55000000000000004">
      <c r="A1" s="3" t="s">
        <v>0</v>
      </c>
      <c r="D1" s="2" t="s">
        <v>1753</v>
      </c>
    </row>
    <row r="2" spans="1:5" x14ac:dyDescent="0.55000000000000004">
      <c r="A2" s="58" t="s">
        <v>2</v>
      </c>
      <c r="B2" s="58"/>
      <c r="D2" s="1" t="s">
        <v>1754</v>
      </c>
    </row>
    <row r="3" spans="1:5" x14ac:dyDescent="0.55000000000000004">
      <c r="A3" s="58"/>
      <c r="B3" s="58"/>
      <c r="C3" s="5" t="s">
        <v>4</v>
      </c>
      <c r="D3" s="2" t="s">
        <v>1755</v>
      </c>
    </row>
    <row r="4" spans="1:5" x14ac:dyDescent="0.55000000000000004">
      <c r="A4" s="58"/>
      <c r="B4" s="58"/>
      <c r="C4" s="5" t="s">
        <v>6</v>
      </c>
      <c r="D4" s="2">
        <v>2015</v>
      </c>
    </row>
    <row r="5" spans="1:5" ht="26.1" x14ac:dyDescent="0.55000000000000004">
      <c r="A5" s="58"/>
      <c r="B5" s="58"/>
      <c r="C5" s="5" t="s">
        <v>7</v>
      </c>
      <c r="D5" s="2" t="s">
        <v>1756</v>
      </c>
    </row>
    <row r="6" spans="1:5" x14ac:dyDescent="0.55000000000000004">
      <c r="A6" s="58"/>
      <c r="B6" s="58"/>
      <c r="C6" s="5" t="s">
        <v>9</v>
      </c>
      <c r="D6" s="2" t="s">
        <v>1757</v>
      </c>
    </row>
    <row r="7" spans="1:5" x14ac:dyDescent="0.55000000000000004">
      <c r="A7" s="58"/>
      <c r="B7" s="58"/>
      <c r="C7" s="5" t="s">
        <v>11</v>
      </c>
      <c r="D7" s="2" t="s">
        <v>12</v>
      </c>
    </row>
    <row r="8" spans="1:5" x14ac:dyDescent="0.55000000000000004">
      <c r="A8" s="59" t="s">
        <v>13</v>
      </c>
      <c r="B8" s="59"/>
      <c r="C8" s="5"/>
    </row>
    <row r="9" spans="1:5" ht="26.1" x14ac:dyDescent="0.55000000000000004">
      <c r="A9" s="58"/>
      <c r="B9" s="58"/>
      <c r="C9" s="5" t="s">
        <v>14</v>
      </c>
      <c r="D9" s="2" t="s">
        <v>1758</v>
      </c>
    </row>
    <row r="10" spans="1:5" x14ac:dyDescent="0.55000000000000004">
      <c r="A10" s="58"/>
      <c r="B10" s="58"/>
      <c r="C10" s="5" t="s">
        <v>16</v>
      </c>
      <c r="D10" s="2" t="s">
        <v>165</v>
      </c>
      <c r="E10" s="1" t="s">
        <v>1726</v>
      </c>
    </row>
    <row r="11" spans="1:5" x14ac:dyDescent="0.55000000000000004">
      <c r="A11" s="58"/>
      <c r="B11" s="58"/>
      <c r="C11" s="5" t="s">
        <v>19</v>
      </c>
      <c r="D11" s="21">
        <v>38687</v>
      </c>
    </row>
    <row r="12" spans="1:5" x14ac:dyDescent="0.55000000000000004">
      <c r="A12" s="58"/>
      <c r="B12" s="58"/>
      <c r="C12" s="5" t="s">
        <v>21</v>
      </c>
      <c r="D12" s="21">
        <v>40969</v>
      </c>
    </row>
    <row r="13" spans="1:5" x14ac:dyDescent="0.55000000000000004">
      <c r="A13" s="58"/>
      <c r="B13" s="58"/>
      <c r="C13" s="5" t="s">
        <v>22</v>
      </c>
      <c r="D13" s="2" t="s">
        <v>20</v>
      </c>
    </row>
    <row r="14" spans="1:5" x14ac:dyDescent="0.55000000000000004">
      <c r="A14" s="59" t="s">
        <v>24</v>
      </c>
      <c r="B14" s="59"/>
      <c r="C14" s="5"/>
    </row>
    <row r="15" spans="1:5" x14ac:dyDescent="0.55000000000000004">
      <c r="A15" s="58"/>
      <c r="B15" s="58"/>
      <c r="C15" s="5" t="s">
        <v>25</v>
      </c>
      <c r="D15" s="2" t="s">
        <v>755</v>
      </c>
    </row>
    <row r="16" spans="1:5" x14ac:dyDescent="0.55000000000000004">
      <c r="A16" s="58"/>
      <c r="B16" s="58"/>
      <c r="C16" s="5" t="s">
        <v>27</v>
      </c>
      <c r="D16" s="2" t="s">
        <v>88</v>
      </c>
    </row>
    <row r="17" spans="1:6" x14ac:dyDescent="0.55000000000000004">
      <c r="A17" s="59" t="s">
        <v>29</v>
      </c>
      <c r="B17" s="59"/>
      <c r="C17" s="5"/>
    </row>
    <row r="18" spans="1:6" ht="26.1" x14ac:dyDescent="0.55000000000000004">
      <c r="A18" s="58"/>
      <c r="B18" s="58"/>
      <c r="C18" s="5" t="s">
        <v>30</v>
      </c>
      <c r="D18" s="2" t="s">
        <v>1759</v>
      </c>
    </row>
    <row r="19" spans="1:6" ht="26.1" x14ac:dyDescent="0.55000000000000004">
      <c r="A19" s="58"/>
      <c r="B19" s="58"/>
      <c r="C19" s="5" t="s">
        <v>32</v>
      </c>
      <c r="D19" s="2" t="s">
        <v>1760</v>
      </c>
    </row>
    <row r="20" spans="1:6" x14ac:dyDescent="0.55000000000000004">
      <c r="A20" s="59" t="s">
        <v>34</v>
      </c>
      <c r="B20" s="59"/>
      <c r="C20" s="5"/>
      <c r="D20" s="2" t="s">
        <v>1753</v>
      </c>
      <c r="E20" s="1" t="s">
        <v>109</v>
      </c>
      <c r="F20" s="1" t="s">
        <v>35</v>
      </c>
    </row>
    <row r="21" spans="1:6" x14ac:dyDescent="0.55000000000000004">
      <c r="A21" s="58"/>
      <c r="B21" s="58"/>
      <c r="C21" s="5" t="s">
        <v>36</v>
      </c>
      <c r="D21" s="2" t="s">
        <v>20</v>
      </c>
    </row>
    <row r="22" spans="1:6" x14ac:dyDescent="0.55000000000000004">
      <c r="A22" s="58"/>
      <c r="B22" s="58"/>
      <c r="C22" s="5" t="s">
        <v>37</v>
      </c>
      <c r="D22" s="2">
        <v>120</v>
      </c>
      <c r="E22" s="1">
        <v>120</v>
      </c>
      <c r="F22" s="1">
        <v>240</v>
      </c>
    </row>
    <row r="23" spans="1:6" x14ac:dyDescent="0.55000000000000004">
      <c r="A23" s="58"/>
      <c r="B23" s="58"/>
      <c r="C23" s="5" t="s">
        <v>38</v>
      </c>
      <c r="D23" s="2">
        <v>109</v>
      </c>
      <c r="E23" s="1">
        <v>110</v>
      </c>
      <c r="F23" s="1">
        <f>SUM(D23:E23)</f>
        <v>219</v>
      </c>
    </row>
    <row r="24" spans="1:6" x14ac:dyDescent="0.55000000000000004">
      <c r="A24" s="58"/>
      <c r="B24" s="58"/>
      <c r="C24" s="5" t="s">
        <v>39</v>
      </c>
      <c r="D24" s="2" t="s">
        <v>20</v>
      </c>
      <c r="E24" s="1" t="s">
        <v>20</v>
      </c>
      <c r="F24" s="1">
        <v>21</v>
      </c>
    </row>
    <row r="25" spans="1:6" x14ac:dyDescent="0.55000000000000004">
      <c r="A25" s="58"/>
      <c r="B25" s="58"/>
      <c r="C25" s="5" t="s">
        <v>40</v>
      </c>
      <c r="D25" s="7">
        <f>(109-64)/D23</f>
        <v>0.41284403669724773</v>
      </c>
      <c r="E25" s="10">
        <f>(110-67)/E23</f>
        <v>0.39090909090909093</v>
      </c>
      <c r="F25" s="7">
        <f>((109-64)+(110-67))/F23</f>
        <v>0.40182648401826482</v>
      </c>
    </row>
    <row r="26" spans="1:6" x14ac:dyDescent="0.55000000000000004">
      <c r="A26" s="58"/>
      <c r="B26" s="58"/>
      <c r="C26" s="5" t="s">
        <v>41</v>
      </c>
      <c r="D26" s="7">
        <v>62.72</v>
      </c>
      <c r="E26" s="1">
        <v>63.65</v>
      </c>
      <c r="F26" s="7">
        <f>((D26*D23)+(E26*E23))/F23</f>
        <v>63.187123287671234</v>
      </c>
    </row>
    <row r="27" spans="1:6" x14ac:dyDescent="0.55000000000000004">
      <c r="A27" s="58"/>
      <c r="B27" s="58"/>
      <c r="C27" s="5" t="s">
        <v>42</v>
      </c>
      <c r="D27" s="7">
        <v>7.7450000000000001</v>
      </c>
      <c r="E27" s="1">
        <v>7.74</v>
      </c>
      <c r="F27" s="7">
        <f>SQRT((D23*(D27^2+(F$26-D26)^2)+E23*(E27^2+(F$26-E26)^2))/F23)</f>
        <v>7.7564396614840678</v>
      </c>
    </row>
    <row r="28" spans="1:6" x14ac:dyDescent="0.55000000000000004">
      <c r="A28" s="58"/>
      <c r="B28" s="58"/>
      <c r="C28" s="5" t="s">
        <v>43</v>
      </c>
      <c r="D28" s="2" t="s">
        <v>20</v>
      </c>
      <c r="E28" s="1" t="s">
        <v>20</v>
      </c>
      <c r="F28" s="2" t="s">
        <v>20</v>
      </c>
    </row>
    <row r="29" spans="1:6" x14ac:dyDescent="0.55000000000000004">
      <c r="A29" s="58"/>
      <c r="B29" s="58"/>
      <c r="C29" s="5" t="s">
        <v>44</v>
      </c>
      <c r="D29" s="2">
        <v>3</v>
      </c>
      <c r="E29" s="1">
        <v>3</v>
      </c>
      <c r="F29" s="2">
        <v>3</v>
      </c>
    </row>
    <row r="30" spans="1:6" x14ac:dyDescent="0.55000000000000004">
      <c r="A30" s="58"/>
      <c r="B30" s="58"/>
      <c r="C30" s="5" t="s">
        <v>45</v>
      </c>
      <c r="D30" s="7">
        <v>20.65</v>
      </c>
      <c r="E30" s="1">
        <v>21.94</v>
      </c>
      <c r="F30" s="7">
        <f>((D30*D23)+(E30*E23))/F23</f>
        <v>21.297945205479451</v>
      </c>
    </row>
    <row r="31" spans="1:6" x14ac:dyDescent="0.55000000000000004">
      <c r="A31" s="58"/>
      <c r="B31" s="58"/>
      <c r="C31" s="5" t="s">
        <v>46</v>
      </c>
      <c r="D31" s="7">
        <v>8.18</v>
      </c>
      <c r="E31" s="1">
        <v>8.14</v>
      </c>
      <c r="F31" s="7">
        <f>SQRT((D23*(D31^2+(F$30-D30)^2)+E23*(E31^2+(F$30-E30)^2))/F23)</f>
        <v>8.1853848971692091</v>
      </c>
    </row>
    <row r="32" spans="1:6" x14ac:dyDescent="0.55000000000000004">
      <c r="A32" s="59" t="s">
        <v>47</v>
      </c>
      <c r="B32" s="59"/>
      <c r="C32" s="5"/>
    </row>
    <row r="33" spans="1:10" x14ac:dyDescent="0.55000000000000004">
      <c r="A33" s="58"/>
      <c r="B33" s="58"/>
      <c r="C33" s="5" t="s">
        <v>48</v>
      </c>
      <c r="D33" s="2" t="s">
        <v>1761</v>
      </c>
    </row>
    <row r="34" spans="1:10" x14ac:dyDescent="0.55000000000000004">
      <c r="A34" s="59" t="s">
        <v>50</v>
      </c>
      <c r="B34" s="59"/>
      <c r="C34" s="5"/>
    </row>
    <row r="35" spans="1:10" x14ac:dyDescent="0.55000000000000004">
      <c r="A35" s="8"/>
      <c r="B35" s="8"/>
      <c r="C35" s="5"/>
      <c r="D35" s="12" t="s">
        <v>51</v>
      </c>
      <c r="E35" s="11" t="s">
        <v>52</v>
      </c>
      <c r="F35" s="11" t="s">
        <v>53</v>
      </c>
      <c r="G35" s="11" t="s">
        <v>54</v>
      </c>
      <c r="H35" s="11" t="s">
        <v>55</v>
      </c>
      <c r="I35" s="11" t="s">
        <v>56</v>
      </c>
      <c r="J35" s="11" t="s">
        <v>57</v>
      </c>
    </row>
    <row r="36" spans="1:10" x14ac:dyDescent="0.55000000000000004">
      <c r="A36" s="59"/>
      <c r="B36" s="5" t="s">
        <v>59</v>
      </c>
      <c r="C36" s="5"/>
    </row>
    <row r="37" spans="1:10" x14ac:dyDescent="0.55000000000000004">
      <c r="A37" s="59"/>
      <c r="B37" s="5"/>
      <c r="C37" s="5" t="s">
        <v>1762</v>
      </c>
      <c r="D37" s="2">
        <v>1.79</v>
      </c>
      <c r="E37" s="1">
        <v>0.85</v>
      </c>
    </row>
    <row r="38" spans="1:10" x14ac:dyDescent="0.55000000000000004">
      <c r="A38" s="59"/>
      <c r="B38" s="5"/>
      <c r="C38" s="5" t="s">
        <v>129</v>
      </c>
      <c r="D38" s="2">
        <v>1.73</v>
      </c>
      <c r="E38" s="1">
        <v>0.93</v>
      </c>
    </row>
    <row r="39" spans="1:10" x14ac:dyDescent="0.55000000000000004">
      <c r="A39" s="59"/>
      <c r="B39" s="5"/>
      <c r="C39" s="5" t="s">
        <v>1763</v>
      </c>
      <c r="D39" s="2">
        <v>1.21</v>
      </c>
      <c r="E39" s="1">
        <v>0.76</v>
      </c>
    </row>
    <row r="40" spans="1:10" x14ac:dyDescent="0.55000000000000004">
      <c r="A40" s="59"/>
      <c r="B40" s="5"/>
      <c r="C40" s="5" t="s">
        <v>130</v>
      </c>
      <c r="D40" s="2">
        <v>1.5</v>
      </c>
      <c r="E40" s="1">
        <v>0.85</v>
      </c>
    </row>
    <row r="41" spans="1:10" x14ac:dyDescent="0.55000000000000004">
      <c r="A41" s="59"/>
      <c r="B41" s="5"/>
    </row>
    <row r="42" spans="1:10" x14ac:dyDescent="0.55000000000000004">
      <c r="A42" s="59"/>
      <c r="B42" s="5"/>
      <c r="C42" s="5"/>
    </row>
    <row r="43" spans="1:10" x14ac:dyDescent="0.55000000000000004">
      <c r="A43" s="59"/>
      <c r="B43" s="5"/>
      <c r="C43" s="5"/>
    </row>
    <row r="44" spans="1:10" x14ac:dyDescent="0.55000000000000004">
      <c r="A44" s="59"/>
      <c r="B44" s="5"/>
      <c r="C44" s="5"/>
    </row>
    <row r="45" spans="1:10" x14ac:dyDescent="0.55000000000000004">
      <c r="A45" s="59"/>
      <c r="B45" s="5" t="s">
        <v>61</v>
      </c>
      <c r="C45" s="5"/>
    </row>
    <row r="46" spans="1:10" x14ac:dyDescent="0.55000000000000004">
      <c r="A46" s="59"/>
      <c r="B46" s="5"/>
      <c r="C46" s="5" t="s">
        <v>1764</v>
      </c>
    </row>
    <row r="47" spans="1:10" x14ac:dyDescent="0.55000000000000004">
      <c r="A47" s="59"/>
      <c r="B47" s="5"/>
      <c r="C47" s="5" t="s">
        <v>79</v>
      </c>
      <c r="D47" s="2">
        <v>1</v>
      </c>
    </row>
    <row r="48" spans="1:10" x14ac:dyDescent="0.55000000000000004">
      <c r="A48" s="59"/>
      <c r="B48" s="5"/>
      <c r="C48" s="5"/>
    </row>
    <row r="49" spans="1:3" x14ac:dyDescent="0.55000000000000004">
      <c r="A49" s="59"/>
      <c r="B49" s="5"/>
    </row>
    <row r="50" spans="1:3" x14ac:dyDescent="0.55000000000000004">
      <c r="A50" s="59"/>
      <c r="B50" s="5"/>
    </row>
    <row r="51" spans="1:3" x14ac:dyDescent="0.55000000000000004">
      <c r="A51" s="59"/>
      <c r="B51" s="5"/>
      <c r="C51" s="5"/>
    </row>
    <row r="52" spans="1:3" x14ac:dyDescent="0.55000000000000004">
      <c r="A52" s="59"/>
      <c r="B52" s="5"/>
      <c r="C52" s="5"/>
    </row>
    <row r="53" spans="1:3" x14ac:dyDescent="0.55000000000000004">
      <c r="A53" s="59"/>
      <c r="B53" s="5"/>
      <c r="C53" s="5"/>
    </row>
    <row r="54" spans="1:3" x14ac:dyDescent="0.55000000000000004">
      <c r="A54" s="59"/>
      <c r="B54" s="5"/>
      <c r="C54" s="5"/>
    </row>
    <row r="55" spans="1:3" x14ac:dyDescent="0.55000000000000004">
      <c r="A55" s="59"/>
      <c r="B55" s="5"/>
      <c r="C55" s="5"/>
    </row>
    <row r="56" spans="1:3" x14ac:dyDescent="0.55000000000000004">
      <c r="A56" s="59"/>
      <c r="B56" s="5"/>
      <c r="C56" s="5"/>
    </row>
    <row r="57" spans="1:3" x14ac:dyDescent="0.55000000000000004">
      <c r="A57" s="59"/>
      <c r="B57" s="5"/>
      <c r="C57" s="5"/>
    </row>
    <row r="58" spans="1:3" x14ac:dyDescent="0.55000000000000004">
      <c r="A58" s="59"/>
      <c r="B58" s="5"/>
      <c r="C58" s="5"/>
    </row>
    <row r="59" spans="1:3" x14ac:dyDescent="0.55000000000000004">
      <c r="A59" s="59"/>
      <c r="B59" s="5"/>
    </row>
    <row r="60" spans="1:3" x14ac:dyDescent="0.55000000000000004">
      <c r="A60" s="59"/>
      <c r="B60" s="5"/>
    </row>
    <row r="61" spans="1:3" x14ac:dyDescent="0.55000000000000004">
      <c r="A61" s="59"/>
      <c r="B61" s="5"/>
    </row>
    <row r="62" spans="1:3" x14ac:dyDescent="0.55000000000000004">
      <c r="A62" s="59"/>
      <c r="B62" s="5"/>
    </row>
    <row r="63" spans="1:3" x14ac:dyDescent="0.55000000000000004">
      <c r="A63" s="59"/>
      <c r="B63" s="5"/>
    </row>
    <row r="64" spans="1:3" x14ac:dyDescent="0.55000000000000004">
      <c r="A64" s="59"/>
      <c r="B64" s="5"/>
    </row>
    <row r="65" spans="1:4" x14ac:dyDescent="0.55000000000000004">
      <c r="A65" s="59"/>
      <c r="B65" s="5" t="s">
        <v>62</v>
      </c>
      <c r="C65" s="5"/>
      <c r="D65" s="2">
        <v>57</v>
      </c>
    </row>
    <row r="66" spans="1:4" x14ac:dyDescent="0.55000000000000004">
      <c r="A66" s="59"/>
      <c r="B66" s="5" t="s">
        <v>63</v>
      </c>
      <c r="C66" s="5"/>
      <c r="D66" s="2" t="s">
        <v>1765</v>
      </c>
    </row>
    <row r="67" spans="1:4" x14ac:dyDescent="0.55000000000000004">
      <c r="A67" s="59" t="s">
        <v>65</v>
      </c>
      <c r="B67" s="59"/>
      <c r="C67" s="5"/>
    </row>
    <row r="68" spans="1:4" x14ac:dyDescent="0.55000000000000004">
      <c r="A68" s="3" t="s">
        <v>67</v>
      </c>
    </row>
    <row r="69" spans="1:4" x14ac:dyDescent="0.55000000000000004">
      <c r="A69" s="1" t="s">
        <v>68</v>
      </c>
      <c r="C69" s="1">
        <v>16</v>
      </c>
      <c r="D69" s="2">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dimension ref="A1:AMJ69"/>
  <sheetViews>
    <sheetView zoomScale="90" zoomScaleNormal="90" workbookViewId="0">
      <selection activeCell="D6" sqref="D6"/>
    </sheetView>
  </sheetViews>
  <sheetFormatPr baseColWidth="10" defaultColWidth="11.41796875" defaultRowHeight="14.4" x14ac:dyDescent="0.55000000000000004"/>
  <cols>
    <col min="1" max="1" width="10.83984375" style="1" customWidth="1"/>
    <col min="2" max="2" width="18.83984375" style="1" customWidth="1"/>
    <col min="3" max="3" width="46.15625" style="1" customWidth="1"/>
    <col min="4" max="4" width="56.15625" style="2" customWidth="1"/>
    <col min="5" max="5" width="21.578125" style="1" customWidth="1"/>
    <col min="6" max="6" width="5.15625" style="1" customWidth="1"/>
    <col min="7" max="7" width="25.41796875" style="1" customWidth="1"/>
    <col min="8" max="8" width="6.41796875" style="1" customWidth="1"/>
    <col min="9" max="9" width="12.15625" style="1" customWidth="1"/>
    <col min="10" max="1024" width="11.41796875" style="1"/>
  </cols>
  <sheetData>
    <row r="1" spans="1:5" x14ac:dyDescent="0.55000000000000004">
      <c r="A1" s="3" t="s">
        <v>0</v>
      </c>
      <c r="D1" s="2" t="s">
        <v>269</v>
      </c>
    </row>
    <row r="2" spans="1:5" x14ac:dyDescent="0.55000000000000004">
      <c r="A2" s="58" t="s">
        <v>2</v>
      </c>
      <c r="B2" s="58"/>
      <c r="D2" s="2" t="s">
        <v>1766</v>
      </c>
    </row>
    <row r="3" spans="1:5" x14ac:dyDescent="0.55000000000000004">
      <c r="A3" s="58"/>
      <c r="B3" s="58"/>
      <c r="C3" s="5" t="s">
        <v>4</v>
      </c>
      <c r="D3" s="2" t="s">
        <v>1767</v>
      </c>
    </row>
    <row r="4" spans="1:5" x14ac:dyDescent="0.55000000000000004">
      <c r="A4" s="58"/>
      <c r="B4" s="58"/>
      <c r="C4" s="5" t="s">
        <v>6</v>
      </c>
      <c r="D4" s="2">
        <v>2019</v>
      </c>
    </row>
    <row r="5" spans="1:5" ht="26.1" x14ac:dyDescent="0.55000000000000004">
      <c r="A5" s="58"/>
      <c r="B5" s="58"/>
      <c r="C5" s="5" t="s">
        <v>7</v>
      </c>
      <c r="D5" s="2" t="s">
        <v>1768</v>
      </c>
    </row>
    <row r="6" spans="1:5" x14ac:dyDescent="0.55000000000000004">
      <c r="A6" s="58"/>
      <c r="B6" s="58"/>
      <c r="C6" s="5" t="s">
        <v>9</v>
      </c>
      <c r="D6" s="2" t="s">
        <v>1738</v>
      </c>
    </row>
    <row r="7" spans="1:5" x14ac:dyDescent="0.55000000000000004">
      <c r="A7" s="58"/>
      <c r="B7" s="58"/>
      <c r="C7" s="5" t="s">
        <v>11</v>
      </c>
      <c r="D7" s="2" t="s">
        <v>12</v>
      </c>
    </row>
    <row r="8" spans="1:5" x14ac:dyDescent="0.55000000000000004">
      <c r="A8" s="59" t="s">
        <v>13</v>
      </c>
      <c r="B8" s="59"/>
      <c r="C8" s="5"/>
    </row>
    <row r="9" spans="1:5" ht="26.1" x14ac:dyDescent="0.55000000000000004">
      <c r="A9" s="58"/>
      <c r="B9" s="58"/>
      <c r="C9" s="5" t="s">
        <v>14</v>
      </c>
      <c r="D9" s="2" t="s">
        <v>1769</v>
      </c>
    </row>
    <row r="10" spans="1:5" x14ac:dyDescent="0.55000000000000004">
      <c r="A10" s="58"/>
      <c r="B10" s="58"/>
      <c r="C10" s="5" t="s">
        <v>16</v>
      </c>
      <c r="D10" s="2" t="s">
        <v>165</v>
      </c>
      <c r="E10" s="1" t="s">
        <v>1770</v>
      </c>
    </row>
    <row r="11" spans="1:5" x14ac:dyDescent="0.55000000000000004">
      <c r="A11" s="58"/>
      <c r="B11" s="58"/>
      <c r="C11" s="5" t="s">
        <v>19</v>
      </c>
      <c r="D11" s="21">
        <v>41640</v>
      </c>
    </row>
    <row r="12" spans="1:5" x14ac:dyDescent="0.55000000000000004">
      <c r="A12" s="58"/>
      <c r="B12" s="58"/>
      <c r="C12" s="5" t="s">
        <v>21</v>
      </c>
      <c r="D12" s="21">
        <v>42705</v>
      </c>
    </row>
    <row r="13" spans="1:5" x14ac:dyDescent="0.55000000000000004">
      <c r="A13" s="58"/>
      <c r="B13" s="58"/>
      <c r="C13" s="5" t="s">
        <v>22</v>
      </c>
      <c r="D13" s="2" t="s">
        <v>1771</v>
      </c>
    </row>
    <row r="14" spans="1:5" x14ac:dyDescent="0.55000000000000004">
      <c r="A14" s="59" t="s">
        <v>24</v>
      </c>
      <c r="B14" s="59"/>
      <c r="C14" s="5"/>
    </row>
    <row r="15" spans="1:5" x14ac:dyDescent="0.55000000000000004">
      <c r="A15" s="58"/>
      <c r="B15" s="58"/>
      <c r="C15" s="5" t="s">
        <v>25</v>
      </c>
      <c r="D15" s="2" t="s">
        <v>755</v>
      </c>
    </row>
    <row r="16" spans="1:5" x14ac:dyDescent="0.55000000000000004">
      <c r="A16" s="58"/>
      <c r="B16" s="58"/>
      <c r="C16" s="5" t="s">
        <v>27</v>
      </c>
      <c r="D16" s="2" t="s">
        <v>1772</v>
      </c>
    </row>
    <row r="17" spans="1:6" x14ac:dyDescent="0.55000000000000004">
      <c r="A17" s="59" t="s">
        <v>29</v>
      </c>
      <c r="B17" s="59"/>
      <c r="C17" s="5"/>
    </row>
    <row r="18" spans="1:6" ht="26.1" x14ac:dyDescent="0.55000000000000004">
      <c r="A18" s="58"/>
      <c r="B18" s="58"/>
      <c r="C18" s="5" t="s">
        <v>30</v>
      </c>
      <c r="D18" s="2" t="s">
        <v>1773</v>
      </c>
    </row>
    <row r="19" spans="1:6" ht="39" x14ac:dyDescent="0.55000000000000004">
      <c r="A19" s="58"/>
      <c r="B19" s="58"/>
      <c r="C19" s="5" t="s">
        <v>32</v>
      </c>
      <c r="D19" s="2" t="s">
        <v>1774</v>
      </c>
    </row>
    <row r="20" spans="1:6" x14ac:dyDescent="0.55000000000000004">
      <c r="A20" s="59" t="s">
        <v>34</v>
      </c>
      <c r="B20" s="59"/>
      <c r="C20" s="5"/>
      <c r="D20" s="2" t="s">
        <v>1775</v>
      </c>
      <c r="E20" s="1" t="s">
        <v>1776</v>
      </c>
      <c r="F20" s="1" t="s">
        <v>35</v>
      </c>
    </row>
    <row r="21" spans="1:6" x14ac:dyDescent="0.55000000000000004">
      <c r="A21" s="58"/>
      <c r="B21" s="58"/>
      <c r="C21" s="5" t="s">
        <v>36</v>
      </c>
      <c r="D21" s="2" t="s">
        <v>20</v>
      </c>
      <c r="E21" s="1" t="s">
        <v>20</v>
      </c>
      <c r="F21" s="1">
        <v>173</v>
      </c>
    </row>
    <row r="22" spans="1:6" x14ac:dyDescent="0.55000000000000004">
      <c r="A22" s="58"/>
      <c r="B22" s="58"/>
      <c r="C22" s="5" t="s">
        <v>37</v>
      </c>
      <c r="D22" s="2">
        <v>65</v>
      </c>
      <c r="E22" s="1">
        <v>66</v>
      </c>
      <c r="F22" s="1">
        <f>SUM(D22:E22)</f>
        <v>131</v>
      </c>
    </row>
    <row r="23" spans="1:6" x14ac:dyDescent="0.55000000000000004">
      <c r="A23" s="58"/>
      <c r="B23" s="58"/>
      <c r="C23" s="5" t="s">
        <v>38</v>
      </c>
      <c r="D23" s="2">
        <v>43</v>
      </c>
      <c r="E23" s="1">
        <v>60</v>
      </c>
      <c r="F23" s="1">
        <f>SUM(D23:E23)</f>
        <v>103</v>
      </c>
    </row>
    <row r="24" spans="1:6" x14ac:dyDescent="0.55000000000000004">
      <c r="A24" s="58"/>
      <c r="B24" s="58"/>
      <c r="C24" s="5" t="s">
        <v>39</v>
      </c>
      <c r="D24" s="2">
        <f>D22-D23</f>
        <v>22</v>
      </c>
      <c r="E24" s="2">
        <f>E22-E23</f>
        <v>6</v>
      </c>
      <c r="F24" s="1">
        <f>SUM(D24:E24)</f>
        <v>28</v>
      </c>
    </row>
    <row r="25" spans="1:6" x14ac:dyDescent="0.55000000000000004">
      <c r="A25" s="58"/>
      <c r="B25" s="58"/>
      <c r="C25" s="5" t="s">
        <v>40</v>
      </c>
      <c r="D25" s="7">
        <f>20/43</f>
        <v>0.46511627906976744</v>
      </c>
      <c r="E25" s="10">
        <f>24/60</f>
        <v>0.4</v>
      </c>
      <c r="F25" s="10">
        <f>44/F23</f>
        <v>0.42718446601941745</v>
      </c>
    </row>
    <row r="26" spans="1:6" x14ac:dyDescent="0.55000000000000004">
      <c r="A26" s="58"/>
      <c r="B26" s="58"/>
      <c r="C26" s="5" t="s">
        <v>41</v>
      </c>
      <c r="D26" s="7">
        <v>60</v>
      </c>
      <c r="E26" s="1">
        <v>61.92</v>
      </c>
      <c r="F26" s="7">
        <f>((D26*D23)+(E26*E23))/F23</f>
        <v>61.118446601941756</v>
      </c>
    </row>
    <row r="27" spans="1:6" x14ac:dyDescent="0.55000000000000004">
      <c r="A27" s="58"/>
      <c r="B27" s="58"/>
      <c r="C27" s="5" t="s">
        <v>42</v>
      </c>
      <c r="D27" s="7">
        <v>9.82</v>
      </c>
      <c r="E27" s="1">
        <v>9.77</v>
      </c>
      <c r="F27" s="7">
        <f>SQRT((D23*(D27^2+(F$26-D26)^2)+E23*(E27^2+(F$26-E26)^2))/F23)</f>
        <v>9.8365803077116833</v>
      </c>
    </row>
    <row r="28" spans="1:6" x14ac:dyDescent="0.55000000000000004">
      <c r="A28" s="58"/>
      <c r="B28" s="58"/>
      <c r="C28" s="5" t="s">
        <v>43</v>
      </c>
      <c r="D28" s="2" t="s">
        <v>20</v>
      </c>
    </row>
    <row r="29" spans="1:6" x14ac:dyDescent="0.55000000000000004">
      <c r="A29" s="58"/>
      <c r="B29" s="58"/>
      <c r="C29" s="5" t="s">
        <v>44</v>
      </c>
      <c r="D29" s="2">
        <v>1</v>
      </c>
      <c r="E29" s="1">
        <v>3</v>
      </c>
      <c r="F29" s="1">
        <v>1</v>
      </c>
    </row>
    <row r="30" spans="1:6" x14ac:dyDescent="0.55000000000000004">
      <c r="A30" s="58"/>
      <c r="B30" s="58"/>
      <c r="C30" s="5" t="s">
        <v>45</v>
      </c>
      <c r="D30" s="7">
        <v>30.72</v>
      </c>
      <c r="E30" s="1">
        <v>34.22</v>
      </c>
      <c r="F30" s="7">
        <f>((D30*D23)+(E30*E23))/F23</f>
        <v>32.758834951456308</v>
      </c>
    </row>
    <row r="31" spans="1:6" x14ac:dyDescent="0.55000000000000004">
      <c r="A31" s="58"/>
      <c r="B31" s="58"/>
      <c r="C31" s="5" t="s">
        <v>46</v>
      </c>
      <c r="D31" s="7">
        <v>14.88</v>
      </c>
      <c r="E31" s="1">
        <v>17.2</v>
      </c>
      <c r="F31" s="7">
        <f>SQRT((D23*(D31^2+(F$30-D30)^2)+E23*(E31^2+(F$30-E30)^2))/F23)</f>
        <v>16.363012950475202</v>
      </c>
    </row>
    <row r="32" spans="1:6" x14ac:dyDescent="0.55000000000000004">
      <c r="A32" s="59" t="s">
        <v>47</v>
      </c>
      <c r="B32" s="59"/>
      <c r="C32" s="5"/>
    </row>
    <row r="33" spans="1:10" x14ac:dyDescent="0.55000000000000004">
      <c r="A33" s="58"/>
      <c r="B33" s="58"/>
      <c r="C33" s="5" t="s">
        <v>48</v>
      </c>
      <c r="D33" s="2" t="s">
        <v>1777</v>
      </c>
    </row>
    <row r="34" spans="1:10" x14ac:dyDescent="0.55000000000000004">
      <c r="A34" s="59" t="s">
        <v>50</v>
      </c>
      <c r="B34" s="59"/>
      <c r="C34" s="5"/>
    </row>
    <row r="35" spans="1:10" x14ac:dyDescent="0.55000000000000004">
      <c r="A35" s="8"/>
      <c r="B35" s="8"/>
      <c r="C35" s="5"/>
      <c r="D35" s="12" t="s">
        <v>51</v>
      </c>
      <c r="E35" s="11" t="s">
        <v>52</v>
      </c>
      <c r="F35" s="11" t="s">
        <v>53</v>
      </c>
      <c r="G35" s="11" t="s">
        <v>54</v>
      </c>
      <c r="H35" s="11" t="s">
        <v>55</v>
      </c>
      <c r="I35" s="11" t="s">
        <v>56</v>
      </c>
      <c r="J35" s="11" t="s">
        <v>57</v>
      </c>
    </row>
    <row r="36" spans="1:10" x14ac:dyDescent="0.55000000000000004">
      <c r="A36" s="59"/>
      <c r="B36" s="5" t="s">
        <v>59</v>
      </c>
      <c r="C36" s="5"/>
    </row>
    <row r="37" spans="1:10" x14ac:dyDescent="0.55000000000000004">
      <c r="A37" s="59"/>
      <c r="B37" s="5"/>
      <c r="C37" s="5"/>
    </row>
    <row r="38" spans="1:10" x14ac:dyDescent="0.55000000000000004">
      <c r="A38" s="59"/>
      <c r="B38" s="5"/>
      <c r="C38" s="5"/>
    </row>
    <row r="39" spans="1:10" x14ac:dyDescent="0.55000000000000004">
      <c r="A39" s="59"/>
      <c r="B39" s="5"/>
      <c r="C39" s="5"/>
    </row>
    <row r="40" spans="1:10" x14ac:dyDescent="0.55000000000000004">
      <c r="A40" s="59"/>
      <c r="B40" s="5"/>
      <c r="C40" s="5"/>
    </row>
    <row r="41" spans="1:10" x14ac:dyDescent="0.55000000000000004">
      <c r="A41" s="59"/>
      <c r="C41" s="5"/>
    </row>
    <row r="42" spans="1:10" x14ac:dyDescent="0.55000000000000004">
      <c r="A42" s="59"/>
      <c r="B42" s="5"/>
      <c r="C42" s="5"/>
    </row>
    <row r="43" spans="1:10" x14ac:dyDescent="0.55000000000000004">
      <c r="A43" s="59"/>
      <c r="B43" s="5"/>
      <c r="C43" s="5"/>
    </row>
    <row r="44" spans="1:10" x14ac:dyDescent="0.55000000000000004">
      <c r="A44" s="59"/>
      <c r="B44" s="5"/>
      <c r="C44" s="5"/>
    </row>
    <row r="45" spans="1:10" x14ac:dyDescent="0.55000000000000004">
      <c r="A45" s="59"/>
      <c r="B45" s="5" t="s">
        <v>61</v>
      </c>
      <c r="C45" s="5"/>
    </row>
    <row r="46" spans="1:10" x14ac:dyDescent="0.55000000000000004">
      <c r="A46" s="59"/>
      <c r="B46" s="5"/>
      <c r="C46" s="5" t="s">
        <v>1778</v>
      </c>
      <c r="D46" s="10">
        <v>40.49</v>
      </c>
      <c r="E46" s="10">
        <v>27.8</v>
      </c>
    </row>
    <row r="47" spans="1:10" x14ac:dyDescent="0.55000000000000004">
      <c r="A47" s="59"/>
      <c r="B47" s="5"/>
      <c r="C47" s="5" t="s">
        <v>1779</v>
      </c>
      <c r="D47" s="10">
        <v>27.23</v>
      </c>
      <c r="E47" s="10">
        <v>18.149999999999999</v>
      </c>
    </row>
    <row r="48" spans="1:10" x14ac:dyDescent="0.55000000000000004">
      <c r="A48" s="59"/>
      <c r="B48" s="5"/>
      <c r="C48" s="5" t="s">
        <v>1106</v>
      </c>
      <c r="D48" s="10">
        <v>48.1</v>
      </c>
      <c r="E48" s="10">
        <v>29.22</v>
      </c>
    </row>
    <row r="49" spans="1:5" x14ac:dyDescent="0.55000000000000004">
      <c r="A49" s="59"/>
      <c r="B49" s="5"/>
      <c r="C49" s="5" t="s">
        <v>1107</v>
      </c>
      <c r="D49" s="10">
        <v>48.08</v>
      </c>
      <c r="E49" s="10">
        <v>28.07</v>
      </c>
    </row>
    <row r="50" spans="1:5" s="1" customFormat="1" ht="12.9" x14ac:dyDescent="0.5">
      <c r="A50" s="59"/>
      <c r="B50" s="5"/>
      <c r="C50" s="5"/>
    </row>
    <row r="51" spans="1:5" s="1" customFormat="1" ht="12.9" x14ac:dyDescent="0.5">
      <c r="A51" s="59"/>
      <c r="B51" s="5"/>
      <c r="C51" s="5"/>
    </row>
    <row r="52" spans="1:5" s="1" customFormat="1" ht="12.9" x14ac:dyDescent="0.5">
      <c r="A52" s="59"/>
      <c r="B52" s="5"/>
      <c r="C52" s="5"/>
    </row>
    <row r="53" spans="1:5" s="1" customFormat="1" ht="12.9" x14ac:dyDescent="0.5">
      <c r="A53" s="59"/>
      <c r="B53" s="5"/>
      <c r="C53" s="5"/>
    </row>
    <row r="54" spans="1:5" s="1" customFormat="1" ht="12.9" x14ac:dyDescent="0.5">
      <c r="A54" s="59"/>
      <c r="B54" s="5"/>
      <c r="C54" s="5"/>
    </row>
    <row r="55" spans="1:5" s="1" customFormat="1" ht="12.9" x14ac:dyDescent="0.5">
      <c r="A55" s="59"/>
      <c r="B55" s="5"/>
      <c r="C55" s="5"/>
    </row>
    <row r="56" spans="1:5" s="1" customFormat="1" ht="12.9" x14ac:dyDescent="0.5">
      <c r="A56" s="59"/>
      <c r="B56" s="5"/>
      <c r="C56" s="5"/>
    </row>
    <row r="57" spans="1:5" s="1" customFormat="1" ht="12.9" x14ac:dyDescent="0.5">
      <c r="A57" s="59"/>
      <c r="B57" s="5"/>
      <c r="C57" s="5"/>
    </row>
    <row r="58" spans="1:5" s="1" customFormat="1" ht="12.9" x14ac:dyDescent="0.5">
      <c r="A58" s="59"/>
      <c r="B58" s="5"/>
      <c r="C58" s="5"/>
    </row>
    <row r="59" spans="1:5" s="1" customFormat="1" ht="12.9" x14ac:dyDescent="0.5">
      <c r="A59" s="59"/>
      <c r="B59" s="5"/>
      <c r="C59" s="5"/>
    </row>
    <row r="60" spans="1:5" x14ac:dyDescent="0.55000000000000004">
      <c r="A60" s="59"/>
      <c r="B60" s="5"/>
      <c r="C60" s="5"/>
    </row>
    <row r="61" spans="1:5" x14ac:dyDescent="0.55000000000000004">
      <c r="A61" s="59"/>
      <c r="B61" s="5"/>
      <c r="C61" s="5"/>
    </row>
    <row r="62" spans="1:5" x14ac:dyDescent="0.55000000000000004">
      <c r="A62" s="59"/>
      <c r="B62" s="5"/>
      <c r="C62" s="5"/>
    </row>
    <row r="63" spans="1:5" x14ac:dyDescent="0.55000000000000004">
      <c r="A63" s="59"/>
      <c r="B63" s="5"/>
      <c r="C63" s="5"/>
    </row>
    <row r="64" spans="1:5" x14ac:dyDescent="0.55000000000000004">
      <c r="A64" s="59"/>
      <c r="B64" s="5"/>
      <c r="C64" s="5"/>
    </row>
    <row r="65" spans="1:5" x14ac:dyDescent="0.55000000000000004">
      <c r="A65" s="59"/>
      <c r="B65" s="5" t="s">
        <v>62</v>
      </c>
      <c r="C65" s="5"/>
      <c r="D65" s="2">
        <f>24*7</f>
        <v>168</v>
      </c>
      <c r="E65" s="1">
        <f>48*7</f>
        <v>336</v>
      </c>
    </row>
    <row r="66" spans="1:5" x14ac:dyDescent="0.55000000000000004">
      <c r="A66" s="59"/>
      <c r="B66" s="5" t="s">
        <v>63</v>
      </c>
      <c r="C66" s="5"/>
      <c r="D66" s="2" t="s">
        <v>1780</v>
      </c>
    </row>
    <row r="67" spans="1:5" ht="26.1" x14ac:dyDescent="0.55000000000000004">
      <c r="A67" s="59" t="s">
        <v>65</v>
      </c>
      <c r="B67" s="59"/>
      <c r="C67" s="5"/>
      <c r="D67" s="2" t="s">
        <v>1781</v>
      </c>
    </row>
    <row r="68" spans="1:5" x14ac:dyDescent="0.55000000000000004">
      <c r="A68" s="3" t="s">
        <v>67</v>
      </c>
    </row>
    <row r="69" spans="1:5" x14ac:dyDescent="0.55000000000000004">
      <c r="A69" s="1" t="s">
        <v>68</v>
      </c>
      <c r="C69" s="1">
        <v>16</v>
      </c>
      <c r="D69" s="2">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dimension ref="A1:AMJ74"/>
  <sheetViews>
    <sheetView topLeftCell="A28" zoomScaleNormal="100" workbookViewId="0">
      <selection activeCell="E47" sqref="E47"/>
    </sheetView>
  </sheetViews>
  <sheetFormatPr baseColWidth="10" defaultColWidth="11.41796875" defaultRowHeight="14.4" x14ac:dyDescent="0.55000000000000004"/>
  <cols>
    <col min="1" max="1" width="29.83984375" style="1" customWidth="1"/>
    <col min="2" max="2" width="18.83984375" style="1" customWidth="1"/>
    <col min="3" max="3" width="47.578125" style="1" customWidth="1"/>
    <col min="4" max="4" width="56.15625" style="2" customWidth="1"/>
    <col min="5" max="5" width="11.15625" style="1" customWidth="1"/>
    <col min="6" max="6" width="7.15625" style="1" customWidth="1"/>
    <col min="7" max="7" width="5.26171875" style="1" customWidth="1"/>
    <col min="8" max="8" width="5.83984375" style="1" customWidth="1"/>
    <col min="9" max="9" width="6.41796875" style="1" customWidth="1"/>
    <col min="10" max="1024" width="11.41796875" style="1"/>
  </cols>
  <sheetData>
    <row r="1" spans="1:4" x14ac:dyDescent="0.55000000000000004">
      <c r="A1" s="3" t="s">
        <v>0</v>
      </c>
      <c r="D1" s="2" t="s">
        <v>341</v>
      </c>
    </row>
    <row r="2" spans="1:4" x14ac:dyDescent="0.55000000000000004">
      <c r="A2" s="5" t="s">
        <v>2</v>
      </c>
      <c r="B2" s="5"/>
      <c r="D2" s="2" t="s">
        <v>1782</v>
      </c>
    </row>
    <row r="3" spans="1:4" x14ac:dyDescent="0.55000000000000004">
      <c r="A3" s="5"/>
      <c r="B3" s="5"/>
      <c r="C3" s="5" t="s">
        <v>4</v>
      </c>
      <c r="D3" s="2" t="s">
        <v>1783</v>
      </c>
    </row>
    <row r="4" spans="1:4" x14ac:dyDescent="0.55000000000000004">
      <c r="A4" s="5"/>
      <c r="B4" s="5"/>
      <c r="C4" s="5" t="s">
        <v>6</v>
      </c>
      <c r="D4" s="2">
        <v>1999</v>
      </c>
    </row>
    <row r="5" spans="1:4" x14ac:dyDescent="0.55000000000000004">
      <c r="A5" s="5"/>
      <c r="B5" s="5"/>
      <c r="C5" s="5" t="s">
        <v>7</v>
      </c>
      <c r="D5" s="2" t="s">
        <v>1784</v>
      </c>
    </row>
    <row r="6" spans="1:4" x14ac:dyDescent="0.55000000000000004">
      <c r="A6" s="5"/>
      <c r="B6" s="5"/>
      <c r="C6" s="5" t="s">
        <v>9</v>
      </c>
      <c r="D6" s="2" t="s">
        <v>1785</v>
      </c>
    </row>
    <row r="7" spans="1:4" x14ac:dyDescent="0.55000000000000004">
      <c r="A7" s="5"/>
      <c r="B7" s="5"/>
      <c r="C7" s="5" t="s">
        <v>11</v>
      </c>
      <c r="D7" s="2" t="s">
        <v>1786</v>
      </c>
    </row>
    <row r="8" spans="1:4" x14ac:dyDescent="0.55000000000000004">
      <c r="A8" s="8" t="s">
        <v>13</v>
      </c>
      <c r="B8" s="8"/>
      <c r="C8" s="5"/>
    </row>
    <row r="9" spans="1:4" ht="26.1" x14ac:dyDescent="0.55000000000000004">
      <c r="A9" s="5"/>
      <c r="B9" s="5"/>
      <c r="C9" s="5" t="s">
        <v>14</v>
      </c>
      <c r="D9" s="2" t="s">
        <v>1787</v>
      </c>
    </row>
    <row r="10" spans="1:4" x14ac:dyDescent="0.55000000000000004">
      <c r="A10" s="5"/>
      <c r="B10" s="5"/>
      <c r="C10" s="5" t="s">
        <v>16</v>
      </c>
      <c r="D10" s="2" t="s">
        <v>86</v>
      </c>
    </row>
    <row r="11" spans="1:4" x14ac:dyDescent="0.55000000000000004">
      <c r="A11" s="5"/>
      <c r="B11" s="5"/>
      <c r="C11" s="5" t="s">
        <v>19</v>
      </c>
      <c r="D11" s="2" t="s">
        <v>20</v>
      </c>
    </row>
    <row r="12" spans="1:4" x14ac:dyDescent="0.55000000000000004">
      <c r="A12" s="5"/>
      <c r="B12" s="5"/>
      <c r="C12" s="5" t="s">
        <v>21</v>
      </c>
      <c r="D12" s="2" t="s">
        <v>20</v>
      </c>
    </row>
    <row r="13" spans="1:4" x14ac:dyDescent="0.55000000000000004">
      <c r="A13" s="5"/>
      <c r="B13" s="5"/>
      <c r="C13" s="5" t="s">
        <v>22</v>
      </c>
      <c r="D13" s="2" t="s">
        <v>1788</v>
      </c>
    </row>
    <row r="14" spans="1:4" x14ac:dyDescent="0.55000000000000004">
      <c r="A14" s="8" t="s">
        <v>24</v>
      </c>
      <c r="B14" s="8"/>
      <c r="C14" s="5"/>
    </row>
    <row r="15" spans="1:4" x14ac:dyDescent="0.55000000000000004">
      <c r="A15" s="5"/>
      <c r="B15" s="5"/>
      <c r="C15" s="5" t="s">
        <v>25</v>
      </c>
      <c r="D15" s="2" t="s">
        <v>88</v>
      </c>
    </row>
    <row r="16" spans="1:4" x14ac:dyDescent="0.55000000000000004">
      <c r="A16" s="5"/>
      <c r="B16" s="5"/>
      <c r="C16" s="5" t="s">
        <v>27</v>
      </c>
      <c r="D16" s="2" t="s">
        <v>1789</v>
      </c>
    </row>
    <row r="17" spans="1:5" x14ac:dyDescent="0.55000000000000004">
      <c r="A17" s="8" t="s">
        <v>29</v>
      </c>
      <c r="B17" s="8"/>
      <c r="C17" s="5"/>
    </row>
    <row r="18" spans="1:5" ht="39" x14ac:dyDescent="0.55000000000000004">
      <c r="A18" s="5"/>
      <c r="B18" s="5"/>
      <c r="C18" s="5" t="s">
        <v>30</v>
      </c>
      <c r="D18" s="2" t="s">
        <v>1790</v>
      </c>
    </row>
    <row r="19" spans="1:5" ht="51.9" x14ac:dyDescent="0.55000000000000004">
      <c r="A19" s="5"/>
      <c r="B19" s="5"/>
      <c r="C19" s="5" t="s">
        <v>32</v>
      </c>
      <c r="D19" s="2" t="s">
        <v>1791</v>
      </c>
    </row>
    <row r="20" spans="1:5" x14ac:dyDescent="0.55000000000000004">
      <c r="A20" s="8" t="s">
        <v>34</v>
      </c>
      <c r="B20" s="8"/>
      <c r="C20" s="5"/>
      <c r="D20" s="2" t="s">
        <v>35</v>
      </c>
    </row>
    <row r="21" spans="1:5" x14ac:dyDescent="0.55000000000000004">
      <c r="A21" s="5"/>
      <c r="B21" s="5"/>
      <c r="C21" s="5" t="s">
        <v>36</v>
      </c>
      <c r="D21" s="2" t="s">
        <v>20</v>
      </c>
    </row>
    <row r="22" spans="1:5" x14ac:dyDescent="0.55000000000000004">
      <c r="A22" s="5"/>
      <c r="B22" s="5"/>
      <c r="C22" s="5" t="s">
        <v>37</v>
      </c>
      <c r="D22" s="2">
        <v>113</v>
      </c>
    </row>
    <row r="23" spans="1:5" x14ac:dyDescent="0.55000000000000004">
      <c r="A23" s="5"/>
      <c r="B23" s="5"/>
      <c r="C23" s="5" t="s">
        <v>38</v>
      </c>
      <c r="D23" s="2">
        <v>90</v>
      </c>
    </row>
    <row r="24" spans="1:5" x14ac:dyDescent="0.55000000000000004">
      <c r="A24" s="5"/>
      <c r="B24" s="5"/>
      <c r="C24" s="5" t="s">
        <v>39</v>
      </c>
      <c r="D24" s="2">
        <v>23</v>
      </c>
    </row>
    <row r="25" spans="1:5" x14ac:dyDescent="0.55000000000000004">
      <c r="A25" s="5"/>
      <c r="B25" s="5"/>
      <c r="C25" s="5" t="s">
        <v>40</v>
      </c>
      <c r="D25" s="7">
        <f>47/113</f>
        <v>0.41592920353982299</v>
      </c>
    </row>
    <row r="26" spans="1:5" x14ac:dyDescent="0.55000000000000004">
      <c r="A26" s="5"/>
      <c r="B26" s="5"/>
      <c r="C26" s="5" t="s">
        <v>41</v>
      </c>
      <c r="D26" s="2">
        <v>63.1</v>
      </c>
    </row>
    <row r="27" spans="1:5" x14ac:dyDescent="0.55000000000000004">
      <c r="A27" s="5"/>
      <c r="B27" s="5"/>
      <c r="C27" s="5" t="s">
        <v>42</v>
      </c>
      <c r="D27" s="2">
        <f>0.6*SQRT(113)</f>
        <v>6.3780874876407898</v>
      </c>
    </row>
    <row r="28" spans="1:5" x14ac:dyDescent="0.55000000000000004">
      <c r="A28" s="5"/>
      <c r="B28" s="5"/>
      <c r="C28" s="5" t="s">
        <v>43</v>
      </c>
      <c r="D28" s="2" t="s">
        <v>20</v>
      </c>
    </row>
    <row r="29" spans="1:5" x14ac:dyDescent="0.55000000000000004">
      <c r="A29" s="5"/>
      <c r="B29" s="5"/>
      <c r="C29" s="5" t="s">
        <v>44</v>
      </c>
      <c r="D29" s="2">
        <v>1</v>
      </c>
    </row>
    <row r="30" spans="1:5" x14ac:dyDescent="0.55000000000000004">
      <c r="A30" s="5"/>
      <c r="B30" s="5"/>
      <c r="C30" s="5" t="s">
        <v>45</v>
      </c>
      <c r="D30" s="2" t="s">
        <v>20</v>
      </c>
      <c r="E30" s="1" t="s">
        <v>1340</v>
      </c>
    </row>
    <row r="31" spans="1:5" x14ac:dyDescent="0.55000000000000004">
      <c r="A31" s="5"/>
      <c r="B31" s="5"/>
      <c r="C31" s="5" t="s">
        <v>46</v>
      </c>
      <c r="D31" s="2" t="s">
        <v>20</v>
      </c>
    </row>
    <row r="32" spans="1:5" x14ac:dyDescent="0.55000000000000004">
      <c r="A32" s="8" t="s">
        <v>47</v>
      </c>
      <c r="B32" s="8"/>
      <c r="C32" s="5"/>
    </row>
    <row r="33" spans="1:11" ht="26.1" x14ac:dyDescent="0.55000000000000004">
      <c r="A33" s="5"/>
      <c r="B33" s="5"/>
      <c r="C33" s="5" t="s">
        <v>48</v>
      </c>
      <c r="D33" s="2" t="s">
        <v>1792</v>
      </c>
    </row>
    <row r="34" spans="1:11" x14ac:dyDescent="0.55000000000000004">
      <c r="A34" s="8" t="s">
        <v>50</v>
      </c>
      <c r="B34" s="8"/>
      <c r="C34" s="5"/>
    </row>
    <row r="35" spans="1:11" x14ac:dyDescent="0.55000000000000004">
      <c r="A35" s="8"/>
      <c r="B35" s="8"/>
      <c r="C35" s="5"/>
    </row>
    <row r="36" spans="1:11" x14ac:dyDescent="0.55000000000000004">
      <c r="A36" s="8"/>
      <c r="B36" s="5" t="s">
        <v>59</v>
      </c>
      <c r="C36" s="5"/>
      <c r="D36" s="2" t="s">
        <v>51</v>
      </c>
      <c r="E36" s="1" t="s">
        <v>52</v>
      </c>
      <c r="F36" s="1" t="s">
        <v>53</v>
      </c>
      <c r="G36" s="1" t="s">
        <v>54</v>
      </c>
      <c r="H36" s="1" t="s">
        <v>55</v>
      </c>
      <c r="I36" s="1" t="s">
        <v>56</v>
      </c>
      <c r="J36" s="1" t="s">
        <v>57</v>
      </c>
      <c r="K36" s="1" t="s">
        <v>58</v>
      </c>
    </row>
    <row r="37" spans="1:11" x14ac:dyDescent="0.55000000000000004">
      <c r="A37" s="8"/>
      <c r="B37" s="5"/>
      <c r="C37" s="5"/>
      <c r="D37" s="7"/>
      <c r="E37" s="10"/>
      <c r="F37" s="10"/>
    </row>
    <row r="38" spans="1:11" x14ac:dyDescent="0.55000000000000004">
      <c r="A38" s="8"/>
      <c r="B38" s="5"/>
      <c r="C38" s="5"/>
      <c r="D38" s="7"/>
      <c r="E38" s="10"/>
      <c r="F38" s="10"/>
    </row>
    <row r="39" spans="1:11" x14ac:dyDescent="0.55000000000000004">
      <c r="A39" s="8"/>
      <c r="B39" s="5"/>
    </row>
    <row r="40" spans="1:11" x14ac:dyDescent="0.55000000000000004">
      <c r="A40" s="8"/>
      <c r="B40" s="5"/>
    </row>
    <row r="41" spans="1:11" x14ac:dyDescent="0.55000000000000004">
      <c r="A41" s="8"/>
      <c r="B41" s="5"/>
    </row>
    <row r="42" spans="1:11" x14ac:dyDescent="0.55000000000000004">
      <c r="A42" s="8"/>
      <c r="B42" s="5"/>
    </row>
    <row r="43" spans="1:11" x14ac:dyDescent="0.55000000000000004">
      <c r="A43" s="8"/>
      <c r="B43" s="5"/>
      <c r="D43" s="7"/>
    </row>
    <row r="44" spans="1:11" x14ac:dyDescent="0.55000000000000004">
      <c r="A44" s="8"/>
      <c r="B44" s="5"/>
      <c r="D44" s="7"/>
    </row>
    <row r="45" spans="1:11" x14ac:dyDescent="0.55000000000000004">
      <c r="A45" s="8"/>
      <c r="B45" s="5" t="s">
        <v>61</v>
      </c>
      <c r="C45" s="5"/>
    </row>
    <row r="46" spans="1:11" x14ac:dyDescent="0.55000000000000004">
      <c r="C46" s="1" t="s">
        <v>1793</v>
      </c>
      <c r="D46" s="2">
        <v>1.7</v>
      </c>
      <c r="E46" s="1">
        <f>F46*SQRT($D$23)</f>
        <v>0.94868329805051388</v>
      </c>
      <c r="F46" s="1">
        <v>0.1</v>
      </c>
    </row>
    <row r="47" spans="1:11" x14ac:dyDescent="0.55000000000000004">
      <c r="C47" s="1" t="s">
        <v>1794</v>
      </c>
      <c r="D47" s="2">
        <v>1</v>
      </c>
      <c r="E47" s="1">
        <f>F47*SQRT($D$23)</f>
        <v>0.94868329805051388</v>
      </c>
      <c r="F47" s="1">
        <v>0.1</v>
      </c>
    </row>
    <row r="50" spans="3:6" x14ac:dyDescent="0.55000000000000004">
      <c r="C50" s="5"/>
      <c r="D50" s="7"/>
      <c r="E50" s="10"/>
      <c r="F50" s="10"/>
    </row>
    <row r="51" spans="3:6" x14ac:dyDescent="0.55000000000000004">
      <c r="C51" s="5"/>
      <c r="D51" s="7"/>
      <c r="E51" s="10"/>
      <c r="F51" s="10"/>
    </row>
    <row r="52" spans="3:6" x14ac:dyDescent="0.55000000000000004">
      <c r="C52" s="5"/>
      <c r="D52" s="7"/>
      <c r="E52" s="10"/>
      <c r="F52" s="10"/>
    </row>
    <row r="53" spans="3:6" x14ac:dyDescent="0.55000000000000004">
      <c r="C53" s="5"/>
      <c r="D53" s="7"/>
      <c r="E53" s="10"/>
      <c r="F53" s="10"/>
    </row>
    <row r="54" spans="3:6" x14ac:dyDescent="0.55000000000000004">
      <c r="C54" s="5"/>
      <c r="D54" s="7"/>
      <c r="E54" s="10"/>
      <c r="F54" s="10"/>
    </row>
    <row r="55" spans="3:6" x14ac:dyDescent="0.55000000000000004">
      <c r="C55" s="5"/>
      <c r="D55" s="7"/>
      <c r="E55" s="10"/>
      <c r="F55" s="10"/>
    </row>
    <row r="56" spans="3:6" x14ac:dyDescent="0.55000000000000004">
      <c r="C56" s="5"/>
      <c r="D56" s="7"/>
      <c r="E56" s="10"/>
      <c r="F56" s="10"/>
    </row>
    <row r="57" spans="3:6" x14ac:dyDescent="0.55000000000000004">
      <c r="C57" s="5"/>
      <c r="D57" s="7"/>
      <c r="E57" s="10"/>
      <c r="F57" s="10"/>
    </row>
    <row r="58" spans="3:6" x14ac:dyDescent="0.55000000000000004">
      <c r="C58" s="5"/>
      <c r="D58" s="7"/>
      <c r="E58" s="10"/>
      <c r="F58" s="10"/>
    </row>
    <row r="59" spans="3:6" x14ac:dyDescent="0.55000000000000004">
      <c r="C59" s="5"/>
      <c r="D59" s="7"/>
      <c r="E59" s="10"/>
      <c r="F59" s="10"/>
    </row>
    <row r="60" spans="3:6" x14ac:dyDescent="0.55000000000000004">
      <c r="C60" s="5"/>
      <c r="D60" s="7"/>
      <c r="E60" s="10"/>
      <c r="F60" s="10"/>
    </row>
    <row r="61" spans="3:6" x14ac:dyDescent="0.55000000000000004">
      <c r="C61" s="5"/>
      <c r="D61" s="7"/>
      <c r="E61" s="10"/>
      <c r="F61" s="10"/>
    </row>
    <row r="65" spans="1:6" x14ac:dyDescent="0.55000000000000004">
      <c r="A65" s="8"/>
      <c r="B65" s="5" t="s">
        <v>62</v>
      </c>
      <c r="C65" s="5"/>
      <c r="D65" s="2">
        <v>90</v>
      </c>
    </row>
    <row r="66" spans="1:6" x14ac:dyDescent="0.55000000000000004">
      <c r="A66" s="8"/>
      <c r="B66" s="5" t="s">
        <v>63</v>
      </c>
      <c r="C66" s="5"/>
      <c r="D66" s="2" t="s">
        <v>207</v>
      </c>
    </row>
    <row r="67" spans="1:6" x14ac:dyDescent="0.55000000000000004">
      <c r="A67" s="8" t="s">
        <v>65</v>
      </c>
      <c r="B67" s="8"/>
      <c r="C67" s="5"/>
      <c r="D67" s="2" t="s">
        <v>1716</v>
      </c>
    </row>
    <row r="68" spans="1:6" x14ac:dyDescent="0.55000000000000004">
      <c r="A68" s="3" t="s">
        <v>67</v>
      </c>
      <c r="D68" s="2">
        <v>20</v>
      </c>
    </row>
    <row r="69" spans="1:6" x14ac:dyDescent="0.55000000000000004">
      <c r="A69" s="1" t="s">
        <v>68</v>
      </c>
      <c r="C69" s="1">
        <v>16</v>
      </c>
      <c r="D69" s="2">
        <v>24</v>
      </c>
    </row>
    <row r="70" spans="1:6" x14ac:dyDescent="0.55000000000000004">
      <c r="B70" s="1" t="s">
        <v>94</v>
      </c>
    </row>
    <row r="71" spans="1:6" x14ac:dyDescent="0.55000000000000004">
      <c r="C71" s="5"/>
      <c r="D71" s="7"/>
      <c r="E71" s="10"/>
      <c r="F71" s="10"/>
    </row>
    <row r="72" spans="1:6" x14ac:dyDescent="0.55000000000000004">
      <c r="C72" s="5"/>
      <c r="D72" s="7"/>
      <c r="E72" s="10"/>
      <c r="F72" s="10"/>
    </row>
    <row r="73" spans="1:6" x14ac:dyDescent="0.55000000000000004">
      <c r="C73" s="5"/>
      <c r="D73" s="7"/>
      <c r="E73" s="10"/>
      <c r="F73" s="10"/>
    </row>
    <row r="74" spans="1:6" x14ac:dyDescent="0.55000000000000004">
      <c r="C74" s="5"/>
      <c r="D74" s="7"/>
      <c r="E74" s="10"/>
      <c r="F74" s="10"/>
    </row>
  </sheetData>
  <pageMargins left="0.7" right="0.7" top="0.78749999999999998" bottom="0.78749999999999998"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69"/>
  <sheetViews>
    <sheetView topLeftCell="E4" zoomScale="90" zoomScaleNormal="90" workbookViewId="0">
      <selection activeCell="E37" sqref="E37"/>
    </sheetView>
  </sheetViews>
  <sheetFormatPr baseColWidth="10" defaultColWidth="11.41796875" defaultRowHeight="14.4" x14ac:dyDescent="0.55000000000000004"/>
  <cols>
    <col min="1" max="1" width="8.83984375" style="1" customWidth="1"/>
    <col min="2" max="2" width="15.41796875" style="1" customWidth="1"/>
    <col min="3" max="3" width="37.83984375" style="1" customWidth="1"/>
    <col min="4" max="4" width="43.41796875" style="2" customWidth="1"/>
    <col min="5" max="5" width="11.41796875" style="1"/>
    <col min="6" max="6" width="12.41796875" style="1" customWidth="1"/>
    <col min="7" max="7" width="16.41796875" style="1" customWidth="1"/>
    <col min="8" max="8" width="4.41796875" style="1" customWidth="1"/>
    <col min="9" max="1024" width="11.41796875" style="1"/>
  </cols>
  <sheetData>
    <row r="1" spans="1:5" x14ac:dyDescent="0.55000000000000004">
      <c r="A1" s="3" t="s">
        <v>0</v>
      </c>
      <c r="D1" s="2" t="s">
        <v>69</v>
      </c>
    </row>
    <row r="2" spans="1:5" x14ac:dyDescent="0.55000000000000004">
      <c r="A2" s="58" t="s">
        <v>2</v>
      </c>
      <c r="B2" s="58"/>
      <c r="D2" s="1" t="s">
        <v>236</v>
      </c>
    </row>
    <row r="3" spans="1:5" x14ac:dyDescent="0.55000000000000004">
      <c r="A3" s="58"/>
      <c r="B3" s="58"/>
      <c r="C3" s="5" t="s">
        <v>4</v>
      </c>
      <c r="D3" s="1" t="s">
        <v>237</v>
      </c>
    </row>
    <row r="4" spans="1:5" x14ac:dyDescent="0.55000000000000004">
      <c r="A4" s="58"/>
      <c r="B4" s="58"/>
      <c r="C4" s="5" t="s">
        <v>6</v>
      </c>
      <c r="D4" s="2">
        <v>2000</v>
      </c>
    </row>
    <row r="5" spans="1:5" ht="26.1" x14ac:dyDescent="0.55000000000000004">
      <c r="A5" s="58"/>
      <c r="B5" s="58"/>
      <c r="C5" s="5" t="s">
        <v>7</v>
      </c>
      <c r="D5" s="2" t="s">
        <v>238</v>
      </c>
    </row>
    <row r="6" spans="1:5" x14ac:dyDescent="0.55000000000000004">
      <c r="A6" s="58"/>
      <c r="B6" s="58"/>
      <c r="C6" s="5" t="s">
        <v>9</v>
      </c>
      <c r="D6" s="1" t="s">
        <v>239</v>
      </c>
    </row>
    <row r="7" spans="1:5" x14ac:dyDescent="0.55000000000000004">
      <c r="A7" s="58"/>
      <c r="B7" s="58"/>
      <c r="C7" s="5" t="s">
        <v>11</v>
      </c>
      <c r="D7" s="2" t="s">
        <v>12</v>
      </c>
    </row>
    <row r="8" spans="1:5" x14ac:dyDescent="0.55000000000000004">
      <c r="A8" s="59" t="s">
        <v>13</v>
      </c>
      <c r="B8" s="59"/>
      <c r="C8" s="5"/>
    </row>
    <row r="9" spans="1:5" ht="26.1" x14ac:dyDescent="0.55000000000000004">
      <c r="A9" s="58"/>
      <c r="B9" s="58"/>
      <c r="C9" s="5" t="s">
        <v>14</v>
      </c>
      <c r="D9" s="2" t="s">
        <v>240</v>
      </c>
    </row>
    <row r="10" spans="1:5" x14ac:dyDescent="0.55000000000000004">
      <c r="A10" s="58"/>
      <c r="B10" s="58"/>
      <c r="C10" s="5" t="s">
        <v>16</v>
      </c>
      <c r="D10" s="2" t="s">
        <v>17</v>
      </c>
      <c r="E10" s="1" t="s">
        <v>18</v>
      </c>
    </row>
    <row r="11" spans="1:5" x14ac:dyDescent="0.55000000000000004">
      <c r="A11" s="58"/>
      <c r="B11" s="58"/>
      <c r="C11" s="5" t="s">
        <v>19</v>
      </c>
      <c r="D11" s="2" t="s">
        <v>20</v>
      </c>
    </row>
    <row r="12" spans="1:5" x14ac:dyDescent="0.55000000000000004">
      <c r="A12" s="58"/>
      <c r="B12" s="58"/>
      <c r="C12" s="5" t="s">
        <v>21</v>
      </c>
      <c r="D12" s="2" t="s">
        <v>20</v>
      </c>
    </row>
    <row r="13" spans="1:5" x14ac:dyDescent="0.55000000000000004">
      <c r="A13" s="58"/>
      <c r="B13" s="58"/>
      <c r="C13" s="5" t="s">
        <v>22</v>
      </c>
      <c r="D13" s="2" t="s">
        <v>23</v>
      </c>
    </row>
    <row r="14" spans="1:5" x14ac:dyDescent="0.55000000000000004">
      <c r="A14" s="59" t="s">
        <v>24</v>
      </c>
      <c r="B14" s="59"/>
      <c r="C14" s="5"/>
    </row>
    <row r="15" spans="1:5" x14ac:dyDescent="0.55000000000000004">
      <c r="A15" s="58"/>
      <c r="B15" s="58"/>
      <c r="C15" s="5" t="s">
        <v>25</v>
      </c>
      <c r="D15" s="2" t="s">
        <v>241</v>
      </c>
    </row>
    <row r="16" spans="1:5" ht="26.1" x14ac:dyDescent="0.55000000000000004">
      <c r="A16" s="58"/>
      <c r="B16" s="58"/>
      <c r="C16" s="5" t="s">
        <v>27</v>
      </c>
      <c r="D16" s="2" t="s">
        <v>242</v>
      </c>
    </row>
    <row r="17" spans="1:4" x14ac:dyDescent="0.55000000000000004">
      <c r="A17" s="59" t="s">
        <v>29</v>
      </c>
      <c r="B17" s="59"/>
      <c r="C17" s="5"/>
    </row>
    <row r="18" spans="1:4" ht="26.1" x14ac:dyDescent="0.55000000000000004">
      <c r="A18" s="58"/>
      <c r="B18" s="58"/>
      <c r="C18" s="5" t="s">
        <v>30</v>
      </c>
      <c r="D18" s="2" t="s">
        <v>243</v>
      </c>
    </row>
    <row r="19" spans="1:4" ht="26.1" x14ac:dyDescent="0.55000000000000004">
      <c r="A19" s="58"/>
      <c r="B19" s="58"/>
      <c r="C19" s="5" t="s">
        <v>32</v>
      </c>
      <c r="D19" s="2" t="s">
        <v>244</v>
      </c>
    </row>
    <row r="20" spans="1:4" x14ac:dyDescent="0.55000000000000004">
      <c r="A20" s="59" t="s">
        <v>34</v>
      </c>
      <c r="B20" s="59"/>
      <c r="C20" s="5"/>
      <c r="D20" s="2" t="s">
        <v>35</v>
      </c>
    </row>
    <row r="21" spans="1:4" x14ac:dyDescent="0.55000000000000004">
      <c r="A21" s="58"/>
      <c r="B21" s="58"/>
      <c r="C21" s="5" t="s">
        <v>36</v>
      </c>
      <c r="D21" s="2">
        <v>34</v>
      </c>
    </row>
    <row r="22" spans="1:4" x14ac:dyDescent="0.55000000000000004">
      <c r="A22" s="58"/>
      <c r="B22" s="58"/>
      <c r="C22" s="5" t="s">
        <v>37</v>
      </c>
      <c r="D22" s="2">
        <v>34</v>
      </c>
    </row>
    <row r="23" spans="1:4" x14ac:dyDescent="0.55000000000000004">
      <c r="A23" s="58"/>
      <c r="B23" s="58"/>
      <c r="C23" s="5" t="s">
        <v>38</v>
      </c>
      <c r="D23" s="2">
        <v>34</v>
      </c>
    </row>
    <row r="24" spans="1:4" x14ac:dyDescent="0.55000000000000004">
      <c r="A24" s="58"/>
      <c r="B24" s="58"/>
      <c r="C24" s="5" t="s">
        <v>39</v>
      </c>
      <c r="D24" s="2">
        <v>0</v>
      </c>
    </row>
    <row r="25" spans="1:4" x14ac:dyDescent="0.55000000000000004">
      <c r="A25" s="58"/>
      <c r="B25" s="58"/>
      <c r="C25" s="5" t="s">
        <v>40</v>
      </c>
      <c r="D25" s="7">
        <f>11/34</f>
        <v>0.3235294117647059</v>
      </c>
    </row>
    <row r="26" spans="1:4" x14ac:dyDescent="0.55000000000000004">
      <c r="A26" s="58"/>
      <c r="B26" s="58"/>
      <c r="C26" s="5" t="s">
        <v>41</v>
      </c>
      <c r="D26" s="2">
        <v>59</v>
      </c>
    </row>
    <row r="27" spans="1:4" x14ac:dyDescent="0.55000000000000004">
      <c r="A27" s="58"/>
      <c r="B27" s="58"/>
      <c r="C27" s="5" t="s">
        <v>42</v>
      </c>
      <c r="D27" s="2">
        <v>9</v>
      </c>
    </row>
    <row r="28" spans="1:4" x14ac:dyDescent="0.55000000000000004">
      <c r="A28" s="58"/>
      <c r="B28" s="58"/>
      <c r="C28" s="5" t="s">
        <v>43</v>
      </c>
      <c r="D28" s="2" t="s">
        <v>20</v>
      </c>
    </row>
    <row r="29" spans="1:4" x14ac:dyDescent="0.55000000000000004">
      <c r="A29" s="58"/>
      <c r="B29" s="58"/>
      <c r="C29" s="5" t="s">
        <v>44</v>
      </c>
      <c r="D29" s="2" t="s">
        <v>20</v>
      </c>
    </row>
    <row r="30" spans="1:4" x14ac:dyDescent="0.55000000000000004">
      <c r="A30" s="58"/>
      <c r="B30" s="58"/>
      <c r="C30" s="5" t="s">
        <v>45</v>
      </c>
      <c r="D30" s="2">
        <v>29</v>
      </c>
    </row>
    <row r="31" spans="1:4" x14ac:dyDescent="0.55000000000000004">
      <c r="A31" s="58"/>
      <c r="B31" s="58"/>
      <c r="C31" s="5" t="s">
        <v>46</v>
      </c>
      <c r="D31" s="2">
        <v>10</v>
      </c>
    </row>
    <row r="32" spans="1:4" x14ac:dyDescent="0.55000000000000004">
      <c r="A32" s="59" t="s">
        <v>47</v>
      </c>
      <c r="B32" s="59"/>
      <c r="C32" s="5"/>
    </row>
    <row r="33" spans="1:11" x14ac:dyDescent="0.55000000000000004">
      <c r="A33" s="58"/>
      <c r="B33" s="58"/>
      <c r="C33" s="5" t="s">
        <v>48</v>
      </c>
    </row>
    <row r="34" spans="1:11" x14ac:dyDescent="0.55000000000000004">
      <c r="A34" s="59" t="s">
        <v>50</v>
      </c>
      <c r="B34" s="59"/>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9"/>
      <c r="B36" s="5" t="s">
        <v>59</v>
      </c>
      <c r="C36" s="5"/>
    </row>
    <row r="37" spans="1:11" x14ac:dyDescent="0.55000000000000004">
      <c r="A37" s="59"/>
      <c r="C37" s="5" t="s">
        <v>245</v>
      </c>
      <c r="D37" s="2">
        <v>3.4</v>
      </c>
      <c r="E37" s="1">
        <v>3.1</v>
      </c>
    </row>
    <row r="38" spans="1:11" x14ac:dyDescent="0.55000000000000004">
      <c r="A38" s="59"/>
      <c r="C38" s="5" t="s">
        <v>246</v>
      </c>
      <c r="D38" s="2">
        <v>0.9</v>
      </c>
      <c r="E38" s="1">
        <v>1.1000000000000001</v>
      </c>
    </row>
    <row r="39" spans="1:11" x14ac:dyDescent="0.55000000000000004">
      <c r="A39" s="59"/>
      <c r="B39" s="5"/>
      <c r="C39" s="5"/>
    </row>
    <row r="40" spans="1:11" x14ac:dyDescent="0.55000000000000004">
      <c r="A40" s="59"/>
      <c r="B40" s="5"/>
      <c r="C40" s="5"/>
    </row>
    <row r="41" spans="1:11" x14ac:dyDescent="0.55000000000000004">
      <c r="A41" s="59"/>
      <c r="B41" s="5"/>
    </row>
    <row r="42" spans="1:11" x14ac:dyDescent="0.55000000000000004">
      <c r="A42" s="59"/>
      <c r="B42" s="5"/>
    </row>
    <row r="43" spans="1:11" x14ac:dyDescent="0.55000000000000004">
      <c r="A43" s="59"/>
      <c r="B43" s="5"/>
    </row>
    <row r="44" spans="1:11" x14ac:dyDescent="0.55000000000000004">
      <c r="A44" s="59"/>
      <c r="B44" s="5"/>
    </row>
    <row r="45" spans="1:11" x14ac:dyDescent="0.55000000000000004">
      <c r="A45" s="59"/>
      <c r="B45" s="5" t="s">
        <v>61</v>
      </c>
      <c r="C45" s="5"/>
    </row>
    <row r="46" spans="1:11" x14ac:dyDescent="0.55000000000000004">
      <c r="A46" s="59"/>
      <c r="B46" s="5"/>
      <c r="C46" s="5"/>
    </row>
    <row r="47" spans="1:11" x14ac:dyDescent="0.55000000000000004">
      <c r="A47" s="59"/>
      <c r="B47" s="5"/>
      <c r="C47" s="5"/>
    </row>
    <row r="48" spans="1:11" x14ac:dyDescent="0.55000000000000004">
      <c r="A48" s="59"/>
      <c r="B48" s="5"/>
      <c r="C48" s="5"/>
    </row>
    <row r="49" spans="1:3" x14ac:dyDescent="0.55000000000000004">
      <c r="A49" s="59"/>
      <c r="B49" s="5"/>
      <c r="C49" s="5"/>
    </row>
    <row r="50" spans="1:3" x14ac:dyDescent="0.55000000000000004">
      <c r="A50" s="59"/>
      <c r="B50" s="5"/>
      <c r="C50" s="5"/>
    </row>
    <row r="51" spans="1:3" x14ac:dyDescent="0.55000000000000004">
      <c r="A51" s="59"/>
      <c r="B51" s="5"/>
      <c r="C51" s="5"/>
    </row>
    <row r="52" spans="1:3" x14ac:dyDescent="0.55000000000000004">
      <c r="A52" s="59"/>
      <c r="B52" s="5"/>
      <c r="C52" s="5"/>
    </row>
    <row r="53" spans="1:3" x14ac:dyDescent="0.55000000000000004">
      <c r="A53" s="59"/>
      <c r="B53" s="5"/>
      <c r="C53" s="5"/>
    </row>
    <row r="54" spans="1:3" x14ac:dyDescent="0.55000000000000004">
      <c r="A54" s="59"/>
      <c r="B54" s="5"/>
      <c r="C54" s="5"/>
    </row>
    <row r="55" spans="1:3" x14ac:dyDescent="0.55000000000000004">
      <c r="A55" s="59"/>
      <c r="B55" s="5"/>
      <c r="C55" s="5"/>
    </row>
    <row r="56" spans="1:3" x14ac:dyDescent="0.55000000000000004">
      <c r="A56" s="59"/>
      <c r="B56" s="5"/>
      <c r="C56" s="5"/>
    </row>
    <row r="57" spans="1:3" x14ac:dyDescent="0.55000000000000004">
      <c r="A57" s="59"/>
      <c r="B57" s="5"/>
      <c r="C57" s="5"/>
    </row>
    <row r="58" spans="1:3" x14ac:dyDescent="0.55000000000000004">
      <c r="A58" s="59"/>
      <c r="B58" s="5"/>
      <c r="C58" s="5"/>
    </row>
    <row r="59" spans="1:3" x14ac:dyDescent="0.55000000000000004">
      <c r="A59" s="59"/>
      <c r="B59" s="5"/>
      <c r="C59" s="5"/>
    </row>
    <row r="60" spans="1:3" x14ac:dyDescent="0.55000000000000004">
      <c r="A60" s="59"/>
      <c r="B60" s="5"/>
      <c r="C60" s="5"/>
    </row>
    <row r="61" spans="1:3" x14ac:dyDescent="0.55000000000000004">
      <c r="A61" s="59"/>
      <c r="B61" s="5"/>
      <c r="C61" s="5"/>
    </row>
    <row r="62" spans="1:3" x14ac:dyDescent="0.55000000000000004">
      <c r="A62" s="59"/>
      <c r="B62" s="5"/>
      <c r="C62" s="5"/>
    </row>
    <row r="63" spans="1:3" x14ac:dyDescent="0.55000000000000004">
      <c r="A63" s="59"/>
      <c r="B63" s="5"/>
      <c r="C63" s="5"/>
    </row>
    <row r="64" spans="1:3" x14ac:dyDescent="0.55000000000000004">
      <c r="A64" s="59"/>
      <c r="B64" s="5"/>
      <c r="C64" s="5"/>
    </row>
    <row r="65" spans="1:4" x14ac:dyDescent="0.55000000000000004">
      <c r="A65" s="59"/>
      <c r="B65" s="5" t="s">
        <v>62</v>
      </c>
      <c r="D65" s="5">
        <v>14</v>
      </c>
    </row>
    <row r="66" spans="1:4" x14ac:dyDescent="0.55000000000000004">
      <c r="A66" s="59"/>
      <c r="B66" s="5" t="s">
        <v>63</v>
      </c>
      <c r="D66" s="5" t="s">
        <v>247</v>
      </c>
    </row>
    <row r="67" spans="1:4" x14ac:dyDescent="0.55000000000000004">
      <c r="A67" s="59" t="s">
        <v>65</v>
      </c>
      <c r="B67" s="59"/>
      <c r="C67" s="5"/>
    </row>
    <row r="68" spans="1:4" x14ac:dyDescent="0.55000000000000004">
      <c r="A68" s="3" t="s">
        <v>67</v>
      </c>
    </row>
    <row r="69" spans="1:4" x14ac:dyDescent="0.55000000000000004">
      <c r="A69" s="1" t="s">
        <v>68</v>
      </c>
      <c r="C69" s="1">
        <v>17</v>
      </c>
      <c r="D69" s="2">
        <v>22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dimension ref="A1:AMJ69"/>
  <sheetViews>
    <sheetView zoomScaleNormal="100" workbookViewId="0">
      <selection activeCell="D5" sqref="D5"/>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1.578125" style="1" customWidth="1"/>
    <col min="6" max="1024" width="11.41796875" style="1"/>
  </cols>
  <sheetData>
    <row r="1" spans="1:4" x14ac:dyDescent="0.55000000000000004">
      <c r="A1" s="3" t="s">
        <v>0</v>
      </c>
      <c r="D1" s="2" t="s">
        <v>341</v>
      </c>
    </row>
    <row r="2" spans="1:4" x14ac:dyDescent="0.55000000000000004">
      <c r="A2" s="58" t="s">
        <v>2</v>
      </c>
      <c r="B2" s="58"/>
      <c r="D2" s="1" t="s">
        <v>1795</v>
      </c>
    </row>
    <row r="3" spans="1:4" ht="26.1" x14ac:dyDescent="0.55000000000000004">
      <c r="A3" s="58"/>
      <c r="B3" s="58"/>
      <c r="C3" s="5" t="s">
        <v>4</v>
      </c>
      <c r="D3" s="2" t="s">
        <v>1796</v>
      </c>
    </row>
    <row r="4" spans="1:4" x14ac:dyDescent="0.55000000000000004">
      <c r="A4" s="58"/>
      <c r="B4" s="58"/>
      <c r="C4" s="5" t="s">
        <v>6</v>
      </c>
      <c r="D4" s="2">
        <v>2003</v>
      </c>
    </row>
    <row r="5" spans="1:4" ht="26.1" x14ac:dyDescent="0.55000000000000004">
      <c r="A5" s="58"/>
      <c r="B5" s="58"/>
      <c r="C5" s="5" t="s">
        <v>7</v>
      </c>
      <c r="D5" s="2" t="s">
        <v>1797</v>
      </c>
    </row>
    <row r="6" spans="1:4" x14ac:dyDescent="0.55000000000000004">
      <c r="A6" s="58"/>
      <c r="B6" s="58"/>
      <c r="C6" s="5" t="s">
        <v>9</v>
      </c>
      <c r="D6" s="2" t="s">
        <v>10</v>
      </c>
    </row>
    <row r="7" spans="1:4" x14ac:dyDescent="0.55000000000000004">
      <c r="A7" s="58"/>
      <c r="B7" s="58"/>
      <c r="C7" s="5" t="s">
        <v>11</v>
      </c>
      <c r="D7" s="2" t="s">
        <v>12</v>
      </c>
    </row>
    <row r="8" spans="1:4" x14ac:dyDescent="0.55000000000000004">
      <c r="A8" s="59" t="s">
        <v>13</v>
      </c>
      <c r="B8" s="59"/>
      <c r="C8" s="5"/>
    </row>
    <row r="9" spans="1:4" ht="26.1" x14ac:dyDescent="0.55000000000000004">
      <c r="A9" s="58"/>
      <c r="B9" s="58"/>
      <c r="C9" s="5" t="s">
        <v>14</v>
      </c>
      <c r="D9" s="2" t="s">
        <v>1798</v>
      </c>
    </row>
    <row r="10" spans="1:4" x14ac:dyDescent="0.55000000000000004">
      <c r="A10" s="58"/>
      <c r="B10" s="58"/>
      <c r="C10" s="5" t="s">
        <v>16</v>
      </c>
      <c r="D10" s="2" t="s">
        <v>165</v>
      </c>
    </row>
    <row r="11" spans="1:4" x14ac:dyDescent="0.55000000000000004">
      <c r="A11" s="58"/>
      <c r="B11" s="58"/>
      <c r="C11" s="5" t="s">
        <v>19</v>
      </c>
      <c r="D11" s="9" t="s">
        <v>20</v>
      </c>
    </row>
    <row r="12" spans="1:4" x14ac:dyDescent="0.55000000000000004">
      <c r="A12" s="58"/>
      <c r="B12" s="58"/>
      <c r="C12" s="5" t="s">
        <v>21</v>
      </c>
      <c r="D12" s="9" t="s">
        <v>20</v>
      </c>
    </row>
    <row r="13" spans="1:4" x14ac:dyDescent="0.55000000000000004">
      <c r="A13" s="58"/>
      <c r="B13" s="58"/>
      <c r="C13" s="5" t="s">
        <v>22</v>
      </c>
      <c r="D13" s="2" t="s">
        <v>20</v>
      </c>
    </row>
    <row r="14" spans="1:4" x14ac:dyDescent="0.55000000000000004">
      <c r="A14" s="59" t="s">
        <v>24</v>
      </c>
      <c r="B14" s="59"/>
      <c r="C14" s="5"/>
    </row>
    <row r="15" spans="1:4" x14ac:dyDescent="0.55000000000000004">
      <c r="A15" s="58"/>
      <c r="B15" s="58"/>
      <c r="C15" s="5" t="s">
        <v>25</v>
      </c>
      <c r="D15" s="2" t="s">
        <v>1799</v>
      </c>
    </row>
    <row r="16" spans="1:4" x14ac:dyDescent="0.55000000000000004">
      <c r="A16" s="58"/>
      <c r="B16" s="58"/>
      <c r="C16" s="5" t="s">
        <v>27</v>
      </c>
      <c r="D16" s="2" t="s">
        <v>88</v>
      </c>
    </row>
    <row r="17" spans="1:4" x14ac:dyDescent="0.55000000000000004">
      <c r="A17" s="59" t="s">
        <v>29</v>
      </c>
      <c r="B17" s="59"/>
      <c r="C17" s="5"/>
    </row>
    <row r="18" spans="1:4" ht="103.5" x14ac:dyDescent="0.55000000000000004">
      <c r="A18" s="58"/>
      <c r="B18" s="58"/>
      <c r="C18" s="5" t="s">
        <v>30</v>
      </c>
      <c r="D18" s="2" t="s">
        <v>1800</v>
      </c>
    </row>
    <row r="19" spans="1:4" ht="51.9" x14ac:dyDescent="0.55000000000000004">
      <c r="A19" s="58"/>
      <c r="B19" s="58"/>
      <c r="C19" s="5" t="s">
        <v>32</v>
      </c>
      <c r="D19" s="2" t="s">
        <v>1801</v>
      </c>
    </row>
    <row r="20" spans="1:4" x14ac:dyDescent="0.55000000000000004">
      <c r="A20" s="59" t="s">
        <v>34</v>
      </c>
      <c r="B20" s="59"/>
      <c r="C20" s="5"/>
      <c r="D20" s="2" t="s">
        <v>35</v>
      </c>
    </row>
    <row r="21" spans="1:4" x14ac:dyDescent="0.55000000000000004">
      <c r="A21" s="58"/>
      <c r="B21" s="58"/>
      <c r="C21" s="5" t="s">
        <v>36</v>
      </c>
      <c r="D21" s="2" t="s">
        <v>20</v>
      </c>
    </row>
    <row r="22" spans="1:4" x14ac:dyDescent="0.55000000000000004">
      <c r="A22" s="58"/>
      <c r="B22" s="58"/>
      <c r="C22" s="5" t="s">
        <v>37</v>
      </c>
      <c r="D22" s="2">
        <v>115</v>
      </c>
    </row>
    <row r="23" spans="1:4" x14ac:dyDescent="0.55000000000000004">
      <c r="A23" s="58"/>
      <c r="B23" s="58"/>
      <c r="C23" s="5" t="s">
        <v>38</v>
      </c>
      <c r="D23" s="2">
        <v>108</v>
      </c>
    </row>
    <row r="24" spans="1:4" x14ac:dyDescent="0.55000000000000004">
      <c r="A24" s="58"/>
      <c r="B24" s="58"/>
      <c r="C24" s="5" t="s">
        <v>39</v>
      </c>
      <c r="D24" s="2">
        <v>7</v>
      </c>
    </row>
    <row r="25" spans="1:4" x14ac:dyDescent="0.55000000000000004">
      <c r="A25" s="58"/>
      <c r="B25" s="58"/>
      <c r="C25" s="5" t="s">
        <v>40</v>
      </c>
      <c r="D25" s="2">
        <v>40</v>
      </c>
    </row>
    <row r="26" spans="1:4" x14ac:dyDescent="0.55000000000000004">
      <c r="A26" s="58"/>
      <c r="B26" s="58"/>
      <c r="C26" s="5" t="s">
        <v>41</v>
      </c>
      <c r="D26" s="7">
        <v>63.4</v>
      </c>
    </row>
    <row r="27" spans="1:4" x14ac:dyDescent="0.55000000000000004">
      <c r="A27" s="58"/>
      <c r="B27" s="58"/>
      <c r="C27" s="5" t="s">
        <v>42</v>
      </c>
      <c r="D27" s="7">
        <v>7.3</v>
      </c>
    </row>
    <row r="28" spans="1:4" x14ac:dyDescent="0.55000000000000004">
      <c r="A28" s="58"/>
      <c r="B28" s="58"/>
      <c r="C28" s="5" t="s">
        <v>43</v>
      </c>
      <c r="D28" s="2" t="s">
        <v>20</v>
      </c>
    </row>
    <row r="29" spans="1:4" x14ac:dyDescent="0.55000000000000004">
      <c r="A29" s="58"/>
      <c r="B29" s="58"/>
      <c r="C29" s="5" t="s">
        <v>44</v>
      </c>
      <c r="D29" s="2">
        <v>2</v>
      </c>
    </row>
    <row r="30" spans="1:4" x14ac:dyDescent="0.55000000000000004">
      <c r="A30" s="58"/>
      <c r="B30" s="58"/>
      <c r="C30" s="5" t="s">
        <v>45</v>
      </c>
      <c r="D30" s="7">
        <v>28</v>
      </c>
    </row>
    <row r="31" spans="1:4" x14ac:dyDescent="0.55000000000000004">
      <c r="A31" s="58"/>
      <c r="B31" s="58"/>
      <c r="C31" s="5" t="s">
        <v>46</v>
      </c>
      <c r="D31" s="7">
        <v>9.8000000000000007</v>
      </c>
    </row>
    <row r="32" spans="1:4" x14ac:dyDescent="0.55000000000000004">
      <c r="A32" s="59" t="s">
        <v>47</v>
      </c>
      <c r="B32" s="59"/>
      <c r="C32" s="5"/>
    </row>
    <row r="33" spans="1:10" ht="90.6" x14ac:dyDescent="0.55000000000000004">
      <c r="A33" s="58"/>
      <c r="B33" s="58"/>
      <c r="C33" s="5" t="s">
        <v>48</v>
      </c>
      <c r="D33" s="2" t="s">
        <v>1802</v>
      </c>
    </row>
    <row r="34" spans="1:10" x14ac:dyDescent="0.55000000000000004">
      <c r="A34" s="59" t="s">
        <v>50</v>
      </c>
      <c r="B34" s="59"/>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9"/>
      <c r="B36" s="5" t="s">
        <v>59</v>
      </c>
      <c r="C36" s="5"/>
    </row>
    <row r="37" spans="1:10" x14ac:dyDescent="0.55000000000000004">
      <c r="A37" s="59"/>
      <c r="B37" s="5"/>
      <c r="C37" s="1" t="s">
        <v>1803</v>
      </c>
      <c r="D37" s="7">
        <v>-1.1000000000000001</v>
      </c>
      <c r="E37" s="10">
        <v>2.1</v>
      </c>
      <c r="I37" s="1">
        <v>8.7999999999999995E-2</v>
      </c>
    </row>
    <row r="38" spans="1:10" x14ac:dyDescent="0.55000000000000004">
      <c r="A38" s="59"/>
      <c r="B38" s="5"/>
      <c r="C38" s="1" t="s">
        <v>1467</v>
      </c>
      <c r="D38" s="7">
        <v>-0.5</v>
      </c>
      <c r="E38" s="10">
        <v>2.4</v>
      </c>
    </row>
    <row r="39" spans="1:10" s="1" customFormat="1" ht="12.9" x14ac:dyDescent="0.5">
      <c r="A39" s="59"/>
      <c r="B39" s="5"/>
    </row>
    <row r="40" spans="1:10" s="1" customFormat="1" ht="12.9" x14ac:dyDescent="0.5">
      <c r="A40" s="59"/>
      <c r="B40" s="5"/>
      <c r="C40" s="5"/>
    </row>
    <row r="41" spans="1:10" x14ac:dyDescent="0.55000000000000004">
      <c r="A41" s="59"/>
      <c r="B41" s="5"/>
    </row>
    <row r="42" spans="1:10" x14ac:dyDescent="0.55000000000000004">
      <c r="A42" s="59"/>
      <c r="B42" s="5"/>
      <c r="C42" s="5"/>
    </row>
    <row r="43" spans="1:10" x14ac:dyDescent="0.55000000000000004">
      <c r="A43" s="59"/>
      <c r="B43" s="5"/>
      <c r="C43" s="5"/>
    </row>
    <row r="44" spans="1:10" x14ac:dyDescent="0.55000000000000004">
      <c r="A44" s="59"/>
      <c r="B44" s="5"/>
      <c r="C44" s="5"/>
    </row>
    <row r="45" spans="1:10" x14ac:dyDescent="0.55000000000000004">
      <c r="A45" s="59"/>
      <c r="B45" s="5" t="s">
        <v>61</v>
      </c>
      <c r="C45" s="5"/>
      <c r="D45" s="37"/>
    </row>
    <row r="46" spans="1:10" x14ac:dyDescent="0.55000000000000004">
      <c r="A46" s="59"/>
      <c r="B46" s="5"/>
      <c r="C46" s="5" t="s">
        <v>79</v>
      </c>
      <c r="D46" s="2">
        <v>1</v>
      </c>
    </row>
    <row r="47" spans="1:10" x14ac:dyDescent="0.55000000000000004">
      <c r="A47" s="59"/>
      <c r="B47" s="5"/>
    </row>
    <row r="48" spans="1:10" x14ac:dyDescent="0.55000000000000004">
      <c r="A48" s="59"/>
      <c r="B48" s="5"/>
      <c r="C48" s="5"/>
    </row>
    <row r="49" spans="1:3" x14ac:dyDescent="0.55000000000000004">
      <c r="A49" s="59"/>
      <c r="B49" s="5"/>
      <c r="C49" s="5"/>
    </row>
    <row r="50" spans="1:3" x14ac:dyDescent="0.55000000000000004">
      <c r="A50" s="59"/>
      <c r="B50" s="5"/>
      <c r="C50" s="5"/>
    </row>
    <row r="51" spans="1:3" x14ac:dyDescent="0.55000000000000004">
      <c r="A51" s="59"/>
      <c r="B51" s="5"/>
      <c r="C51" s="5"/>
    </row>
    <row r="52" spans="1:3" x14ac:dyDescent="0.55000000000000004">
      <c r="A52" s="59"/>
      <c r="B52" s="5"/>
      <c r="C52" s="5"/>
    </row>
    <row r="53" spans="1:3" x14ac:dyDescent="0.55000000000000004">
      <c r="A53" s="59"/>
      <c r="B53" s="5"/>
      <c r="C53" s="5"/>
    </row>
    <row r="54" spans="1:3" x14ac:dyDescent="0.55000000000000004">
      <c r="A54" s="59"/>
      <c r="B54" s="5"/>
      <c r="C54" s="5"/>
    </row>
    <row r="55" spans="1:3" x14ac:dyDescent="0.55000000000000004">
      <c r="A55" s="59"/>
      <c r="B55" s="5"/>
      <c r="C55" s="5"/>
    </row>
    <row r="56" spans="1:3" x14ac:dyDescent="0.55000000000000004">
      <c r="A56" s="59"/>
      <c r="B56" s="5"/>
      <c r="C56" s="5"/>
    </row>
    <row r="57" spans="1:3" x14ac:dyDescent="0.55000000000000004">
      <c r="A57" s="59"/>
      <c r="B57" s="5"/>
      <c r="C57" s="5"/>
    </row>
    <row r="58" spans="1:3" x14ac:dyDescent="0.55000000000000004">
      <c r="A58" s="59"/>
      <c r="B58" s="5"/>
      <c r="C58" s="5"/>
    </row>
    <row r="59" spans="1:3" x14ac:dyDescent="0.55000000000000004">
      <c r="A59" s="59"/>
      <c r="B59" s="5"/>
      <c r="C59" s="5"/>
    </row>
    <row r="60" spans="1:3" x14ac:dyDescent="0.55000000000000004">
      <c r="A60" s="59"/>
      <c r="B60" s="5"/>
      <c r="C60" s="5"/>
    </row>
    <row r="61" spans="1:3" x14ac:dyDescent="0.55000000000000004">
      <c r="A61" s="59"/>
      <c r="B61" s="5"/>
      <c r="C61" s="5"/>
    </row>
    <row r="62" spans="1:3" x14ac:dyDescent="0.55000000000000004">
      <c r="A62" s="59"/>
      <c r="B62" s="5"/>
      <c r="C62" s="5"/>
    </row>
    <row r="63" spans="1:3" x14ac:dyDescent="0.55000000000000004">
      <c r="A63" s="59"/>
      <c r="B63" s="5"/>
      <c r="C63" s="5"/>
    </row>
    <row r="64" spans="1:3" x14ac:dyDescent="0.55000000000000004">
      <c r="A64" s="59"/>
      <c r="B64" s="5"/>
      <c r="C64" s="5"/>
    </row>
    <row r="65" spans="1:4" x14ac:dyDescent="0.55000000000000004">
      <c r="A65" s="59"/>
      <c r="B65" s="5" t="s">
        <v>62</v>
      </c>
      <c r="C65" s="5"/>
      <c r="D65" s="2">
        <f>6*30</f>
        <v>180</v>
      </c>
    </row>
    <row r="66" spans="1:4" x14ac:dyDescent="0.55000000000000004">
      <c r="A66" s="59"/>
      <c r="B66" s="5" t="s">
        <v>63</v>
      </c>
      <c r="C66" s="5"/>
      <c r="D66" s="2" t="s">
        <v>1804</v>
      </c>
    </row>
    <row r="67" spans="1:4" x14ac:dyDescent="0.55000000000000004">
      <c r="A67" s="59" t="s">
        <v>65</v>
      </c>
      <c r="B67" s="59"/>
      <c r="C67" s="5"/>
    </row>
    <row r="68" spans="1:4" x14ac:dyDescent="0.55000000000000004">
      <c r="A68" s="3" t="s">
        <v>67</v>
      </c>
    </row>
    <row r="69" spans="1:4" x14ac:dyDescent="0.55000000000000004">
      <c r="A69" s="1" t="s">
        <v>68</v>
      </c>
      <c r="C69" s="1">
        <v>20</v>
      </c>
      <c r="D69" s="2">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76"/>
  <sheetViews>
    <sheetView zoomScale="90" zoomScaleNormal="90" workbookViewId="0">
      <selection activeCell="D10" sqref="D10"/>
    </sheetView>
  </sheetViews>
  <sheetFormatPr baseColWidth="10" defaultColWidth="11.41796875" defaultRowHeight="14.4" x14ac:dyDescent="0.55000000000000004"/>
  <cols>
    <col min="1" max="1" width="29.83984375" style="1" customWidth="1"/>
    <col min="2" max="2" width="18.83984375" style="1" customWidth="1"/>
    <col min="3" max="3" width="47.41796875" style="1" customWidth="1"/>
    <col min="4" max="4" width="56.15625" style="2" customWidth="1"/>
    <col min="5" max="5" width="4.15625" style="1" customWidth="1"/>
    <col min="6" max="6" width="20.15625" style="1" customWidth="1"/>
    <col min="7" max="7" width="5.15625" style="1" customWidth="1"/>
    <col min="8" max="8" width="5.83984375" style="1" customWidth="1"/>
    <col min="9" max="9" width="6.41796875" style="1" customWidth="1"/>
    <col min="10" max="10" width="9.15625" style="1" customWidth="1"/>
    <col min="11" max="11" width="8.15625" style="1" customWidth="1"/>
    <col min="12" max="1024" width="11.41796875" style="1"/>
  </cols>
  <sheetData>
    <row r="1" spans="1:5" x14ac:dyDescent="0.55000000000000004">
      <c r="A1" s="3" t="s">
        <v>0</v>
      </c>
      <c r="D1" s="2" t="s">
        <v>248</v>
      </c>
    </row>
    <row r="2" spans="1:5" x14ac:dyDescent="0.55000000000000004">
      <c r="A2" s="5" t="s">
        <v>2</v>
      </c>
      <c r="B2" s="5"/>
      <c r="D2" s="1" t="s">
        <v>249</v>
      </c>
    </row>
    <row r="3" spans="1:5" x14ac:dyDescent="0.55000000000000004">
      <c r="A3" s="5"/>
      <c r="B3" s="5"/>
      <c r="C3" s="5" t="s">
        <v>4</v>
      </c>
      <c r="D3" s="2" t="s">
        <v>250</v>
      </c>
    </row>
    <row r="4" spans="1:5" x14ac:dyDescent="0.55000000000000004">
      <c r="A4" s="5"/>
      <c r="B4" s="5"/>
      <c r="C4" s="5" t="s">
        <v>6</v>
      </c>
      <c r="D4" s="2">
        <v>2013</v>
      </c>
    </row>
    <row r="5" spans="1:5" ht="26.1" x14ac:dyDescent="0.55000000000000004">
      <c r="A5" s="5"/>
      <c r="B5" s="5"/>
      <c r="C5" s="5" t="s">
        <v>7</v>
      </c>
      <c r="D5" s="2" t="s">
        <v>251</v>
      </c>
    </row>
    <row r="6" spans="1:5" x14ac:dyDescent="0.55000000000000004">
      <c r="A6" s="5"/>
      <c r="B6" s="5"/>
      <c r="C6" s="5" t="s">
        <v>9</v>
      </c>
      <c r="D6" s="2" t="s">
        <v>252</v>
      </c>
    </row>
    <row r="7" spans="1:5" x14ac:dyDescent="0.55000000000000004">
      <c r="A7" s="5"/>
      <c r="B7" s="5"/>
      <c r="C7" s="5" t="s">
        <v>11</v>
      </c>
      <c r="D7" s="2" t="s">
        <v>12</v>
      </c>
    </row>
    <row r="8" spans="1:5" x14ac:dyDescent="0.55000000000000004">
      <c r="A8" s="8" t="s">
        <v>13</v>
      </c>
      <c r="B8" s="8"/>
      <c r="C8" s="5"/>
    </row>
    <row r="9" spans="1:5" ht="26.1" x14ac:dyDescent="0.55000000000000004">
      <c r="A9" s="5"/>
      <c r="B9" s="5"/>
      <c r="C9" s="5" t="s">
        <v>14</v>
      </c>
      <c r="D9" s="2" t="s">
        <v>253</v>
      </c>
    </row>
    <row r="10" spans="1:5" x14ac:dyDescent="0.55000000000000004">
      <c r="A10" s="5"/>
      <c r="B10" s="5"/>
      <c r="C10" s="5" t="s">
        <v>16</v>
      </c>
      <c r="D10" s="2" t="s">
        <v>86</v>
      </c>
      <c r="E10" s="1" t="s">
        <v>254</v>
      </c>
    </row>
    <row r="11" spans="1:5" x14ac:dyDescent="0.55000000000000004">
      <c r="A11" s="5"/>
      <c r="B11" s="5"/>
      <c r="C11" s="5" t="s">
        <v>19</v>
      </c>
      <c r="D11" s="2" t="s">
        <v>20</v>
      </c>
    </row>
    <row r="12" spans="1:5" x14ac:dyDescent="0.55000000000000004">
      <c r="A12" s="5"/>
      <c r="B12" s="5"/>
      <c r="C12" s="5" t="s">
        <v>21</v>
      </c>
      <c r="D12" s="2" t="s">
        <v>20</v>
      </c>
    </row>
    <row r="13" spans="1:5" x14ac:dyDescent="0.55000000000000004">
      <c r="A13" s="5"/>
      <c r="B13" s="5"/>
      <c r="C13" s="5" t="s">
        <v>22</v>
      </c>
      <c r="D13" s="2" t="s">
        <v>20</v>
      </c>
    </row>
    <row r="14" spans="1:5" x14ac:dyDescent="0.55000000000000004">
      <c r="A14" s="8" t="s">
        <v>24</v>
      </c>
      <c r="B14" s="8"/>
      <c r="C14" s="5"/>
    </row>
    <row r="15" spans="1:5" x14ac:dyDescent="0.55000000000000004">
      <c r="A15" s="5"/>
      <c r="B15" s="5"/>
      <c r="C15" s="5" t="s">
        <v>25</v>
      </c>
      <c r="D15" s="2" t="s">
        <v>255</v>
      </c>
    </row>
    <row r="16" spans="1:5" x14ac:dyDescent="0.55000000000000004">
      <c r="A16" s="5"/>
      <c r="B16" s="5"/>
      <c r="C16" s="5" t="s">
        <v>27</v>
      </c>
      <c r="D16" s="2" t="s">
        <v>256</v>
      </c>
    </row>
    <row r="17" spans="1:4" x14ac:dyDescent="0.55000000000000004">
      <c r="A17" s="8" t="s">
        <v>29</v>
      </c>
      <c r="B17" s="8"/>
      <c r="C17" s="5"/>
    </row>
    <row r="18" spans="1:4" ht="26.1" x14ac:dyDescent="0.55000000000000004">
      <c r="A18" s="5"/>
      <c r="B18" s="5"/>
      <c r="C18" s="5" t="s">
        <v>30</v>
      </c>
      <c r="D18" s="2" t="s">
        <v>257</v>
      </c>
    </row>
    <row r="19" spans="1:4" x14ac:dyDescent="0.55000000000000004">
      <c r="A19" s="5"/>
      <c r="B19" s="5"/>
      <c r="C19" s="5" t="s">
        <v>32</v>
      </c>
      <c r="D19" s="2" t="s">
        <v>258</v>
      </c>
    </row>
    <row r="20" spans="1:4" x14ac:dyDescent="0.55000000000000004">
      <c r="A20" s="8" t="s">
        <v>34</v>
      </c>
      <c r="B20" s="8"/>
      <c r="C20" s="5"/>
      <c r="D20" s="2" t="s">
        <v>35</v>
      </c>
    </row>
    <row r="21" spans="1:4" x14ac:dyDescent="0.55000000000000004">
      <c r="A21" s="5"/>
      <c r="B21" s="5"/>
      <c r="C21" s="5" t="s">
        <v>36</v>
      </c>
      <c r="D21" s="2" t="s">
        <v>20</v>
      </c>
    </row>
    <row r="22" spans="1:4" x14ac:dyDescent="0.55000000000000004">
      <c r="A22" s="5"/>
      <c r="B22" s="5"/>
      <c r="C22" s="5" t="s">
        <v>37</v>
      </c>
      <c r="D22" s="2">
        <v>13</v>
      </c>
    </row>
    <row r="23" spans="1:4" x14ac:dyDescent="0.55000000000000004">
      <c r="A23" s="5"/>
      <c r="B23" s="5"/>
      <c r="C23" s="5" t="s">
        <v>38</v>
      </c>
      <c r="D23" s="2">
        <v>10</v>
      </c>
    </row>
    <row r="24" spans="1:4" x14ac:dyDescent="0.55000000000000004">
      <c r="A24" s="5"/>
      <c r="B24" s="5"/>
      <c r="C24" s="5" t="s">
        <v>39</v>
      </c>
      <c r="D24" s="2">
        <v>3</v>
      </c>
    </row>
    <row r="25" spans="1:4" x14ac:dyDescent="0.55000000000000004">
      <c r="A25" s="5"/>
      <c r="B25" s="5"/>
      <c r="C25" s="5" t="s">
        <v>40</v>
      </c>
      <c r="D25" s="7">
        <f>5/13*100</f>
        <v>38.461538461538467</v>
      </c>
    </row>
    <row r="26" spans="1:4" x14ac:dyDescent="0.55000000000000004">
      <c r="A26" s="5"/>
      <c r="B26" s="5"/>
      <c r="C26" s="5" t="s">
        <v>41</v>
      </c>
      <c r="D26" s="7">
        <v>68.7</v>
      </c>
    </row>
    <row r="27" spans="1:4" x14ac:dyDescent="0.55000000000000004">
      <c r="A27" s="5"/>
      <c r="B27" s="5"/>
      <c r="C27" s="5" t="s">
        <v>42</v>
      </c>
      <c r="D27" s="7">
        <v>5.6</v>
      </c>
    </row>
    <row r="28" spans="1:4" x14ac:dyDescent="0.55000000000000004">
      <c r="A28" s="5"/>
      <c r="B28" s="5"/>
      <c r="C28" s="5" t="s">
        <v>43</v>
      </c>
      <c r="D28" s="2" t="s">
        <v>20</v>
      </c>
    </row>
    <row r="29" spans="1:4" x14ac:dyDescent="0.55000000000000004">
      <c r="A29" s="5"/>
      <c r="B29" s="5"/>
      <c r="C29" s="5" t="s">
        <v>44</v>
      </c>
      <c r="D29" s="2" t="s">
        <v>20</v>
      </c>
    </row>
    <row r="30" spans="1:4" x14ac:dyDescent="0.55000000000000004">
      <c r="A30" s="5"/>
      <c r="B30" s="5"/>
      <c r="C30" s="5" t="s">
        <v>45</v>
      </c>
      <c r="D30" s="7">
        <v>23.7</v>
      </c>
    </row>
    <row r="31" spans="1:4" x14ac:dyDescent="0.55000000000000004">
      <c r="A31" s="5"/>
      <c r="B31" s="5"/>
      <c r="C31" s="5" t="s">
        <v>46</v>
      </c>
      <c r="D31" s="7">
        <v>3.9</v>
      </c>
    </row>
    <row r="32" spans="1:4" x14ac:dyDescent="0.55000000000000004">
      <c r="A32" s="8" t="s">
        <v>47</v>
      </c>
      <c r="B32" s="8"/>
      <c r="C32" s="5"/>
    </row>
    <row r="33" spans="1:11" ht="26.1" x14ac:dyDescent="0.55000000000000004">
      <c r="A33" s="5"/>
      <c r="B33" s="5"/>
      <c r="C33" s="5" t="s">
        <v>48</v>
      </c>
      <c r="D33" s="2" t="s">
        <v>259</v>
      </c>
    </row>
    <row r="34" spans="1:11" x14ac:dyDescent="0.55000000000000004">
      <c r="A34" s="8" t="s">
        <v>50</v>
      </c>
      <c r="B34" s="8"/>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8"/>
      <c r="B36" s="5" t="s">
        <v>59</v>
      </c>
      <c r="C36" s="5"/>
    </row>
    <row r="37" spans="1:11" x14ac:dyDescent="0.55000000000000004">
      <c r="A37" s="8"/>
      <c r="B37" s="5"/>
      <c r="C37" s="5" t="s">
        <v>260</v>
      </c>
      <c r="D37" s="7">
        <v>7</v>
      </c>
      <c r="E37" s="10">
        <v>1.4</v>
      </c>
    </row>
    <row r="38" spans="1:11" x14ac:dyDescent="0.55000000000000004">
      <c r="A38" s="8"/>
      <c r="B38" s="5"/>
      <c r="C38" s="5" t="s">
        <v>261</v>
      </c>
      <c r="D38" s="7">
        <v>4.3</v>
      </c>
      <c r="E38" s="10">
        <v>1.2</v>
      </c>
    </row>
    <row r="39" spans="1:11" x14ac:dyDescent="0.55000000000000004">
      <c r="A39" s="8"/>
      <c r="B39" s="5"/>
      <c r="C39" s="5"/>
      <c r="D39" s="7"/>
      <c r="E39" s="10"/>
    </row>
    <row r="40" spans="1:11" x14ac:dyDescent="0.55000000000000004">
      <c r="A40" s="8"/>
      <c r="B40" s="5"/>
      <c r="C40" s="5"/>
      <c r="D40" s="7"/>
      <c r="E40" s="10"/>
    </row>
    <row r="41" spans="1:11" x14ac:dyDescent="0.55000000000000004">
      <c r="A41" s="8"/>
      <c r="B41" s="5"/>
      <c r="D41" s="7"/>
      <c r="E41" s="10"/>
    </row>
    <row r="42" spans="1:11" x14ac:dyDescent="0.55000000000000004">
      <c r="A42" s="8"/>
      <c r="B42" s="5"/>
      <c r="D42" s="7"/>
      <c r="E42" s="10"/>
    </row>
    <row r="43" spans="1:11" x14ac:dyDescent="0.55000000000000004">
      <c r="A43" s="8"/>
      <c r="B43" s="5"/>
      <c r="C43" s="5"/>
      <c r="D43" s="7"/>
      <c r="E43" s="10"/>
    </row>
    <row r="44" spans="1:11" x14ac:dyDescent="0.55000000000000004">
      <c r="A44" s="8"/>
      <c r="B44" s="5"/>
      <c r="C44" s="5"/>
      <c r="D44" s="7"/>
      <c r="E44" s="10"/>
    </row>
    <row r="45" spans="1:11" x14ac:dyDescent="0.55000000000000004">
      <c r="A45" s="8"/>
      <c r="B45" s="5" t="s">
        <v>61</v>
      </c>
      <c r="C45" s="5"/>
      <c r="D45" s="7"/>
      <c r="E45" s="10"/>
    </row>
    <row r="52" spans="3:5" x14ac:dyDescent="0.55000000000000004">
      <c r="C52" s="5"/>
      <c r="D52" s="7"/>
      <c r="E52" s="10"/>
    </row>
    <row r="53" spans="3:5" x14ac:dyDescent="0.55000000000000004">
      <c r="C53" s="5"/>
      <c r="D53" s="7"/>
      <c r="E53" s="10"/>
    </row>
    <row r="54" spans="3:5" x14ac:dyDescent="0.55000000000000004">
      <c r="C54" s="5"/>
      <c r="D54" s="7"/>
      <c r="E54" s="10"/>
    </row>
    <row r="55" spans="3:5" x14ac:dyDescent="0.55000000000000004">
      <c r="C55" s="5"/>
      <c r="D55" s="7"/>
      <c r="E55" s="10"/>
    </row>
    <row r="56" spans="3:5" x14ac:dyDescent="0.55000000000000004">
      <c r="C56" s="5"/>
      <c r="D56" s="7"/>
      <c r="E56" s="10"/>
    </row>
    <row r="57" spans="3:5" x14ac:dyDescent="0.55000000000000004">
      <c r="C57" s="5"/>
      <c r="D57" s="7"/>
      <c r="E57" s="10"/>
    </row>
    <row r="58" spans="3:5" x14ac:dyDescent="0.55000000000000004">
      <c r="C58" s="5"/>
      <c r="D58" s="7"/>
      <c r="E58" s="10"/>
    </row>
    <row r="59" spans="3:5" x14ac:dyDescent="0.55000000000000004">
      <c r="C59" s="5"/>
      <c r="D59" s="7"/>
      <c r="E59" s="10"/>
    </row>
    <row r="60" spans="3:5" x14ac:dyDescent="0.55000000000000004">
      <c r="C60" s="5"/>
      <c r="D60" s="7"/>
      <c r="E60" s="10"/>
    </row>
    <row r="61" spans="3:5" x14ac:dyDescent="0.55000000000000004">
      <c r="C61" s="5"/>
      <c r="D61" s="7"/>
      <c r="E61" s="10"/>
    </row>
    <row r="62" spans="3:5" x14ac:dyDescent="0.55000000000000004">
      <c r="C62" s="5"/>
      <c r="D62" s="7"/>
      <c r="E62" s="10"/>
    </row>
    <row r="63" spans="3:5" x14ac:dyDescent="0.55000000000000004">
      <c r="C63" s="5"/>
    </row>
    <row r="65" spans="1:5" x14ac:dyDescent="0.55000000000000004">
      <c r="A65" s="8"/>
      <c r="B65" s="5" t="s">
        <v>62</v>
      </c>
      <c r="C65" s="5"/>
      <c r="D65" s="2">
        <f>1/1440*30</f>
        <v>2.0833333333333336E-2</v>
      </c>
      <c r="E65" s="1">
        <v>30</v>
      </c>
    </row>
    <row r="66" spans="1:5" x14ac:dyDescent="0.55000000000000004">
      <c r="A66" s="8"/>
      <c r="B66" s="5" t="s">
        <v>63</v>
      </c>
      <c r="C66" s="5"/>
      <c r="D66" s="2" t="s">
        <v>64</v>
      </c>
    </row>
    <row r="67" spans="1:5" x14ac:dyDescent="0.55000000000000004">
      <c r="A67" s="8" t="s">
        <v>65</v>
      </c>
      <c r="B67" s="8"/>
      <c r="C67" s="5"/>
      <c r="D67" s="2" t="s">
        <v>262</v>
      </c>
    </row>
    <row r="68" spans="1:5" x14ac:dyDescent="0.55000000000000004">
      <c r="A68" s="3" t="s">
        <v>67</v>
      </c>
    </row>
    <row r="69" spans="1:5" x14ac:dyDescent="0.55000000000000004">
      <c r="A69" s="1" t="s">
        <v>68</v>
      </c>
      <c r="C69" s="1">
        <v>12</v>
      </c>
      <c r="D69" s="2">
        <v>22</v>
      </c>
    </row>
    <row r="70" spans="1:5" x14ac:dyDescent="0.55000000000000004">
      <c r="B70" s="1" t="s">
        <v>94</v>
      </c>
    </row>
    <row r="71" spans="1:5" x14ac:dyDescent="0.55000000000000004">
      <c r="C71" s="5" t="s">
        <v>263</v>
      </c>
      <c r="D71" s="7">
        <v>1.8</v>
      </c>
      <c r="E71" s="10">
        <v>0.3</v>
      </c>
    </row>
    <row r="72" spans="1:5" x14ac:dyDescent="0.55000000000000004">
      <c r="C72" s="5" t="s">
        <v>264</v>
      </c>
      <c r="D72" s="7">
        <v>1.5</v>
      </c>
      <c r="E72" s="10">
        <v>0.5</v>
      </c>
    </row>
    <row r="73" spans="1:5" x14ac:dyDescent="0.55000000000000004">
      <c r="C73" s="5" t="s">
        <v>265</v>
      </c>
      <c r="D73" s="7">
        <v>6.3</v>
      </c>
      <c r="E73" s="10">
        <v>1.8</v>
      </c>
    </row>
    <row r="74" spans="1:5" x14ac:dyDescent="0.55000000000000004">
      <c r="C74" s="5" t="s">
        <v>266</v>
      </c>
      <c r="D74" s="7">
        <v>4.4000000000000004</v>
      </c>
      <c r="E74" s="10">
        <v>0.8</v>
      </c>
    </row>
    <row r="75" spans="1:5" x14ac:dyDescent="0.55000000000000004">
      <c r="C75" s="5" t="s">
        <v>267</v>
      </c>
      <c r="D75" s="7">
        <v>23.7</v>
      </c>
      <c r="E75" s="10">
        <v>3.9</v>
      </c>
    </row>
    <row r="76" spans="1:5" x14ac:dyDescent="0.55000000000000004">
      <c r="C76" s="5" t="s">
        <v>268</v>
      </c>
      <c r="D76" s="7">
        <v>18.8</v>
      </c>
      <c r="E76" s="10">
        <v>3</v>
      </c>
    </row>
  </sheetData>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69"/>
  <sheetViews>
    <sheetView topLeftCell="A40" zoomScale="90" zoomScaleNormal="90" workbookViewId="0">
      <selection activeCell="F21" sqref="F21"/>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8.41796875" style="1" customWidth="1"/>
    <col min="6" max="6" width="4.83984375" style="1" customWidth="1"/>
    <col min="7" max="1024" width="11.41796875" style="1"/>
  </cols>
  <sheetData>
    <row r="1" spans="1:5" x14ac:dyDescent="0.55000000000000004">
      <c r="A1" s="3" t="s">
        <v>0</v>
      </c>
      <c r="D1" s="2" t="s">
        <v>269</v>
      </c>
    </row>
    <row r="2" spans="1:5" x14ac:dyDescent="0.55000000000000004">
      <c r="A2" s="58" t="s">
        <v>2</v>
      </c>
      <c r="B2" s="58"/>
      <c r="D2" s="2" t="s">
        <v>270</v>
      </c>
    </row>
    <row r="3" spans="1:5" ht="26.1" x14ac:dyDescent="0.55000000000000004">
      <c r="A3" s="58"/>
      <c r="B3" s="58"/>
      <c r="C3" s="5" t="s">
        <v>4</v>
      </c>
      <c r="D3" s="2" t="s">
        <v>271</v>
      </c>
    </row>
    <row r="4" spans="1:5" x14ac:dyDescent="0.55000000000000004">
      <c r="A4" s="58"/>
      <c r="B4" s="58"/>
      <c r="C4" s="5" t="s">
        <v>6</v>
      </c>
      <c r="D4" s="2">
        <v>2006</v>
      </c>
    </row>
    <row r="5" spans="1:5" ht="26.1" x14ac:dyDescent="0.55000000000000004">
      <c r="A5" s="58"/>
      <c r="B5" s="58"/>
      <c r="C5" s="5" t="s">
        <v>7</v>
      </c>
      <c r="D5" s="2" t="s">
        <v>272</v>
      </c>
    </row>
    <row r="6" spans="1:5" x14ac:dyDescent="0.55000000000000004">
      <c r="A6" s="58"/>
      <c r="B6" s="58"/>
      <c r="C6" s="5" t="s">
        <v>9</v>
      </c>
      <c r="D6" s="2" t="s">
        <v>273</v>
      </c>
    </row>
    <row r="7" spans="1:5" x14ac:dyDescent="0.55000000000000004">
      <c r="A7" s="58"/>
      <c r="B7" s="58"/>
      <c r="C7" s="5" t="s">
        <v>11</v>
      </c>
      <c r="D7" s="2" t="s">
        <v>12</v>
      </c>
    </row>
    <row r="8" spans="1:5" x14ac:dyDescent="0.55000000000000004">
      <c r="A8" s="59" t="s">
        <v>13</v>
      </c>
      <c r="B8" s="59"/>
      <c r="C8" s="5"/>
    </row>
    <row r="9" spans="1:5" ht="26.1" x14ac:dyDescent="0.55000000000000004">
      <c r="A9" s="58"/>
      <c r="B9" s="58"/>
      <c r="C9" s="5" t="s">
        <v>14</v>
      </c>
      <c r="D9" s="2" t="s">
        <v>274</v>
      </c>
    </row>
    <row r="10" spans="1:5" x14ac:dyDescent="0.55000000000000004">
      <c r="A10" s="58"/>
      <c r="B10" s="58"/>
      <c r="C10" s="5" t="s">
        <v>16</v>
      </c>
      <c r="D10" s="2" t="s">
        <v>103</v>
      </c>
      <c r="E10" s="1" t="s">
        <v>275</v>
      </c>
    </row>
    <row r="11" spans="1:5" x14ac:dyDescent="0.55000000000000004">
      <c r="A11" s="58"/>
      <c r="B11" s="58"/>
      <c r="C11" s="5" t="s">
        <v>19</v>
      </c>
      <c r="D11" s="2" t="s">
        <v>20</v>
      </c>
    </row>
    <row r="12" spans="1:5" x14ac:dyDescent="0.55000000000000004">
      <c r="A12" s="58"/>
      <c r="B12" s="58"/>
      <c r="C12" s="5" t="s">
        <v>21</v>
      </c>
      <c r="D12" s="2" t="s">
        <v>20</v>
      </c>
    </row>
    <row r="13" spans="1:5" x14ac:dyDescent="0.55000000000000004">
      <c r="A13" s="58"/>
      <c r="B13" s="58"/>
      <c r="C13" s="5" t="s">
        <v>22</v>
      </c>
      <c r="D13" s="2" t="s">
        <v>20</v>
      </c>
    </row>
    <row r="14" spans="1:5" x14ac:dyDescent="0.55000000000000004">
      <c r="A14" s="59" t="s">
        <v>24</v>
      </c>
      <c r="B14" s="59"/>
      <c r="C14" s="5"/>
    </row>
    <row r="15" spans="1:5" x14ac:dyDescent="0.55000000000000004">
      <c r="A15" s="58"/>
      <c r="B15" s="58"/>
      <c r="C15" s="5" t="s">
        <v>25</v>
      </c>
      <c r="D15" s="2" t="s">
        <v>181</v>
      </c>
    </row>
    <row r="16" spans="1:5" x14ac:dyDescent="0.55000000000000004">
      <c r="A16" s="58"/>
      <c r="B16" s="58"/>
      <c r="C16" s="5" t="s">
        <v>27</v>
      </c>
      <c r="D16" s="2" t="s">
        <v>276</v>
      </c>
    </row>
    <row r="17" spans="1:6" x14ac:dyDescent="0.55000000000000004">
      <c r="A17" s="59" t="s">
        <v>29</v>
      </c>
      <c r="B17" s="59"/>
      <c r="C17" s="5"/>
    </row>
    <row r="18" spans="1:6" ht="51.9" x14ac:dyDescent="0.55000000000000004">
      <c r="A18" s="58"/>
      <c r="B18" s="58"/>
      <c r="C18" s="5" t="s">
        <v>30</v>
      </c>
      <c r="D18" s="2" t="s">
        <v>277</v>
      </c>
    </row>
    <row r="19" spans="1:6" x14ac:dyDescent="0.55000000000000004">
      <c r="A19" s="58"/>
      <c r="B19" s="58"/>
      <c r="C19" s="5" t="s">
        <v>32</v>
      </c>
      <c r="D19" s="2" t="s">
        <v>20</v>
      </c>
    </row>
    <row r="20" spans="1:6" x14ac:dyDescent="0.55000000000000004">
      <c r="A20" s="59" t="s">
        <v>34</v>
      </c>
      <c r="B20" s="59"/>
      <c r="C20" s="5"/>
      <c r="D20" s="2" t="s">
        <v>278</v>
      </c>
      <c r="E20" s="1" t="s">
        <v>279</v>
      </c>
      <c r="F20" s="1" t="s">
        <v>35</v>
      </c>
    </row>
    <row r="21" spans="1:6" x14ac:dyDescent="0.55000000000000004">
      <c r="A21" s="58"/>
      <c r="B21" s="58"/>
      <c r="C21" s="5" t="s">
        <v>36</v>
      </c>
      <c r="D21" s="2">
        <v>16</v>
      </c>
      <c r="E21" s="1">
        <v>20</v>
      </c>
      <c r="F21" s="1">
        <v>36</v>
      </c>
    </row>
    <row r="22" spans="1:6" x14ac:dyDescent="0.55000000000000004">
      <c r="A22" s="58"/>
      <c r="B22" s="58"/>
      <c r="C22" s="5" t="s">
        <v>37</v>
      </c>
      <c r="D22" s="2">
        <v>14</v>
      </c>
      <c r="E22" s="1">
        <v>18</v>
      </c>
      <c r="F22" s="1">
        <v>32</v>
      </c>
    </row>
    <row r="23" spans="1:6" x14ac:dyDescent="0.55000000000000004">
      <c r="A23" s="58"/>
      <c r="B23" s="58"/>
      <c r="C23" s="5" t="s">
        <v>38</v>
      </c>
      <c r="D23" s="2">
        <v>14</v>
      </c>
      <c r="E23" s="1">
        <v>18</v>
      </c>
      <c r="F23" s="1">
        <v>32</v>
      </c>
    </row>
    <row r="24" spans="1:6" x14ac:dyDescent="0.55000000000000004">
      <c r="A24" s="58"/>
      <c r="B24" s="58"/>
      <c r="C24" s="5" t="s">
        <v>39</v>
      </c>
      <c r="D24" s="2">
        <v>2</v>
      </c>
      <c r="E24" s="1">
        <v>2</v>
      </c>
      <c r="F24" s="1">
        <v>4</v>
      </c>
    </row>
    <row r="25" spans="1:6" x14ac:dyDescent="0.55000000000000004">
      <c r="A25" s="58"/>
      <c r="B25" s="58"/>
      <c r="C25" s="5" t="s">
        <v>40</v>
      </c>
      <c r="D25" s="7">
        <f>3/14</f>
        <v>0.21428571428571427</v>
      </c>
      <c r="E25" s="10">
        <f>6/18</f>
        <v>0.33333333333333331</v>
      </c>
      <c r="F25" s="10">
        <f>9/32</f>
        <v>0.28125</v>
      </c>
    </row>
    <row r="26" spans="1:6" x14ac:dyDescent="0.55000000000000004">
      <c r="A26" s="58"/>
      <c r="B26" s="58"/>
      <c r="C26" s="5" t="s">
        <v>41</v>
      </c>
      <c r="D26" s="7">
        <v>65</v>
      </c>
      <c r="E26" s="10">
        <v>62</v>
      </c>
      <c r="F26" s="10">
        <f>(D26*D21+E26*E21)/F21</f>
        <v>63.333333333333336</v>
      </c>
    </row>
    <row r="27" spans="1:6" x14ac:dyDescent="0.55000000000000004">
      <c r="A27" s="58"/>
      <c r="B27" s="58"/>
      <c r="C27" s="5" t="s">
        <v>42</v>
      </c>
      <c r="D27" s="7">
        <v>9</v>
      </c>
      <c r="E27" s="10">
        <v>12</v>
      </c>
      <c r="F27" s="10">
        <f>SQRT((D23*(D27^2+(D26-F$26)^2)+E23*(E27^2+(E26-F$26)^2))/(D23+E23))</f>
        <v>10.892785583943979</v>
      </c>
    </row>
    <row r="28" spans="1:6" x14ac:dyDescent="0.55000000000000004">
      <c r="A28" s="58"/>
      <c r="B28" s="58"/>
      <c r="C28" s="5" t="s">
        <v>43</v>
      </c>
      <c r="D28" s="2" t="s">
        <v>20</v>
      </c>
      <c r="E28" s="1" t="s">
        <v>20</v>
      </c>
      <c r="F28" s="1" t="s">
        <v>20</v>
      </c>
    </row>
    <row r="29" spans="1:6" x14ac:dyDescent="0.55000000000000004">
      <c r="A29" s="58"/>
      <c r="B29" s="58"/>
      <c r="C29" s="5" t="s">
        <v>44</v>
      </c>
      <c r="D29" s="7" t="s">
        <v>280</v>
      </c>
      <c r="E29" s="10" t="s">
        <v>20</v>
      </c>
      <c r="F29" s="10" t="s">
        <v>20</v>
      </c>
    </row>
    <row r="30" spans="1:6" x14ac:dyDescent="0.55000000000000004">
      <c r="A30" s="58"/>
      <c r="B30" s="58"/>
      <c r="C30" s="5" t="s">
        <v>45</v>
      </c>
      <c r="D30" s="7">
        <v>24.3</v>
      </c>
      <c r="E30" s="10">
        <v>37.200000000000003</v>
      </c>
      <c r="F30" s="10">
        <f>(D30*D23+E30*E23)/F23</f>
        <v>31.556249999999999</v>
      </c>
    </row>
    <row r="31" spans="1:6" x14ac:dyDescent="0.55000000000000004">
      <c r="A31" s="58"/>
      <c r="B31" s="58"/>
      <c r="C31" s="5" t="s">
        <v>46</v>
      </c>
      <c r="D31" s="7">
        <v>4.4000000000000004</v>
      </c>
      <c r="E31" s="10">
        <v>6.6</v>
      </c>
      <c r="F31" s="10">
        <f>SQRT((D23*(D31^2+(D30-F$30)^2)+E23*(E31^2+(E30-F$30)^2))/(D23+E23))</f>
        <v>8.5979626038672681</v>
      </c>
    </row>
    <row r="32" spans="1:6" x14ac:dyDescent="0.55000000000000004">
      <c r="A32" s="59" t="s">
        <v>47</v>
      </c>
      <c r="B32" s="59"/>
      <c r="C32" s="5"/>
    </row>
    <row r="33" spans="1:11" ht="51.9" x14ac:dyDescent="0.55000000000000004">
      <c r="A33" s="58"/>
      <c r="B33" s="58"/>
      <c r="C33" s="5" t="s">
        <v>48</v>
      </c>
      <c r="D33" s="2" t="s">
        <v>281</v>
      </c>
    </row>
    <row r="34" spans="1:11" x14ac:dyDescent="0.55000000000000004">
      <c r="A34" s="59" t="s">
        <v>50</v>
      </c>
      <c r="B34" s="59"/>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9"/>
      <c r="B36" s="5" t="s">
        <v>59</v>
      </c>
      <c r="C36" s="5"/>
    </row>
    <row r="37" spans="1:11" x14ac:dyDescent="0.55000000000000004">
      <c r="A37" s="59"/>
      <c r="B37" s="5"/>
      <c r="C37" s="5" t="s">
        <v>282</v>
      </c>
      <c r="D37" s="2">
        <v>2.92</v>
      </c>
      <c r="E37" s="1">
        <v>2.02</v>
      </c>
    </row>
    <row r="38" spans="1:11" x14ac:dyDescent="0.55000000000000004">
      <c r="A38" s="59"/>
      <c r="B38" s="5"/>
      <c r="C38" s="5" t="s">
        <v>283</v>
      </c>
      <c r="D38" s="2">
        <v>1.31</v>
      </c>
      <c r="E38" s="1">
        <v>1.36</v>
      </c>
    </row>
    <row r="39" spans="1:11" x14ac:dyDescent="0.55000000000000004">
      <c r="A39" s="59"/>
      <c r="B39" s="5"/>
      <c r="C39" s="5" t="s">
        <v>284</v>
      </c>
      <c r="D39" s="2">
        <v>1.36</v>
      </c>
      <c r="E39" s="1">
        <v>1.36</v>
      </c>
    </row>
    <row r="40" spans="1:11" x14ac:dyDescent="0.55000000000000004">
      <c r="A40" s="59"/>
      <c r="B40" s="5"/>
      <c r="C40" s="5" t="s">
        <v>285</v>
      </c>
      <c r="D40" s="7">
        <v>1</v>
      </c>
      <c r="E40" s="1">
        <v>1.43</v>
      </c>
    </row>
    <row r="41" spans="1:11" x14ac:dyDescent="0.55000000000000004">
      <c r="A41" s="59"/>
      <c r="B41" s="5"/>
      <c r="C41" s="5"/>
    </row>
    <row r="42" spans="1:11" x14ac:dyDescent="0.55000000000000004">
      <c r="A42" s="59"/>
      <c r="B42" s="5"/>
      <c r="C42" s="5"/>
    </row>
    <row r="43" spans="1:11" x14ac:dyDescent="0.55000000000000004">
      <c r="A43" s="59"/>
      <c r="B43" s="5"/>
      <c r="C43" s="5"/>
    </row>
    <row r="44" spans="1:11" x14ac:dyDescent="0.55000000000000004">
      <c r="A44" s="59"/>
      <c r="B44" s="5"/>
      <c r="C44" s="5"/>
    </row>
    <row r="45" spans="1:11" x14ac:dyDescent="0.55000000000000004">
      <c r="A45" s="59"/>
      <c r="B45" s="5" t="s">
        <v>61</v>
      </c>
      <c r="C45" s="5"/>
    </row>
    <row r="46" spans="1:11" x14ac:dyDescent="0.55000000000000004">
      <c r="A46" s="59"/>
      <c r="B46" s="5"/>
      <c r="C46" s="5"/>
    </row>
    <row r="47" spans="1:11" x14ac:dyDescent="0.55000000000000004">
      <c r="A47" s="59"/>
      <c r="B47" s="5"/>
      <c r="C47" s="5"/>
    </row>
    <row r="48" spans="1:11" x14ac:dyDescent="0.55000000000000004">
      <c r="A48" s="59"/>
      <c r="B48" s="5"/>
      <c r="C48" s="5"/>
    </row>
    <row r="49" spans="1:3" x14ac:dyDescent="0.55000000000000004">
      <c r="A49" s="59"/>
      <c r="B49" s="5"/>
      <c r="C49" s="5"/>
    </row>
    <row r="50" spans="1:3" x14ac:dyDescent="0.55000000000000004">
      <c r="A50" s="59"/>
      <c r="B50" s="5"/>
      <c r="C50" s="5"/>
    </row>
    <row r="51" spans="1:3" x14ac:dyDescent="0.55000000000000004">
      <c r="A51" s="59"/>
      <c r="B51" s="5"/>
      <c r="C51" s="5"/>
    </row>
    <row r="52" spans="1:3" x14ac:dyDescent="0.55000000000000004">
      <c r="A52" s="59"/>
      <c r="B52" s="5"/>
      <c r="C52" s="5"/>
    </row>
    <row r="53" spans="1:3" x14ac:dyDescent="0.55000000000000004">
      <c r="A53" s="59"/>
      <c r="B53" s="5"/>
      <c r="C53" s="5"/>
    </row>
    <row r="54" spans="1:3" x14ac:dyDescent="0.55000000000000004">
      <c r="A54" s="59"/>
      <c r="B54" s="5"/>
      <c r="C54" s="5"/>
    </row>
    <row r="55" spans="1:3" x14ac:dyDescent="0.55000000000000004">
      <c r="A55" s="59"/>
      <c r="B55" s="5"/>
      <c r="C55" s="5"/>
    </row>
    <row r="56" spans="1:3" x14ac:dyDescent="0.55000000000000004">
      <c r="A56" s="59"/>
      <c r="B56" s="5"/>
      <c r="C56" s="5"/>
    </row>
    <row r="57" spans="1:3" x14ac:dyDescent="0.55000000000000004">
      <c r="A57" s="59"/>
      <c r="B57" s="5"/>
      <c r="C57" s="5"/>
    </row>
    <row r="58" spans="1:3" x14ac:dyDescent="0.55000000000000004">
      <c r="A58" s="59"/>
      <c r="B58" s="5"/>
      <c r="C58" s="5"/>
    </row>
    <row r="59" spans="1:3" x14ac:dyDescent="0.55000000000000004">
      <c r="A59" s="59"/>
      <c r="B59" s="5"/>
      <c r="C59" s="5"/>
    </row>
    <row r="60" spans="1:3" x14ac:dyDescent="0.55000000000000004">
      <c r="A60" s="59"/>
      <c r="B60" s="5"/>
      <c r="C60" s="5"/>
    </row>
    <row r="61" spans="1:3" x14ac:dyDescent="0.55000000000000004">
      <c r="A61" s="59"/>
      <c r="B61" s="5"/>
      <c r="C61" s="5"/>
    </row>
    <row r="62" spans="1:3" x14ac:dyDescent="0.55000000000000004">
      <c r="A62" s="59"/>
      <c r="B62" s="5"/>
      <c r="C62" s="5"/>
    </row>
    <row r="63" spans="1:3" x14ac:dyDescent="0.55000000000000004">
      <c r="A63" s="59"/>
      <c r="B63" s="5"/>
      <c r="C63" s="5"/>
    </row>
    <row r="64" spans="1:3" x14ac:dyDescent="0.55000000000000004">
      <c r="A64" s="59"/>
      <c r="B64" s="5"/>
      <c r="C64" s="5"/>
    </row>
    <row r="65" spans="1:6" x14ac:dyDescent="0.55000000000000004">
      <c r="A65" s="59"/>
      <c r="B65" s="5" t="s">
        <v>62</v>
      </c>
      <c r="C65" s="5"/>
      <c r="D65" s="2">
        <f>4*7</f>
        <v>28</v>
      </c>
      <c r="E65" s="1">
        <f>5*7</f>
        <v>35</v>
      </c>
    </row>
    <row r="66" spans="1:6" x14ac:dyDescent="0.55000000000000004">
      <c r="A66" s="59"/>
      <c r="B66" s="5" t="s">
        <v>63</v>
      </c>
      <c r="C66" s="5"/>
      <c r="D66" s="2" t="s">
        <v>286</v>
      </c>
    </row>
    <row r="67" spans="1:6" x14ac:dyDescent="0.55000000000000004">
      <c r="A67" s="59" t="s">
        <v>65</v>
      </c>
      <c r="B67" s="59"/>
      <c r="C67" s="5"/>
    </row>
    <row r="68" spans="1:6" x14ac:dyDescent="0.55000000000000004">
      <c r="A68" s="3" t="s">
        <v>67</v>
      </c>
    </row>
    <row r="69" spans="1:6" x14ac:dyDescent="0.55000000000000004">
      <c r="A69" s="1" t="s">
        <v>68</v>
      </c>
      <c r="C69" s="1">
        <v>22</v>
      </c>
      <c r="D69" s="2">
        <v>24</v>
      </c>
      <c r="E69" s="1">
        <v>16</v>
      </c>
      <c r="F69" s="1">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69"/>
  <sheetViews>
    <sheetView topLeftCell="A45" zoomScale="90" zoomScaleNormal="90" workbookViewId="0">
      <selection activeCell="C76" sqref="C76"/>
    </sheetView>
  </sheetViews>
  <sheetFormatPr baseColWidth="10" defaultColWidth="11.41796875" defaultRowHeight="14.4" x14ac:dyDescent="0.55000000000000004"/>
  <cols>
    <col min="1" max="1" width="29.83984375" style="1" customWidth="1"/>
    <col min="2" max="2" width="18.83984375" style="1" customWidth="1"/>
    <col min="3" max="3" width="50.41796875" style="1" customWidth="1"/>
    <col min="4" max="4" width="52.41796875" style="2" customWidth="1"/>
    <col min="5" max="5" width="13.15625" style="2" customWidth="1"/>
    <col min="6" max="6" width="5.83984375" style="1" customWidth="1"/>
    <col min="7" max="7" width="5.26171875" style="1" customWidth="1"/>
    <col min="8" max="8" width="5.83984375" style="1" customWidth="1"/>
    <col min="9" max="9" width="6.41796875" style="1" customWidth="1"/>
    <col min="10" max="10" width="9.15625" style="1" customWidth="1"/>
    <col min="11" max="1024" width="11.41796875" style="1"/>
  </cols>
  <sheetData>
    <row r="1" spans="1:4" x14ac:dyDescent="0.55000000000000004">
      <c r="A1" s="3" t="s">
        <v>0</v>
      </c>
      <c r="D1" s="2" t="s">
        <v>69</v>
      </c>
    </row>
    <row r="2" spans="1:4" ht="26.1" x14ac:dyDescent="0.55000000000000004">
      <c r="A2" s="5" t="s">
        <v>2</v>
      </c>
      <c r="B2" s="5"/>
      <c r="D2" s="2" t="s">
        <v>287</v>
      </c>
    </row>
    <row r="3" spans="1:4" x14ac:dyDescent="0.55000000000000004">
      <c r="A3" s="5"/>
      <c r="B3" s="5"/>
      <c r="C3" s="5" t="s">
        <v>4</v>
      </c>
      <c r="D3" s="2" t="s">
        <v>288</v>
      </c>
    </row>
    <row r="4" spans="1:4" x14ac:dyDescent="0.55000000000000004">
      <c r="A4" s="5"/>
      <c r="B4" s="5"/>
      <c r="C4" s="5" t="s">
        <v>6</v>
      </c>
      <c r="D4" s="2">
        <v>2019</v>
      </c>
    </row>
    <row r="5" spans="1:4" ht="26.1" x14ac:dyDescent="0.55000000000000004">
      <c r="A5" s="5"/>
      <c r="B5" s="5"/>
      <c r="C5" s="5" t="s">
        <v>7</v>
      </c>
      <c r="D5" s="2" t="s">
        <v>289</v>
      </c>
    </row>
    <row r="6" spans="1:4" x14ac:dyDescent="0.55000000000000004">
      <c r="A6" s="5"/>
      <c r="B6" s="5"/>
      <c r="C6" s="5" t="s">
        <v>9</v>
      </c>
      <c r="D6" s="2" t="s">
        <v>290</v>
      </c>
    </row>
    <row r="7" spans="1:4" x14ac:dyDescent="0.55000000000000004">
      <c r="A7" s="5"/>
      <c r="B7" s="5"/>
      <c r="C7" s="5" t="s">
        <v>11</v>
      </c>
      <c r="D7" s="2" t="s">
        <v>12</v>
      </c>
    </row>
    <row r="8" spans="1:4" x14ac:dyDescent="0.55000000000000004">
      <c r="A8" s="8" t="s">
        <v>13</v>
      </c>
      <c r="B8" s="8"/>
      <c r="C8" s="5"/>
    </row>
    <row r="9" spans="1:4" ht="39" x14ac:dyDescent="0.55000000000000004">
      <c r="A9" s="5"/>
      <c r="B9" s="5"/>
      <c r="C9" s="5" t="s">
        <v>14</v>
      </c>
      <c r="D9" s="2" t="s">
        <v>291</v>
      </c>
    </row>
    <row r="10" spans="1:4" x14ac:dyDescent="0.55000000000000004">
      <c r="A10" s="5"/>
      <c r="B10" s="5"/>
      <c r="C10" s="5" t="s">
        <v>16</v>
      </c>
      <c r="D10" s="2" t="s">
        <v>86</v>
      </c>
    </row>
    <row r="11" spans="1:4" x14ac:dyDescent="0.55000000000000004">
      <c r="A11" s="5"/>
      <c r="B11" s="5"/>
      <c r="C11" s="5" t="s">
        <v>19</v>
      </c>
      <c r="D11" s="21">
        <v>41821</v>
      </c>
    </row>
    <row r="12" spans="1:4" x14ac:dyDescent="0.55000000000000004">
      <c r="A12" s="5"/>
      <c r="B12" s="5"/>
      <c r="C12" s="5" t="s">
        <v>21</v>
      </c>
      <c r="D12" s="21">
        <v>42401</v>
      </c>
    </row>
    <row r="13" spans="1:4" ht="26.1" x14ac:dyDescent="0.55000000000000004">
      <c r="A13" s="5"/>
      <c r="B13" s="5"/>
      <c r="C13" s="5" t="s">
        <v>22</v>
      </c>
      <c r="D13" s="2" t="s">
        <v>292</v>
      </c>
    </row>
    <row r="14" spans="1:4" x14ac:dyDescent="0.55000000000000004">
      <c r="A14" s="8" t="s">
        <v>24</v>
      </c>
      <c r="B14" s="8"/>
      <c r="C14" s="5"/>
    </row>
    <row r="15" spans="1:4" x14ac:dyDescent="0.55000000000000004">
      <c r="A15" s="5"/>
      <c r="B15" s="5"/>
      <c r="C15" s="5" t="s">
        <v>25</v>
      </c>
      <c r="D15" s="2" t="s">
        <v>293</v>
      </c>
    </row>
    <row r="16" spans="1:4" x14ac:dyDescent="0.55000000000000004">
      <c r="A16" s="5"/>
      <c r="B16" s="5"/>
      <c r="C16" s="5" t="s">
        <v>27</v>
      </c>
      <c r="D16" s="2" t="s">
        <v>294</v>
      </c>
    </row>
    <row r="17" spans="1:6" x14ac:dyDescent="0.55000000000000004">
      <c r="A17" s="8" t="s">
        <v>29</v>
      </c>
      <c r="B17" s="8"/>
      <c r="C17" s="5"/>
    </row>
    <row r="18" spans="1:6" ht="26.1" x14ac:dyDescent="0.55000000000000004">
      <c r="A18" s="5"/>
      <c r="B18" s="5"/>
      <c r="C18" s="5" t="s">
        <v>30</v>
      </c>
      <c r="D18" s="2" t="s">
        <v>295</v>
      </c>
    </row>
    <row r="19" spans="1:6" ht="39" x14ac:dyDescent="0.55000000000000004">
      <c r="A19" s="5"/>
      <c r="B19" s="5"/>
      <c r="C19" s="5" t="s">
        <v>32</v>
      </c>
      <c r="D19" s="2" t="s">
        <v>296</v>
      </c>
    </row>
    <row r="20" spans="1:6" x14ac:dyDescent="0.55000000000000004">
      <c r="A20" s="8" t="s">
        <v>34</v>
      </c>
      <c r="B20" s="8"/>
      <c r="C20" s="5"/>
      <c r="D20" s="2" t="s">
        <v>297</v>
      </c>
      <c r="E20" s="2" t="s">
        <v>298</v>
      </c>
      <c r="F20" s="1" t="s">
        <v>35</v>
      </c>
    </row>
    <row r="21" spans="1:6" x14ac:dyDescent="0.55000000000000004">
      <c r="A21" s="5"/>
      <c r="B21" s="5"/>
      <c r="C21" s="5" t="s">
        <v>36</v>
      </c>
      <c r="D21" s="2">
        <v>14</v>
      </c>
      <c r="E21" s="2">
        <v>20</v>
      </c>
      <c r="F21" s="1">
        <f>SUM(D21:E21)</f>
        <v>34</v>
      </c>
    </row>
    <row r="22" spans="1:6" x14ac:dyDescent="0.55000000000000004">
      <c r="A22" s="5"/>
      <c r="B22" s="5"/>
      <c r="C22" s="5" t="s">
        <v>37</v>
      </c>
      <c r="D22" s="2">
        <v>14</v>
      </c>
      <c r="E22" s="2">
        <v>20</v>
      </c>
      <c r="F22" s="1">
        <f>SUM(D22:E22)</f>
        <v>34</v>
      </c>
    </row>
    <row r="23" spans="1:6" x14ac:dyDescent="0.55000000000000004">
      <c r="A23" s="5"/>
      <c r="B23" s="5"/>
      <c r="C23" s="5" t="s">
        <v>38</v>
      </c>
      <c r="D23" s="2">
        <v>14</v>
      </c>
      <c r="E23" s="2">
        <v>20</v>
      </c>
      <c r="F23" s="1">
        <f>SUM(D23:E23)</f>
        <v>34</v>
      </c>
    </row>
    <row r="24" spans="1:6" x14ac:dyDescent="0.55000000000000004">
      <c r="A24" s="5"/>
      <c r="B24" s="5"/>
      <c r="C24" s="5" t="s">
        <v>39</v>
      </c>
      <c r="D24" s="2">
        <v>0</v>
      </c>
      <c r="E24" s="2">
        <v>0</v>
      </c>
      <c r="F24" s="1">
        <v>0</v>
      </c>
    </row>
    <row r="25" spans="1:6" x14ac:dyDescent="0.55000000000000004">
      <c r="A25" s="5"/>
      <c r="B25" s="5"/>
      <c r="C25" s="5" t="s">
        <v>40</v>
      </c>
      <c r="D25" s="7">
        <f>3/14</f>
        <v>0.21428571428571427</v>
      </c>
      <c r="E25" s="2">
        <f>11/20</f>
        <v>0.55000000000000004</v>
      </c>
      <c r="F25" s="10">
        <f>12/34</f>
        <v>0.35294117647058826</v>
      </c>
    </row>
    <row r="26" spans="1:6" x14ac:dyDescent="0.55000000000000004">
      <c r="A26" s="5"/>
      <c r="B26" s="5"/>
      <c r="C26" s="5" t="s">
        <v>41</v>
      </c>
      <c r="D26" s="7">
        <v>61.2</v>
      </c>
      <c r="E26" s="2">
        <v>65.3</v>
      </c>
      <c r="F26" s="10">
        <f>(D26*D21+E26*E21)/F21</f>
        <v>63.611764705882358</v>
      </c>
    </row>
    <row r="27" spans="1:6" x14ac:dyDescent="0.55000000000000004">
      <c r="A27" s="5"/>
      <c r="B27" s="5"/>
      <c r="C27" s="5" t="s">
        <v>42</v>
      </c>
      <c r="D27" s="7">
        <v>4.2</v>
      </c>
      <c r="E27" s="2">
        <v>2.1</v>
      </c>
      <c r="F27" s="10">
        <f>SQRT((D23*(D27^2+(D26-F$26)^2)+E23*(E27^2+(E26-F$26)^2))/(D23+E23))</f>
        <v>3.7321941745307639</v>
      </c>
    </row>
    <row r="28" spans="1:6" x14ac:dyDescent="0.55000000000000004">
      <c r="A28" s="5"/>
      <c r="B28" s="5"/>
      <c r="C28" s="5" t="s">
        <v>43</v>
      </c>
      <c r="D28" s="2" t="s">
        <v>20</v>
      </c>
      <c r="F28" s="1" t="s">
        <v>20</v>
      </c>
    </row>
    <row r="29" spans="1:6" x14ac:dyDescent="0.55000000000000004">
      <c r="A29" s="5"/>
      <c r="B29" s="5"/>
      <c r="C29" s="5" t="s">
        <v>44</v>
      </c>
      <c r="D29" s="2">
        <v>2</v>
      </c>
      <c r="E29" s="2">
        <v>2</v>
      </c>
      <c r="F29" s="10">
        <v>2</v>
      </c>
    </row>
    <row r="30" spans="1:6" x14ac:dyDescent="0.55000000000000004">
      <c r="A30" s="5"/>
      <c r="B30" s="5"/>
      <c r="C30" s="5" t="s">
        <v>45</v>
      </c>
      <c r="D30" s="2">
        <v>40</v>
      </c>
      <c r="E30" s="2">
        <v>46.5</v>
      </c>
      <c r="F30" s="10">
        <f>(D30*D23+E30*E23)/F23</f>
        <v>43.823529411764703</v>
      </c>
    </row>
    <row r="31" spans="1:6" x14ac:dyDescent="0.55000000000000004">
      <c r="A31" s="5"/>
      <c r="B31" s="5"/>
      <c r="C31" s="5" t="s">
        <v>46</v>
      </c>
      <c r="D31" s="2">
        <v>18.5</v>
      </c>
      <c r="E31" s="2">
        <v>14.2</v>
      </c>
      <c r="F31" s="10">
        <f>SQRT((D23*(D31^2+(D30-F$30)^2)+E23*(E31^2+(E30-F$30)^2))/(D23+E23))</f>
        <v>16.424731331378251</v>
      </c>
    </row>
    <row r="32" spans="1:6" x14ac:dyDescent="0.55000000000000004">
      <c r="A32" s="8" t="s">
        <v>47</v>
      </c>
      <c r="B32" s="8"/>
      <c r="C32" s="5"/>
    </row>
    <row r="33" spans="1:11" x14ac:dyDescent="0.55000000000000004">
      <c r="A33" s="5"/>
      <c r="B33" s="5"/>
      <c r="C33" s="5" t="s">
        <v>48</v>
      </c>
      <c r="D33" s="2" t="s">
        <v>299</v>
      </c>
    </row>
    <row r="34" spans="1:11" x14ac:dyDescent="0.55000000000000004">
      <c r="A34" s="8" t="s">
        <v>50</v>
      </c>
      <c r="B34" s="8"/>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8"/>
      <c r="B36" s="5" t="s">
        <v>59</v>
      </c>
      <c r="C36" s="5"/>
    </row>
    <row r="37" spans="1:11" x14ac:dyDescent="0.55000000000000004">
      <c r="A37" s="8"/>
      <c r="B37" s="5"/>
      <c r="C37" s="5" t="s">
        <v>300</v>
      </c>
      <c r="D37" s="22">
        <v>16.5588235294118</v>
      </c>
      <c r="E37" s="22">
        <v>5.6148675824024998</v>
      </c>
    </row>
    <row r="38" spans="1:11" x14ac:dyDescent="0.55000000000000004">
      <c r="A38" s="8"/>
      <c r="B38" s="5"/>
      <c r="C38" s="5" t="s">
        <v>301</v>
      </c>
      <c r="D38" s="23">
        <v>12.235294117647101</v>
      </c>
      <c r="E38" s="22">
        <v>6.16961677278214</v>
      </c>
    </row>
    <row r="39" spans="1:11" x14ac:dyDescent="0.55000000000000004">
      <c r="A39" s="8"/>
      <c r="B39" s="5"/>
      <c r="C39" s="5" t="s">
        <v>302</v>
      </c>
      <c r="D39" s="7">
        <v>16.235294117647101</v>
      </c>
      <c r="E39" s="7">
        <v>5.10530813203225</v>
      </c>
    </row>
    <row r="40" spans="1:11" x14ac:dyDescent="0.55000000000000004">
      <c r="A40" s="8"/>
      <c r="B40" s="5"/>
      <c r="C40" s="5" t="s">
        <v>303</v>
      </c>
      <c r="D40" s="7">
        <v>14.852941176470599</v>
      </c>
      <c r="E40" s="7">
        <v>5.5657630528141704</v>
      </c>
    </row>
    <row r="41" spans="1:11" x14ac:dyDescent="0.55000000000000004">
      <c r="A41" s="8"/>
      <c r="B41" s="5"/>
      <c r="C41" s="5"/>
    </row>
    <row r="42" spans="1:11" x14ac:dyDescent="0.55000000000000004">
      <c r="A42" s="8"/>
      <c r="B42" s="5"/>
      <c r="C42" s="5"/>
    </row>
    <row r="43" spans="1:11" x14ac:dyDescent="0.55000000000000004">
      <c r="A43" s="8"/>
      <c r="B43" s="5"/>
      <c r="C43" s="5"/>
    </row>
    <row r="44" spans="1:11" x14ac:dyDescent="0.55000000000000004">
      <c r="A44" s="8"/>
      <c r="B44" s="5"/>
      <c r="C44" s="5"/>
    </row>
    <row r="45" spans="1:11" x14ac:dyDescent="0.55000000000000004">
      <c r="A45" s="8"/>
      <c r="B45" s="5" t="s">
        <v>61</v>
      </c>
      <c r="C45" s="5"/>
    </row>
    <row r="46" spans="1:11" x14ac:dyDescent="0.55000000000000004">
      <c r="C46" s="5" t="s">
        <v>304</v>
      </c>
      <c r="D46" s="2">
        <v>0</v>
      </c>
      <c r="E46" s="7"/>
      <c r="F46" s="10"/>
    </row>
    <row r="47" spans="1:11" x14ac:dyDescent="0.55000000000000004">
      <c r="C47" s="5"/>
      <c r="D47" s="7"/>
      <c r="E47" s="7"/>
      <c r="F47" s="10"/>
    </row>
    <row r="48" spans="1:11" x14ac:dyDescent="0.55000000000000004">
      <c r="C48" s="5"/>
      <c r="D48" s="7"/>
      <c r="E48" s="7"/>
      <c r="F48" s="10"/>
    </row>
    <row r="49" spans="3:6" x14ac:dyDescent="0.55000000000000004">
      <c r="C49" s="5"/>
      <c r="D49" s="7"/>
      <c r="E49" s="7"/>
      <c r="F49" s="10"/>
    </row>
    <row r="51" spans="3:6" x14ac:dyDescent="0.55000000000000004">
      <c r="C51" s="5"/>
    </row>
    <row r="52" spans="3:6" x14ac:dyDescent="0.55000000000000004">
      <c r="C52" s="5"/>
    </row>
    <row r="53" spans="3:6" x14ac:dyDescent="0.55000000000000004">
      <c r="C53" s="5"/>
    </row>
    <row r="54" spans="3:6" x14ac:dyDescent="0.55000000000000004">
      <c r="C54" s="5"/>
    </row>
    <row r="55" spans="3:6" x14ac:dyDescent="0.55000000000000004">
      <c r="C55" s="5"/>
    </row>
    <row r="56" spans="3:6" x14ac:dyDescent="0.55000000000000004">
      <c r="C56" s="5"/>
    </row>
    <row r="57" spans="3:6" x14ac:dyDescent="0.55000000000000004">
      <c r="C57" s="5"/>
    </row>
    <row r="58" spans="3:6" x14ac:dyDescent="0.55000000000000004">
      <c r="C58" s="5"/>
    </row>
    <row r="59" spans="3:6" x14ac:dyDescent="0.55000000000000004">
      <c r="C59" s="5"/>
    </row>
    <row r="60" spans="3:6" x14ac:dyDescent="0.55000000000000004">
      <c r="C60" s="5"/>
    </row>
    <row r="61" spans="3:6" x14ac:dyDescent="0.55000000000000004">
      <c r="C61" s="5"/>
    </row>
    <row r="62" spans="3:6" x14ac:dyDescent="0.55000000000000004">
      <c r="C62" s="5"/>
    </row>
    <row r="65" spans="1:4" x14ac:dyDescent="0.55000000000000004">
      <c r="A65" s="8"/>
      <c r="B65" s="5" t="s">
        <v>62</v>
      </c>
      <c r="C65" s="5"/>
      <c r="D65" s="2">
        <f>1/1440*90</f>
        <v>6.25E-2</v>
      </c>
    </row>
    <row r="66" spans="1:4" x14ac:dyDescent="0.55000000000000004">
      <c r="A66" s="8"/>
      <c r="B66" s="5" t="s">
        <v>63</v>
      </c>
      <c r="C66" s="5"/>
      <c r="D66" s="2" t="s">
        <v>207</v>
      </c>
    </row>
    <row r="67" spans="1:4" ht="26.1" x14ac:dyDescent="0.55000000000000004">
      <c r="A67" s="8" t="s">
        <v>65</v>
      </c>
      <c r="B67" s="8"/>
      <c r="C67" s="5"/>
      <c r="D67" s="2" t="s">
        <v>305</v>
      </c>
    </row>
    <row r="68" spans="1:4" x14ac:dyDescent="0.55000000000000004">
      <c r="A68" s="3" t="s">
        <v>67</v>
      </c>
    </row>
    <row r="69" spans="1:4" x14ac:dyDescent="0.55000000000000004">
      <c r="A69" s="1" t="s">
        <v>68</v>
      </c>
      <c r="C69" s="1">
        <v>16</v>
      </c>
      <c r="D69" s="1">
        <v>28</v>
      </c>
    </row>
  </sheetData>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MJ69"/>
  <sheetViews>
    <sheetView topLeftCell="A2" zoomScale="90" zoomScaleNormal="90" workbookViewId="0">
      <selection activeCell="C69" sqref="C69"/>
    </sheetView>
  </sheetViews>
  <sheetFormatPr baseColWidth="10" defaultColWidth="11" defaultRowHeight="14.4" x14ac:dyDescent="0.55000000000000004"/>
  <cols>
    <col min="1" max="1" width="11" style="1"/>
    <col min="2" max="2" width="15.41796875" style="1" customWidth="1"/>
    <col min="3" max="3" width="37.83984375" style="1" customWidth="1"/>
    <col min="4" max="4" width="54.15625" style="1" customWidth="1"/>
    <col min="5" max="5" width="15.578125" style="1" customWidth="1"/>
    <col min="6" max="1024" width="11" style="1"/>
  </cols>
  <sheetData>
    <row r="1" spans="1:5" x14ac:dyDescent="0.55000000000000004">
      <c r="A1" s="3" t="s">
        <v>0</v>
      </c>
      <c r="D1" s="2" t="s">
        <v>306</v>
      </c>
    </row>
    <row r="2" spans="1:5" ht="26.1" x14ac:dyDescent="0.55000000000000004">
      <c r="A2" s="58" t="s">
        <v>2</v>
      </c>
      <c r="B2" s="58"/>
      <c r="D2" s="2" t="s">
        <v>307</v>
      </c>
    </row>
    <row r="3" spans="1:5" x14ac:dyDescent="0.55000000000000004">
      <c r="A3" s="58"/>
      <c r="B3" s="58"/>
      <c r="C3" s="5" t="s">
        <v>4</v>
      </c>
      <c r="D3" s="2" t="s">
        <v>308</v>
      </c>
    </row>
    <row r="4" spans="1:5" x14ac:dyDescent="0.55000000000000004">
      <c r="A4" s="58"/>
      <c r="B4" s="58"/>
      <c r="C4" s="5" t="s">
        <v>6</v>
      </c>
      <c r="D4" s="2">
        <v>2010</v>
      </c>
    </row>
    <row r="5" spans="1:5" ht="39" x14ac:dyDescent="0.55000000000000004">
      <c r="A5" s="58"/>
      <c r="B5" s="58"/>
      <c r="C5" s="5" t="s">
        <v>7</v>
      </c>
      <c r="D5" s="2" t="s">
        <v>309</v>
      </c>
    </row>
    <row r="6" spans="1:5" x14ac:dyDescent="0.55000000000000004">
      <c r="A6" s="58"/>
      <c r="B6" s="58"/>
      <c r="C6" s="5" t="s">
        <v>9</v>
      </c>
      <c r="D6" s="2" t="s">
        <v>310</v>
      </c>
    </row>
    <row r="7" spans="1:5" x14ac:dyDescent="0.55000000000000004">
      <c r="A7" s="58"/>
      <c r="B7" s="58"/>
      <c r="C7" s="5" t="s">
        <v>11</v>
      </c>
      <c r="D7" s="2" t="s">
        <v>12</v>
      </c>
    </row>
    <row r="8" spans="1:5" x14ac:dyDescent="0.55000000000000004">
      <c r="A8" s="59" t="s">
        <v>13</v>
      </c>
      <c r="B8" s="59"/>
      <c r="C8" s="5"/>
      <c r="D8" s="2"/>
    </row>
    <row r="9" spans="1:5" ht="51.9" x14ac:dyDescent="0.55000000000000004">
      <c r="A9" s="58"/>
      <c r="B9" s="58"/>
      <c r="C9" s="5" t="s">
        <v>14</v>
      </c>
      <c r="D9" s="2" t="s">
        <v>311</v>
      </c>
    </row>
    <row r="10" spans="1:5" x14ac:dyDescent="0.55000000000000004">
      <c r="A10" s="58"/>
      <c r="B10" s="58"/>
      <c r="C10" s="5" t="s">
        <v>16</v>
      </c>
      <c r="D10" s="2" t="s">
        <v>17</v>
      </c>
      <c r="E10" s="1" t="s">
        <v>18</v>
      </c>
    </row>
    <row r="11" spans="1:5" x14ac:dyDescent="0.55000000000000004">
      <c r="A11" s="58"/>
      <c r="B11" s="58"/>
      <c r="C11" s="5" t="s">
        <v>19</v>
      </c>
      <c r="D11" s="2" t="s">
        <v>20</v>
      </c>
    </row>
    <row r="12" spans="1:5" x14ac:dyDescent="0.55000000000000004">
      <c r="A12" s="58"/>
      <c r="B12" s="58"/>
      <c r="C12" s="5" t="s">
        <v>21</v>
      </c>
      <c r="D12" s="2" t="s">
        <v>20</v>
      </c>
    </row>
    <row r="13" spans="1:5" x14ac:dyDescent="0.55000000000000004">
      <c r="A13" s="58"/>
      <c r="B13" s="58"/>
      <c r="C13" s="5" t="s">
        <v>22</v>
      </c>
      <c r="D13" s="2" t="s">
        <v>20</v>
      </c>
    </row>
    <row r="14" spans="1:5" x14ac:dyDescent="0.55000000000000004">
      <c r="A14" s="59" t="s">
        <v>24</v>
      </c>
      <c r="B14" s="59"/>
      <c r="C14" s="5"/>
      <c r="D14" s="2"/>
    </row>
    <row r="15" spans="1:5" x14ac:dyDescent="0.55000000000000004">
      <c r="A15" s="58"/>
      <c r="B15" s="58"/>
      <c r="C15" s="5" t="s">
        <v>25</v>
      </c>
      <c r="D15" s="2" t="s">
        <v>88</v>
      </c>
    </row>
    <row r="16" spans="1:5" x14ac:dyDescent="0.55000000000000004">
      <c r="A16" s="58"/>
      <c r="B16" s="58"/>
      <c r="C16" s="5" t="s">
        <v>27</v>
      </c>
      <c r="D16" s="2" t="s">
        <v>312</v>
      </c>
    </row>
    <row r="17" spans="1:6" x14ac:dyDescent="0.55000000000000004">
      <c r="A17" s="59" t="s">
        <v>29</v>
      </c>
      <c r="B17" s="59"/>
      <c r="C17" s="5"/>
      <c r="D17" s="2"/>
    </row>
    <row r="18" spans="1:6" ht="64.8" x14ac:dyDescent="0.55000000000000004">
      <c r="A18" s="58"/>
      <c r="B18" s="58"/>
      <c r="C18" s="5" t="s">
        <v>30</v>
      </c>
      <c r="D18" s="2" t="s">
        <v>313</v>
      </c>
    </row>
    <row r="19" spans="1:6" ht="116.4" x14ac:dyDescent="0.55000000000000004">
      <c r="A19" s="58"/>
      <c r="B19" s="58"/>
      <c r="C19" s="5" t="s">
        <v>32</v>
      </c>
      <c r="D19" s="2" t="s">
        <v>314</v>
      </c>
    </row>
    <row r="20" spans="1:6" x14ac:dyDescent="0.55000000000000004">
      <c r="A20" s="59" t="s">
        <v>34</v>
      </c>
      <c r="B20" s="59"/>
      <c r="C20" s="5"/>
      <c r="D20" s="1" t="s">
        <v>315</v>
      </c>
      <c r="E20" s="1" t="s">
        <v>316</v>
      </c>
      <c r="F20" s="1" t="s">
        <v>35</v>
      </c>
    </row>
    <row r="21" spans="1:6" x14ac:dyDescent="0.55000000000000004">
      <c r="A21" s="58"/>
      <c r="B21" s="58"/>
      <c r="C21" s="5" t="s">
        <v>36</v>
      </c>
      <c r="D21" s="2">
        <v>68</v>
      </c>
      <c r="E21" s="1">
        <v>47</v>
      </c>
      <c r="F21" s="1">
        <f>SUM(D21:E21)</f>
        <v>115</v>
      </c>
    </row>
    <row r="22" spans="1:6" x14ac:dyDescent="0.55000000000000004">
      <c r="A22" s="58"/>
      <c r="B22" s="58"/>
      <c r="C22" s="5" t="s">
        <v>37</v>
      </c>
      <c r="D22" s="2">
        <v>68</v>
      </c>
      <c r="E22" s="1">
        <v>47</v>
      </c>
      <c r="F22" s="1">
        <f>SUM(D22:E22)</f>
        <v>115</v>
      </c>
    </row>
    <row r="23" spans="1:6" x14ac:dyDescent="0.55000000000000004">
      <c r="A23" s="58"/>
      <c r="B23" s="58"/>
      <c r="C23" s="5" t="s">
        <v>38</v>
      </c>
      <c r="D23" s="2">
        <v>66</v>
      </c>
      <c r="E23" s="1">
        <v>41</v>
      </c>
      <c r="F23" s="1">
        <f>SUM(D23:E23)</f>
        <v>107</v>
      </c>
    </row>
    <row r="24" spans="1:6" x14ac:dyDescent="0.55000000000000004">
      <c r="A24" s="58"/>
      <c r="B24" s="58"/>
      <c r="C24" s="5" t="s">
        <v>39</v>
      </c>
      <c r="D24" s="2">
        <v>2</v>
      </c>
      <c r="E24" s="1">
        <v>6</v>
      </c>
      <c r="F24" s="1">
        <f>SUM(D24:E24)</f>
        <v>8</v>
      </c>
    </row>
    <row r="25" spans="1:6" x14ac:dyDescent="0.55000000000000004">
      <c r="A25" s="58"/>
      <c r="B25" s="58"/>
      <c r="C25" s="5" t="s">
        <v>40</v>
      </c>
      <c r="D25" s="7">
        <v>0.37</v>
      </c>
      <c r="E25" s="10">
        <v>0.4</v>
      </c>
      <c r="F25" s="10">
        <f>((D25*D21)+(E25*E21))/F21</f>
        <v>0.38226086956521738</v>
      </c>
    </row>
    <row r="26" spans="1:6" x14ac:dyDescent="0.55000000000000004">
      <c r="A26" s="58"/>
      <c r="B26" s="58"/>
      <c r="C26" s="5" t="s">
        <v>41</v>
      </c>
      <c r="D26" s="7">
        <v>69.3</v>
      </c>
      <c r="E26" s="10">
        <v>71.3</v>
      </c>
      <c r="F26" s="10">
        <f>((E26*E21)+(D26*D21))/F21</f>
        <v>70.117391304347819</v>
      </c>
    </row>
    <row r="27" spans="1:6" x14ac:dyDescent="0.55000000000000004">
      <c r="A27" s="58"/>
      <c r="B27" s="58"/>
      <c r="C27" s="5" t="s">
        <v>42</v>
      </c>
      <c r="D27" s="7">
        <v>8.9</v>
      </c>
      <c r="E27" s="10">
        <v>7.4</v>
      </c>
      <c r="F27" s="10">
        <f>SQRT((D23*(D27^2+(F$26-D26)^2)+E23*(E27^2+(F$26-E26)^2))/F$23)</f>
        <v>8.413639116384191</v>
      </c>
    </row>
    <row r="28" spans="1:6" x14ac:dyDescent="0.55000000000000004">
      <c r="A28" s="58"/>
      <c r="B28" s="58"/>
      <c r="C28" s="5" t="s">
        <v>43</v>
      </c>
      <c r="D28" s="2" t="s">
        <v>20</v>
      </c>
      <c r="F28" s="10"/>
    </row>
    <row r="29" spans="1:6" x14ac:dyDescent="0.55000000000000004">
      <c r="A29" s="58"/>
      <c r="B29" s="58"/>
      <c r="C29" s="5" t="s">
        <v>44</v>
      </c>
      <c r="D29" s="7">
        <v>2.1</v>
      </c>
      <c r="E29" s="10">
        <v>2.2999999999999998</v>
      </c>
      <c r="F29" s="10">
        <f>((E29*E21)+(D29*D21))/F21</f>
        <v>2.1817391304347828</v>
      </c>
    </row>
    <row r="30" spans="1:6" x14ac:dyDescent="0.55000000000000004">
      <c r="A30" s="58"/>
      <c r="B30" s="58"/>
      <c r="C30" s="5" t="s">
        <v>45</v>
      </c>
      <c r="D30" s="7">
        <v>23.6</v>
      </c>
      <c r="E30" s="10">
        <v>26.6</v>
      </c>
      <c r="F30" s="10">
        <f>((E30*E22)+(D30*D22))/F22</f>
        <v>24.826086956521738</v>
      </c>
    </row>
    <row r="31" spans="1:6" x14ac:dyDescent="0.55000000000000004">
      <c r="A31" s="58"/>
      <c r="B31" s="58"/>
      <c r="C31" s="5" t="s">
        <v>46</v>
      </c>
      <c r="D31" s="7">
        <v>12.3</v>
      </c>
      <c r="E31" s="10">
        <v>11.9</v>
      </c>
      <c r="F31" s="10">
        <f>SQRT((D23*(D31^2+(F$30-D30)^2)+E23*(E31^2+(F$30-E30)^2))/F$23)</f>
        <v>12.235762107566064</v>
      </c>
    </row>
    <row r="32" spans="1:6" x14ac:dyDescent="0.55000000000000004">
      <c r="A32" s="59" t="s">
        <v>47</v>
      </c>
      <c r="B32" s="59"/>
      <c r="C32" s="5"/>
      <c r="D32" s="2"/>
    </row>
    <row r="33" spans="1:11" ht="51.9" x14ac:dyDescent="0.55000000000000004">
      <c r="A33" s="58"/>
      <c r="B33" s="58"/>
      <c r="C33" s="5" t="s">
        <v>48</v>
      </c>
      <c r="D33" s="2" t="s">
        <v>317</v>
      </c>
    </row>
    <row r="34" spans="1:11" x14ac:dyDescent="0.55000000000000004">
      <c r="A34" s="59" t="s">
        <v>50</v>
      </c>
      <c r="B34" s="59"/>
      <c r="C34" s="5"/>
      <c r="D34" s="2"/>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9"/>
      <c r="B36" s="5" t="s">
        <v>59</v>
      </c>
      <c r="C36" s="5"/>
      <c r="D36" s="2"/>
    </row>
    <row r="37" spans="1:11" x14ac:dyDescent="0.55000000000000004">
      <c r="A37" s="59"/>
      <c r="B37" s="5"/>
      <c r="C37" s="5" t="s">
        <v>318</v>
      </c>
      <c r="D37" s="7">
        <v>3.4</v>
      </c>
      <c r="E37" s="10">
        <f>F37*SQRT(D21)</f>
        <v>4.1231056256176606</v>
      </c>
      <c r="F37" s="10">
        <v>0.5</v>
      </c>
    </row>
    <row r="38" spans="1:11" x14ac:dyDescent="0.55000000000000004">
      <c r="A38" s="59"/>
      <c r="B38" s="5"/>
      <c r="C38" s="5" t="s">
        <v>319</v>
      </c>
      <c r="D38" s="7">
        <v>2.1</v>
      </c>
      <c r="E38" s="10">
        <f>F38*SQRT(D21)</f>
        <v>3.2984845004941286</v>
      </c>
      <c r="F38" s="10">
        <v>0.4</v>
      </c>
    </row>
    <row r="39" spans="1:11" x14ac:dyDescent="0.55000000000000004">
      <c r="A39" s="59"/>
      <c r="B39" s="5"/>
      <c r="C39" s="5" t="s">
        <v>320</v>
      </c>
      <c r="D39" s="7">
        <v>4.2</v>
      </c>
      <c r="E39" s="10">
        <f>F39*SQRT(E21)</f>
        <v>4.7989582202807304</v>
      </c>
      <c r="F39" s="10">
        <v>0.7</v>
      </c>
    </row>
    <row r="40" spans="1:11" x14ac:dyDescent="0.55000000000000004">
      <c r="A40" s="59"/>
      <c r="B40" s="5"/>
      <c r="C40" s="5" t="s">
        <v>321</v>
      </c>
      <c r="D40" s="7">
        <v>2.7</v>
      </c>
      <c r="E40" s="10">
        <f>F40*SQRT(E21)</f>
        <v>4.1133927602406262</v>
      </c>
      <c r="F40" s="10">
        <v>0.6</v>
      </c>
    </row>
    <row r="41" spans="1:11" x14ac:dyDescent="0.55000000000000004">
      <c r="A41" s="59"/>
      <c r="B41" s="5"/>
      <c r="C41" s="5"/>
      <c r="D41" s="2"/>
    </row>
    <row r="42" spans="1:11" x14ac:dyDescent="0.55000000000000004">
      <c r="A42" s="59"/>
      <c r="B42" s="5"/>
      <c r="C42" s="5"/>
      <c r="D42" s="2"/>
    </row>
    <row r="43" spans="1:11" x14ac:dyDescent="0.55000000000000004">
      <c r="A43" s="59"/>
      <c r="B43" s="5"/>
      <c r="C43" s="5"/>
      <c r="D43" s="2"/>
    </row>
    <row r="44" spans="1:11" x14ac:dyDescent="0.55000000000000004">
      <c r="A44" s="59"/>
      <c r="B44" s="5"/>
      <c r="C44" s="5"/>
      <c r="D44" s="2"/>
    </row>
    <row r="45" spans="1:11" x14ac:dyDescent="0.55000000000000004">
      <c r="A45" s="59"/>
      <c r="B45" s="5" t="s">
        <v>61</v>
      </c>
      <c r="C45" s="5"/>
      <c r="D45" s="2"/>
    </row>
    <row r="46" spans="1:11" x14ac:dyDescent="0.55000000000000004">
      <c r="A46" s="59"/>
      <c r="B46" s="5"/>
      <c r="C46" s="5"/>
      <c r="D46" s="2"/>
    </row>
    <row r="47" spans="1:11" x14ac:dyDescent="0.55000000000000004">
      <c r="A47" s="59"/>
      <c r="B47" s="5"/>
    </row>
    <row r="48" spans="1:11" x14ac:dyDescent="0.55000000000000004">
      <c r="A48" s="59"/>
      <c r="B48" s="5"/>
      <c r="C48" s="5"/>
      <c r="D48" s="2"/>
    </row>
    <row r="49" spans="1:4" x14ac:dyDescent="0.55000000000000004">
      <c r="A49" s="59"/>
      <c r="B49" s="5"/>
      <c r="C49" s="5"/>
      <c r="D49" s="2"/>
    </row>
    <row r="50" spans="1:4" x14ac:dyDescent="0.55000000000000004">
      <c r="A50" s="59"/>
      <c r="B50" s="5"/>
      <c r="C50" s="5"/>
      <c r="D50" s="2"/>
    </row>
    <row r="51" spans="1:4" x14ac:dyDescent="0.55000000000000004">
      <c r="A51" s="59"/>
      <c r="B51" s="5"/>
      <c r="C51" s="5"/>
      <c r="D51" s="2"/>
    </row>
    <row r="52" spans="1:4" x14ac:dyDescent="0.55000000000000004">
      <c r="A52" s="59"/>
      <c r="B52" s="5"/>
      <c r="C52" s="5"/>
      <c r="D52" s="2"/>
    </row>
    <row r="53" spans="1:4" x14ac:dyDescent="0.55000000000000004">
      <c r="A53" s="59"/>
      <c r="B53" s="5"/>
      <c r="C53" s="5"/>
      <c r="D53" s="2"/>
    </row>
    <row r="54" spans="1:4" x14ac:dyDescent="0.55000000000000004">
      <c r="A54" s="59"/>
      <c r="B54" s="5"/>
      <c r="C54" s="5"/>
      <c r="D54" s="2"/>
    </row>
    <row r="55" spans="1:4" x14ac:dyDescent="0.55000000000000004">
      <c r="A55" s="59"/>
      <c r="B55" s="5"/>
      <c r="C55" s="5"/>
      <c r="D55" s="2"/>
    </row>
    <row r="56" spans="1:4" x14ac:dyDescent="0.55000000000000004">
      <c r="A56" s="59"/>
      <c r="B56" s="5"/>
      <c r="C56" s="5"/>
      <c r="D56" s="2"/>
    </row>
    <row r="57" spans="1:4" x14ac:dyDescent="0.55000000000000004">
      <c r="A57" s="59"/>
      <c r="B57" s="5"/>
      <c r="C57" s="5"/>
      <c r="D57" s="2"/>
    </row>
    <row r="58" spans="1:4" x14ac:dyDescent="0.55000000000000004">
      <c r="A58" s="59"/>
      <c r="B58" s="5"/>
      <c r="C58" s="5"/>
      <c r="D58" s="2"/>
    </row>
    <row r="59" spans="1:4" x14ac:dyDescent="0.55000000000000004">
      <c r="A59" s="59"/>
      <c r="B59" s="5"/>
      <c r="C59" s="5"/>
      <c r="D59" s="2"/>
    </row>
    <row r="60" spans="1:4" x14ac:dyDescent="0.55000000000000004">
      <c r="A60" s="59"/>
      <c r="B60" s="5"/>
      <c r="C60" s="5"/>
      <c r="D60" s="2"/>
    </row>
    <row r="61" spans="1:4" x14ac:dyDescent="0.55000000000000004">
      <c r="A61" s="59"/>
      <c r="B61" s="5"/>
      <c r="C61" s="5"/>
      <c r="D61" s="2"/>
    </row>
    <row r="62" spans="1:4" x14ac:dyDescent="0.55000000000000004">
      <c r="A62" s="59"/>
      <c r="B62" s="5"/>
    </row>
    <row r="63" spans="1:4" x14ac:dyDescent="0.55000000000000004">
      <c r="A63" s="59"/>
      <c r="B63" s="5"/>
      <c r="C63" s="5"/>
      <c r="D63" s="2"/>
    </row>
    <row r="64" spans="1:4" x14ac:dyDescent="0.55000000000000004">
      <c r="A64" s="59"/>
      <c r="B64" s="5"/>
      <c r="C64" s="5"/>
      <c r="D64" s="2"/>
    </row>
    <row r="65" spans="1:4" x14ac:dyDescent="0.55000000000000004">
      <c r="A65" s="59"/>
      <c r="B65" s="5" t="s">
        <v>62</v>
      </c>
      <c r="C65" s="5"/>
      <c r="D65" s="2">
        <f>6*7</f>
        <v>42</v>
      </c>
    </row>
    <row r="66" spans="1:4" x14ac:dyDescent="0.55000000000000004">
      <c r="A66" s="59"/>
      <c r="B66" s="5" t="s">
        <v>63</v>
      </c>
      <c r="C66" s="5"/>
      <c r="D66" s="2" t="s">
        <v>322</v>
      </c>
    </row>
    <row r="67" spans="1:4" x14ac:dyDescent="0.55000000000000004">
      <c r="A67" s="59" t="s">
        <v>65</v>
      </c>
      <c r="B67" s="59"/>
      <c r="C67" s="5"/>
      <c r="D67" s="2"/>
    </row>
    <row r="68" spans="1:4" x14ac:dyDescent="0.55000000000000004">
      <c r="A68" s="3" t="s">
        <v>67</v>
      </c>
      <c r="D68" s="2"/>
    </row>
    <row r="69" spans="1:4" x14ac:dyDescent="0.55000000000000004">
      <c r="A69" s="3" t="s">
        <v>68</v>
      </c>
      <c r="C69" s="1">
        <v>15</v>
      </c>
      <c r="D69" s="1">
        <v>22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J72"/>
  <sheetViews>
    <sheetView topLeftCell="A17" zoomScale="90" zoomScaleNormal="90" workbookViewId="0">
      <selection activeCell="E29" sqref="E29"/>
    </sheetView>
  </sheetViews>
  <sheetFormatPr baseColWidth="10" defaultColWidth="11.41796875" defaultRowHeight="14.4" x14ac:dyDescent="0.55000000000000004"/>
  <cols>
    <col min="1" max="1" width="10.83984375" style="1" customWidth="1"/>
    <col min="2" max="2" width="18.83984375" style="1" customWidth="1"/>
    <col min="3" max="3" width="47.41796875" style="1" customWidth="1"/>
    <col min="4" max="4" width="56.15625" style="2" customWidth="1"/>
    <col min="5" max="5" width="9" style="1" customWidth="1"/>
    <col min="6" max="6" width="11.41796875" style="1"/>
    <col min="7" max="7" width="10.15625" style="1" customWidth="1"/>
    <col min="8" max="8" width="12" style="1" customWidth="1"/>
    <col min="9" max="9" width="10.41796875" style="1" customWidth="1"/>
    <col min="10" max="1024" width="11.41796875" style="1"/>
  </cols>
  <sheetData>
    <row r="1" spans="1:4" x14ac:dyDescent="0.55000000000000004">
      <c r="A1" s="3" t="s">
        <v>0</v>
      </c>
      <c r="D1" s="2" t="s">
        <v>323</v>
      </c>
    </row>
    <row r="2" spans="1:4" x14ac:dyDescent="0.55000000000000004">
      <c r="A2" s="58" t="s">
        <v>2</v>
      </c>
      <c r="B2" s="58"/>
      <c r="D2" s="2" t="s">
        <v>324</v>
      </c>
    </row>
    <row r="3" spans="1:4" x14ac:dyDescent="0.55000000000000004">
      <c r="A3" s="58"/>
      <c r="B3" s="58"/>
      <c r="C3" s="5" t="s">
        <v>4</v>
      </c>
      <c r="D3" s="2" t="s">
        <v>325</v>
      </c>
    </row>
    <row r="4" spans="1:4" x14ac:dyDescent="0.55000000000000004">
      <c r="A4" s="58"/>
      <c r="B4" s="58"/>
      <c r="C4" s="5" t="s">
        <v>6</v>
      </c>
      <c r="D4" s="2">
        <v>2013</v>
      </c>
    </row>
    <row r="5" spans="1:4" ht="26.1" x14ac:dyDescent="0.55000000000000004">
      <c r="A5" s="58"/>
      <c r="B5" s="58"/>
      <c r="C5" s="5" t="s">
        <v>7</v>
      </c>
      <c r="D5" s="2" t="s">
        <v>326</v>
      </c>
    </row>
    <row r="6" spans="1:4" x14ac:dyDescent="0.55000000000000004">
      <c r="A6" s="58"/>
      <c r="B6" s="58"/>
      <c r="C6" s="5" t="s">
        <v>9</v>
      </c>
      <c r="D6" s="2" t="s">
        <v>119</v>
      </c>
    </row>
    <row r="7" spans="1:4" x14ac:dyDescent="0.55000000000000004">
      <c r="A7" s="58"/>
      <c r="B7" s="58"/>
      <c r="C7" s="5" t="s">
        <v>11</v>
      </c>
      <c r="D7" s="2" t="s">
        <v>12</v>
      </c>
    </row>
    <row r="8" spans="1:4" x14ac:dyDescent="0.55000000000000004">
      <c r="A8" s="59" t="s">
        <v>13</v>
      </c>
      <c r="B8" s="59"/>
      <c r="C8" s="5"/>
    </row>
    <row r="9" spans="1:4" ht="39" x14ac:dyDescent="0.55000000000000004">
      <c r="A9" s="58"/>
      <c r="B9" s="58"/>
      <c r="C9" s="5" t="s">
        <v>14</v>
      </c>
      <c r="D9" s="2" t="s">
        <v>327</v>
      </c>
    </row>
    <row r="10" spans="1:4" x14ac:dyDescent="0.55000000000000004">
      <c r="A10" s="58"/>
      <c r="B10" s="58"/>
      <c r="C10" s="5" t="s">
        <v>16</v>
      </c>
      <c r="D10" s="2" t="s">
        <v>165</v>
      </c>
    </row>
    <row r="11" spans="1:4" x14ac:dyDescent="0.55000000000000004">
      <c r="A11" s="58"/>
      <c r="B11" s="58"/>
      <c r="C11" s="5" t="s">
        <v>19</v>
      </c>
      <c r="D11" s="21">
        <v>38657</v>
      </c>
    </row>
    <row r="12" spans="1:4" x14ac:dyDescent="0.55000000000000004">
      <c r="A12" s="58"/>
      <c r="B12" s="58"/>
      <c r="C12" s="5" t="s">
        <v>21</v>
      </c>
      <c r="D12" s="21">
        <v>39539</v>
      </c>
    </row>
    <row r="13" spans="1:4" x14ac:dyDescent="0.55000000000000004">
      <c r="A13" s="58"/>
      <c r="B13" s="58"/>
      <c r="C13" s="5" t="s">
        <v>22</v>
      </c>
      <c r="D13" s="2" t="s">
        <v>328</v>
      </c>
    </row>
    <row r="14" spans="1:4" x14ac:dyDescent="0.55000000000000004">
      <c r="A14" s="59" t="s">
        <v>24</v>
      </c>
      <c r="B14" s="59"/>
      <c r="C14" s="5"/>
    </row>
    <row r="15" spans="1:4" x14ac:dyDescent="0.55000000000000004">
      <c r="A15" s="58"/>
      <c r="B15" s="58"/>
      <c r="C15" s="5" t="s">
        <v>25</v>
      </c>
      <c r="D15" s="2" t="s">
        <v>88</v>
      </c>
    </row>
    <row r="16" spans="1:4" x14ac:dyDescent="0.55000000000000004">
      <c r="A16" s="58"/>
      <c r="B16" s="58"/>
      <c r="C16" s="5" t="s">
        <v>27</v>
      </c>
      <c r="D16" s="2" t="s">
        <v>329</v>
      </c>
    </row>
    <row r="17" spans="1:6" x14ac:dyDescent="0.55000000000000004">
      <c r="A17" s="59" t="s">
        <v>29</v>
      </c>
      <c r="B17" s="59"/>
      <c r="C17" s="5"/>
    </row>
    <row r="18" spans="1:6" ht="39" x14ac:dyDescent="0.55000000000000004">
      <c r="A18" s="58"/>
      <c r="B18" s="58"/>
      <c r="C18" s="5" t="s">
        <v>30</v>
      </c>
      <c r="D18" s="2" t="s">
        <v>330</v>
      </c>
      <c r="E18" s="1" t="s">
        <v>331</v>
      </c>
    </row>
    <row r="19" spans="1:6" ht="409.6" x14ac:dyDescent="0.55000000000000004">
      <c r="A19" s="58"/>
      <c r="B19" s="58"/>
      <c r="C19" s="5" t="s">
        <v>32</v>
      </c>
      <c r="D19" s="2" t="s">
        <v>332</v>
      </c>
      <c r="E19" s="1" t="s">
        <v>331</v>
      </c>
    </row>
    <row r="20" spans="1:6" x14ac:dyDescent="0.55000000000000004">
      <c r="A20" s="59" t="s">
        <v>34</v>
      </c>
      <c r="B20" s="59"/>
      <c r="C20" s="5"/>
      <c r="D20" s="2" t="s">
        <v>323</v>
      </c>
      <c r="E20" s="1" t="s">
        <v>109</v>
      </c>
      <c r="F20" s="1" t="s">
        <v>35</v>
      </c>
    </row>
    <row r="21" spans="1:6" x14ac:dyDescent="0.55000000000000004">
      <c r="A21" s="58"/>
      <c r="B21" s="58"/>
      <c r="C21" s="5" t="s">
        <v>36</v>
      </c>
    </row>
    <row r="22" spans="1:6" x14ac:dyDescent="0.55000000000000004">
      <c r="A22" s="58"/>
      <c r="B22" s="58"/>
      <c r="C22" s="5" t="s">
        <v>37</v>
      </c>
    </row>
    <row r="23" spans="1:6" x14ac:dyDescent="0.55000000000000004">
      <c r="A23" s="58"/>
      <c r="B23" s="58"/>
      <c r="C23" s="5" t="s">
        <v>38</v>
      </c>
      <c r="D23" s="2">
        <v>380</v>
      </c>
      <c r="E23" s="1">
        <v>388</v>
      </c>
      <c r="F23" s="1">
        <v>768</v>
      </c>
    </row>
    <row r="24" spans="1:6" x14ac:dyDescent="0.55000000000000004">
      <c r="A24" s="58"/>
      <c r="B24" s="58"/>
      <c r="C24" s="5" t="s">
        <v>39</v>
      </c>
    </row>
    <row r="25" spans="1:6" x14ac:dyDescent="0.55000000000000004">
      <c r="A25" s="58"/>
      <c r="B25" s="58"/>
      <c r="C25" s="5" t="s">
        <v>40</v>
      </c>
      <c r="D25" s="7">
        <v>0.33</v>
      </c>
      <c r="E25" s="10">
        <v>0.39200000000000002</v>
      </c>
      <c r="F25" s="10">
        <f>((D25*$D$23)+(E25*$E$23))/$F$23</f>
        <v>0.36132291666666666</v>
      </c>
    </row>
    <row r="26" spans="1:6" x14ac:dyDescent="0.55000000000000004">
      <c r="A26" s="58"/>
      <c r="B26" s="58"/>
      <c r="C26" s="5" t="s">
        <v>41</v>
      </c>
      <c r="D26" s="7">
        <v>63.5</v>
      </c>
      <c r="E26" s="10">
        <v>64.7</v>
      </c>
      <c r="F26" s="10">
        <f>((D26*$D$23)+(E26*$E$23))/$F$23</f>
        <v>64.106250000000003</v>
      </c>
    </row>
    <row r="27" spans="1:6" x14ac:dyDescent="0.55000000000000004">
      <c r="A27" s="58"/>
      <c r="B27" s="58"/>
      <c r="C27" s="5" t="s">
        <v>42</v>
      </c>
      <c r="D27" s="7">
        <v>9</v>
      </c>
      <c r="E27" s="10">
        <v>9.1999999999999993</v>
      </c>
      <c r="F27" s="10">
        <f>SQRT((D23*(D27^2+(F$26-D26)^2)+E23*(E27^2+(F$26-E26)^2))/F$23)</f>
        <v>9.1213441592143276</v>
      </c>
    </row>
    <row r="28" spans="1:6" x14ac:dyDescent="0.55000000000000004">
      <c r="A28" s="58"/>
      <c r="B28" s="58"/>
      <c r="C28" s="5" t="s">
        <v>43</v>
      </c>
    </row>
    <row r="29" spans="1:6" x14ac:dyDescent="0.55000000000000004">
      <c r="A29" s="58"/>
      <c r="B29" s="58"/>
      <c r="C29" s="5" t="s">
        <v>44</v>
      </c>
    </row>
    <row r="30" spans="1:6" x14ac:dyDescent="0.55000000000000004">
      <c r="A30" s="58"/>
      <c r="B30" s="58"/>
      <c r="C30" s="5" t="s">
        <v>45</v>
      </c>
      <c r="D30" s="7">
        <v>31.5</v>
      </c>
      <c r="E30" s="10">
        <v>31.6</v>
      </c>
      <c r="F30" s="10">
        <f>((E30*E23)+(D30*D23))/F23</f>
        <v>31.550520833333337</v>
      </c>
    </row>
    <row r="31" spans="1:6" x14ac:dyDescent="0.55000000000000004">
      <c r="A31" s="58"/>
      <c r="B31" s="58"/>
      <c r="C31" s="5" t="s">
        <v>46</v>
      </c>
      <c r="D31" s="7">
        <v>16.899999999999999</v>
      </c>
      <c r="E31" s="10">
        <v>17.3</v>
      </c>
      <c r="F31" s="10">
        <f>SQRT((D23*(D31^2+(F$30-D30)^2)+E23*(E31^2+(F$30-E30)^2))/F$23)</f>
        <v>17.103325692061549</v>
      </c>
    </row>
    <row r="32" spans="1:6" x14ac:dyDescent="0.55000000000000004">
      <c r="A32" s="59" t="s">
        <v>47</v>
      </c>
      <c r="B32" s="59"/>
      <c r="C32" s="5"/>
    </row>
    <row r="33" spans="1:11" ht="39" x14ac:dyDescent="0.55000000000000004">
      <c r="A33" s="58"/>
      <c r="B33" s="58"/>
      <c r="C33" s="5" t="s">
        <v>48</v>
      </c>
      <c r="D33" s="2" t="s">
        <v>333</v>
      </c>
    </row>
    <row r="34" spans="1:11" x14ac:dyDescent="0.55000000000000004">
      <c r="A34" s="59" t="s">
        <v>50</v>
      </c>
      <c r="B34" s="59"/>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9"/>
      <c r="B36" s="5" t="s">
        <v>59</v>
      </c>
      <c r="C36" s="5"/>
    </row>
    <row r="37" spans="1:11" x14ac:dyDescent="0.55000000000000004">
      <c r="A37" s="59"/>
      <c r="B37" s="5"/>
      <c r="C37" s="1" t="s">
        <v>334</v>
      </c>
      <c r="D37" s="2">
        <v>-0.63</v>
      </c>
      <c r="E37" s="10">
        <f>F37*SQRT(D23)</f>
        <v>4.8836569559253391</v>
      </c>
      <c r="F37" s="10">
        <v>0.25052631578947399</v>
      </c>
      <c r="J37" s="1">
        <v>3.3</v>
      </c>
    </row>
    <row r="38" spans="1:11" x14ac:dyDescent="0.55000000000000004">
      <c r="A38" s="59"/>
      <c r="B38" s="5"/>
      <c r="C38" s="1" t="s">
        <v>335</v>
      </c>
      <c r="D38" s="2">
        <v>0.03</v>
      </c>
      <c r="E38" s="10">
        <f>F38*SQRT(E23)</f>
        <v>4.8518583697269184</v>
      </c>
      <c r="F38" s="10">
        <v>0.24631578947368399</v>
      </c>
      <c r="J38" s="1">
        <v>3.7</v>
      </c>
    </row>
    <row r="39" spans="1:11" x14ac:dyDescent="0.55000000000000004">
      <c r="A39" s="59"/>
      <c r="B39" s="5"/>
    </row>
    <row r="40" spans="1:11" x14ac:dyDescent="0.55000000000000004">
      <c r="A40" s="59"/>
      <c r="B40" s="5"/>
    </row>
    <row r="41" spans="1:11" x14ac:dyDescent="0.55000000000000004">
      <c r="A41" s="59"/>
      <c r="B41" s="5"/>
      <c r="C41" s="5"/>
    </row>
    <row r="42" spans="1:11" x14ac:dyDescent="0.55000000000000004">
      <c r="A42" s="59"/>
      <c r="B42" s="5"/>
      <c r="C42" s="5"/>
    </row>
    <row r="43" spans="1:11" x14ac:dyDescent="0.55000000000000004">
      <c r="A43" s="59"/>
      <c r="B43" s="5"/>
      <c r="C43" s="5"/>
    </row>
    <row r="44" spans="1:11" x14ac:dyDescent="0.55000000000000004">
      <c r="A44" s="59"/>
      <c r="B44" s="5"/>
      <c r="C44" s="5"/>
    </row>
    <row r="45" spans="1:11" x14ac:dyDescent="0.55000000000000004">
      <c r="A45" s="59"/>
      <c r="B45" s="5" t="s">
        <v>61</v>
      </c>
      <c r="C45" s="5"/>
    </row>
    <row r="46" spans="1:11" x14ac:dyDescent="0.55000000000000004">
      <c r="A46" s="59"/>
      <c r="B46" s="5"/>
      <c r="C46" s="5" t="s">
        <v>79</v>
      </c>
      <c r="D46" s="2">
        <v>1</v>
      </c>
    </row>
    <row r="47" spans="1:11" x14ac:dyDescent="0.55000000000000004">
      <c r="A47" s="59"/>
      <c r="B47" s="5"/>
    </row>
    <row r="48" spans="1:11" x14ac:dyDescent="0.55000000000000004">
      <c r="A48" s="59"/>
      <c r="B48" s="5"/>
    </row>
    <row r="49" spans="1:3" x14ac:dyDescent="0.55000000000000004">
      <c r="A49" s="59"/>
      <c r="B49" s="5"/>
    </row>
    <row r="50" spans="1:3" x14ac:dyDescent="0.55000000000000004">
      <c r="A50" s="59"/>
      <c r="B50" s="5"/>
      <c r="C50" s="5"/>
    </row>
    <row r="51" spans="1:3" x14ac:dyDescent="0.55000000000000004">
      <c r="A51" s="59"/>
      <c r="B51" s="5"/>
      <c r="C51" s="5"/>
    </row>
    <row r="52" spans="1:3" x14ac:dyDescent="0.55000000000000004">
      <c r="A52" s="59"/>
      <c r="B52" s="5"/>
      <c r="C52" s="5"/>
    </row>
    <row r="53" spans="1:3" x14ac:dyDescent="0.55000000000000004">
      <c r="A53" s="59"/>
      <c r="B53" s="5"/>
      <c r="C53" s="5"/>
    </row>
    <row r="54" spans="1:3" x14ac:dyDescent="0.55000000000000004">
      <c r="A54" s="59"/>
      <c r="B54" s="5"/>
      <c r="C54" s="5"/>
    </row>
    <row r="55" spans="1:3" x14ac:dyDescent="0.55000000000000004">
      <c r="A55" s="59"/>
      <c r="B55" s="5"/>
      <c r="C55" s="5"/>
    </row>
    <row r="56" spans="1:3" x14ac:dyDescent="0.55000000000000004">
      <c r="A56" s="59"/>
      <c r="B56" s="5"/>
      <c r="C56" s="5"/>
    </row>
    <row r="57" spans="1:3" x14ac:dyDescent="0.55000000000000004">
      <c r="A57" s="59"/>
      <c r="B57" s="5"/>
      <c r="C57" s="5"/>
    </row>
    <row r="58" spans="1:3" x14ac:dyDescent="0.55000000000000004">
      <c r="A58" s="59"/>
      <c r="B58" s="5"/>
      <c r="C58" s="5"/>
    </row>
    <row r="59" spans="1:3" x14ac:dyDescent="0.55000000000000004">
      <c r="A59" s="59"/>
      <c r="B59" s="5"/>
      <c r="C59" s="5"/>
    </row>
    <row r="60" spans="1:3" x14ac:dyDescent="0.55000000000000004">
      <c r="A60" s="59"/>
      <c r="B60" s="5"/>
      <c r="C60" s="5"/>
    </row>
    <row r="61" spans="1:3" x14ac:dyDescent="0.55000000000000004">
      <c r="A61" s="59"/>
      <c r="B61" s="5"/>
      <c r="C61" s="5"/>
    </row>
    <row r="62" spans="1:3" x14ac:dyDescent="0.55000000000000004">
      <c r="A62" s="59"/>
      <c r="B62" s="5"/>
      <c r="C62" s="5"/>
    </row>
    <row r="63" spans="1:3" x14ac:dyDescent="0.55000000000000004">
      <c r="A63" s="59"/>
      <c r="B63" s="5"/>
      <c r="C63" s="5"/>
    </row>
    <row r="64" spans="1:3" x14ac:dyDescent="0.55000000000000004">
      <c r="A64" s="59"/>
      <c r="B64" s="5"/>
      <c r="C64" s="5"/>
    </row>
    <row r="65" spans="1:5" x14ac:dyDescent="0.55000000000000004">
      <c r="A65" s="59"/>
      <c r="B65" s="5" t="s">
        <v>62</v>
      </c>
      <c r="C65" s="5"/>
      <c r="D65" s="2" t="s">
        <v>336</v>
      </c>
    </row>
    <row r="66" spans="1:5" x14ac:dyDescent="0.55000000000000004">
      <c r="A66" s="59"/>
      <c r="B66" s="5" t="s">
        <v>63</v>
      </c>
      <c r="C66" s="5"/>
      <c r="D66" s="2" t="s">
        <v>337</v>
      </c>
      <c r="E66" s="2"/>
    </row>
    <row r="67" spans="1:5" ht="51.9" x14ac:dyDescent="0.55000000000000004">
      <c r="A67" s="59" t="s">
        <v>65</v>
      </c>
      <c r="B67" s="59"/>
      <c r="C67" s="5"/>
      <c r="D67" s="2" t="s">
        <v>338</v>
      </c>
    </row>
    <row r="68" spans="1:5" x14ac:dyDescent="0.55000000000000004">
      <c r="A68" s="3" t="s">
        <v>67</v>
      </c>
    </row>
    <row r="69" spans="1:5" x14ac:dyDescent="0.55000000000000004">
      <c r="A69" s="1" t="s">
        <v>68</v>
      </c>
      <c r="C69" s="1">
        <v>26</v>
      </c>
      <c r="D69" s="2">
        <v>26</v>
      </c>
    </row>
    <row r="70" spans="1:5" x14ac:dyDescent="0.55000000000000004">
      <c r="B70" s="1" t="s">
        <v>94</v>
      </c>
    </row>
    <row r="71" spans="1:5" x14ac:dyDescent="0.55000000000000004">
      <c r="C71" s="1" t="s">
        <v>339</v>
      </c>
      <c r="D71" s="7">
        <v>2.7</v>
      </c>
      <c r="E71" s="10">
        <v>3.3</v>
      </c>
    </row>
    <row r="72" spans="1:5" x14ac:dyDescent="0.55000000000000004">
      <c r="C72" s="1" t="s">
        <v>340</v>
      </c>
      <c r="D72" s="7">
        <v>2.7</v>
      </c>
      <c r="E72" s="10">
        <v>3.7</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78"/>
  <sheetViews>
    <sheetView topLeftCell="A31" zoomScale="90" zoomScaleNormal="90" workbookViewId="0">
      <selection activeCell="C70" sqref="C70"/>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2.83984375" style="1" customWidth="1"/>
    <col min="6" max="6" width="4.83984375" style="1" customWidth="1"/>
    <col min="7" max="1024" width="11.41796875" style="1"/>
  </cols>
  <sheetData>
    <row r="1" spans="1:5" x14ac:dyDescent="0.55000000000000004">
      <c r="A1" s="3" t="s">
        <v>0</v>
      </c>
      <c r="D1" s="2" t="s">
        <v>341</v>
      </c>
    </row>
    <row r="2" spans="1:5" x14ac:dyDescent="0.55000000000000004">
      <c r="A2" s="58" t="s">
        <v>2</v>
      </c>
      <c r="B2" s="58"/>
      <c r="D2" s="1" t="s">
        <v>342</v>
      </c>
    </row>
    <row r="3" spans="1:5" x14ac:dyDescent="0.55000000000000004">
      <c r="A3" s="58"/>
      <c r="B3" s="58"/>
      <c r="C3" s="5" t="s">
        <v>4</v>
      </c>
      <c r="D3" s="2" t="s">
        <v>343</v>
      </c>
    </row>
    <row r="4" spans="1:5" x14ac:dyDescent="0.55000000000000004">
      <c r="A4" s="58"/>
      <c r="B4" s="58"/>
      <c r="C4" s="5" t="s">
        <v>6</v>
      </c>
      <c r="D4" s="2">
        <v>2003</v>
      </c>
    </row>
    <row r="5" spans="1:5" ht="26.1" x14ac:dyDescent="0.55000000000000004">
      <c r="A5" s="58"/>
      <c r="B5" s="58"/>
      <c r="C5" s="5" t="s">
        <v>7</v>
      </c>
      <c r="D5" s="2" t="s">
        <v>344</v>
      </c>
    </row>
    <row r="6" spans="1:5" x14ac:dyDescent="0.55000000000000004">
      <c r="A6" s="58"/>
      <c r="B6" s="58"/>
      <c r="C6" s="5" t="s">
        <v>9</v>
      </c>
      <c r="D6" s="2" t="s">
        <v>119</v>
      </c>
    </row>
    <row r="7" spans="1:5" x14ac:dyDescent="0.55000000000000004">
      <c r="A7" s="58"/>
      <c r="B7" s="58"/>
      <c r="C7" s="5" t="s">
        <v>11</v>
      </c>
      <c r="D7" s="2" t="s">
        <v>12</v>
      </c>
    </row>
    <row r="8" spans="1:5" x14ac:dyDescent="0.55000000000000004">
      <c r="A8" s="59" t="s">
        <v>13</v>
      </c>
      <c r="B8" s="59"/>
      <c r="C8" s="5"/>
    </row>
    <row r="9" spans="1:5" ht="26.1" x14ac:dyDescent="0.55000000000000004">
      <c r="A9" s="58"/>
      <c r="B9" s="58"/>
      <c r="C9" s="5" t="s">
        <v>14</v>
      </c>
      <c r="D9" s="2" t="s">
        <v>345</v>
      </c>
    </row>
    <row r="10" spans="1:5" x14ac:dyDescent="0.55000000000000004">
      <c r="A10" s="58"/>
      <c r="B10" s="58"/>
      <c r="C10" s="5" t="s">
        <v>16</v>
      </c>
      <c r="D10" s="2" t="s">
        <v>17</v>
      </c>
      <c r="E10" s="1" t="s">
        <v>18</v>
      </c>
    </row>
    <row r="11" spans="1:5" x14ac:dyDescent="0.55000000000000004">
      <c r="A11" s="58"/>
      <c r="B11" s="58"/>
      <c r="C11" s="5" t="s">
        <v>19</v>
      </c>
      <c r="D11" s="2" t="s">
        <v>20</v>
      </c>
    </row>
    <row r="12" spans="1:5" x14ac:dyDescent="0.55000000000000004">
      <c r="A12" s="58"/>
      <c r="B12" s="58"/>
      <c r="C12" s="5" t="s">
        <v>21</v>
      </c>
      <c r="D12" s="2" t="s">
        <v>20</v>
      </c>
    </row>
    <row r="13" spans="1:5" x14ac:dyDescent="0.55000000000000004">
      <c r="A13" s="58"/>
      <c r="B13" s="58"/>
      <c r="C13" s="5" t="s">
        <v>22</v>
      </c>
      <c r="D13" s="2" t="s">
        <v>20</v>
      </c>
    </row>
    <row r="14" spans="1:5" x14ac:dyDescent="0.55000000000000004">
      <c r="A14" s="59" t="s">
        <v>24</v>
      </c>
      <c r="B14" s="59"/>
      <c r="C14" s="5"/>
    </row>
    <row r="15" spans="1:5" x14ac:dyDescent="0.55000000000000004">
      <c r="A15" s="58"/>
      <c r="B15" s="58"/>
      <c r="C15" s="5" t="s">
        <v>25</v>
      </c>
      <c r="D15" s="2" t="s">
        <v>346</v>
      </c>
    </row>
    <row r="16" spans="1:5" ht="26.1" x14ac:dyDescent="0.55000000000000004">
      <c r="A16" s="58"/>
      <c r="B16" s="58"/>
      <c r="C16" s="5" t="s">
        <v>27</v>
      </c>
      <c r="D16" s="2" t="s">
        <v>347</v>
      </c>
    </row>
    <row r="17" spans="1:4" x14ac:dyDescent="0.55000000000000004">
      <c r="A17" s="59" t="s">
        <v>29</v>
      </c>
      <c r="B17" s="59"/>
      <c r="C17" s="5"/>
    </row>
    <row r="18" spans="1:4" ht="26.1" x14ac:dyDescent="0.55000000000000004">
      <c r="A18" s="58"/>
      <c r="B18" s="58"/>
      <c r="C18" s="5" t="s">
        <v>30</v>
      </c>
      <c r="D18" s="2" t="s">
        <v>348</v>
      </c>
    </row>
    <row r="19" spans="1:4" ht="51.9" x14ac:dyDescent="0.55000000000000004">
      <c r="A19" s="58"/>
      <c r="B19" s="58"/>
      <c r="C19" s="5" t="s">
        <v>32</v>
      </c>
      <c r="D19" s="2" t="s">
        <v>349</v>
      </c>
    </row>
    <row r="20" spans="1:4" x14ac:dyDescent="0.55000000000000004">
      <c r="A20" s="59" t="s">
        <v>34</v>
      </c>
      <c r="B20" s="59"/>
      <c r="C20" s="5"/>
      <c r="D20" s="2" t="s">
        <v>35</v>
      </c>
    </row>
    <row r="21" spans="1:4" x14ac:dyDescent="0.55000000000000004">
      <c r="A21" s="58"/>
      <c r="B21" s="58"/>
      <c r="C21" s="5" t="s">
        <v>36</v>
      </c>
    </row>
    <row r="22" spans="1:4" x14ac:dyDescent="0.55000000000000004">
      <c r="A22" s="58"/>
      <c r="B22" s="58"/>
      <c r="C22" s="5" t="s">
        <v>37</v>
      </c>
      <c r="D22" s="2">
        <v>49</v>
      </c>
    </row>
    <row r="23" spans="1:4" x14ac:dyDescent="0.55000000000000004">
      <c r="A23" s="58"/>
      <c r="B23" s="58"/>
      <c r="C23" s="5" t="s">
        <v>38</v>
      </c>
      <c r="D23" s="2">
        <v>36</v>
      </c>
    </row>
    <row r="24" spans="1:4" x14ac:dyDescent="0.55000000000000004">
      <c r="A24" s="58"/>
      <c r="B24" s="58"/>
      <c r="C24" s="5" t="s">
        <v>39</v>
      </c>
      <c r="D24" s="2">
        <v>5</v>
      </c>
    </row>
    <row r="25" spans="1:4" x14ac:dyDescent="0.55000000000000004">
      <c r="A25" s="58"/>
      <c r="B25" s="58"/>
      <c r="C25" s="5" t="s">
        <v>40</v>
      </c>
      <c r="D25" s="2">
        <v>51</v>
      </c>
    </row>
    <row r="26" spans="1:4" x14ac:dyDescent="0.55000000000000004">
      <c r="A26" s="58"/>
      <c r="B26" s="58"/>
      <c r="C26" s="5" t="s">
        <v>41</v>
      </c>
      <c r="D26" s="2">
        <v>63</v>
      </c>
    </row>
    <row r="27" spans="1:4" x14ac:dyDescent="0.55000000000000004">
      <c r="A27" s="58"/>
      <c r="B27" s="58"/>
      <c r="C27" s="5" t="s">
        <v>42</v>
      </c>
      <c r="D27" s="2">
        <v>12</v>
      </c>
    </row>
    <row r="28" spans="1:4" x14ac:dyDescent="0.55000000000000004">
      <c r="A28" s="58"/>
      <c r="B28" s="58"/>
      <c r="C28" s="5" t="s">
        <v>43</v>
      </c>
    </row>
    <row r="29" spans="1:4" x14ac:dyDescent="0.55000000000000004">
      <c r="A29" s="58"/>
      <c r="B29" s="58"/>
      <c r="C29" s="5" t="s">
        <v>44</v>
      </c>
    </row>
    <row r="30" spans="1:4" x14ac:dyDescent="0.55000000000000004">
      <c r="A30" s="58"/>
      <c r="B30" s="58"/>
      <c r="C30" s="5" t="s">
        <v>45</v>
      </c>
      <c r="D30" s="2">
        <v>28.29</v>
      </c>
    </row>
    <row r="31" spans="1:4" x14ac:dyDescent="0.55000000000000004">
      <c r="A31" s="58"/>
      <c r="B31" s="58"/>
      <c r="C31" s="5" t="s">
        <v>46</v>
      </c>
      <c r="D31" s="2">
        <v>6.72</v>
      </c>
    </row>
    <row r="32" spans="1:4" x14ac:dyDescent="0.55000000000000004">
      <c r="A32" s="59" t="s">
        <v>47</v>
      </c>
      <c r="B32" s="59"/>
      <c r="C32" s="5"/>
    </row>
    <row r="33" spans="1:10" ht="26.1" x14ac:dyDescent="0.55000000000000004">
      <c r="A33" s="58"/>
      <c r="B33" s="58"/>
      <c r="C33" s="5" t="s">
        <v>48</v>
      </c>
      <c r="D33" s="2" t="s">
        <v>350</v>
      </c>
    </row>
    <row r="34" spans="1:10" x14ac:dyDescent="0.55000000000000004">
      <c r="A34" s="59" t="s">
        <v>50</v>
      </c>
      <c r="B34" s="59"/>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9"/>
      <c r="B36" s="5" t="s">
        <v>59</v>
      </c>
    </row>
    <row r="37" spans="1:10" x14ac:dyDescent="0.55000000000000004">
      <c r="A37" s="59"/>
      <c r="B37" s="5"/>
      <c r="C37" s="5" t="s">
        <v>351</v>
      </c>
      <c r="D37" s="2">
        <v>1.54</v>
      </c>
      <c r="E37" s="1">
        <v>1.08</v>
      </c>
    </row>
    <row r="38" spans="1:10" x14ac:dyDescent="0.55000000000000004">
      <c r="A38" s="59"/>
      <c r="B38" s="5"/>
      <c r="C38" s="5" t="s">
        <v>352</v>
      </c>
      <c r="D38" s="2">
        <v>0.37</v>
      </c>
      <c r="E38" s="1">
        <v>0.54</v>
      </c>
    </row>
    <row r="39" spans="1:10" x14ac:dyDescent="0.55000000000000004">
      <c r="A39" s="59"/>
      <c r="B39" s="5"/>
    </row>
    <row r="40" spans="1:10" x14ac:dyDescent="0.55000000000000004">
      <c r="A40" s="59"/>
      <c r="B40" s="5"/>
    </row>
    <row r="41" spans="1:10" x14ac:dyDescent="0.55000000000000004">
      <c r="A41" s="59"/>
      <c r="B41" s="5"/>
    </row>
    <row r="42" spans="1:10" x14ac:dyDescent="0.55000000000000004">
      <c r="A42" s="59"/>
      <c r="B42" s="5"/>
    </row>
    <row r="43" spans="1:10" x14ac:dyDescent="0.55000000000000004">
      <c r="A43" s="59"/>
      <c r="B43" s="5"/>
      <c r="C43" s="5"/>
    </row>
    <row r="44" spans="1:10" x14ac:dyDescent="0.55000000000000004">
      <c r="A44" s="59"/>
      <c r="B44" s="5"/>
      <c r="C44" s="5"/>
    </row>
    <row r="45" spans="1:10" x14ac:dyDescent="0.55000000000000004">
      <c r="A45" s="59"/>
      <c r="B45" s="5" t="s">
        <v>61</v>
      </c>
      <c r="C45" s="5"/>
    </row>
    <row r="46" spans="1:10" x14ac:dyDescent="0.55000000000000004">
      <c r="A46" s="59"/>
      <c r="B46" s="5"/>
      <c r="C46" s="5" t="s">
        <v>206</v>
      </c>
      <c r="D46" s="2">
        <v>1</v>
      </c>
    </row>
    <row r="47" spans="1:10" x14ac:dyDescent="0.55000000000000004">
      <c r="A47" s="59"/>
      <c r="B47" s="5"/>
      <c r="C47" s="5"/>
    </row>
    <row r="48" spans="1:10" x14ac:dyDescent="0.55000000000000004">
      <c r="A48" s="59"/>
      <c r="B48" s="5"/>
      <c r="C48" s="5"/>
    </row>
    <row r="49" spans="1:3" x14ac:dyDescent="0.55000000000000004">
      <c r="A49" s="59"/>
      <c r="B49" s="5"/>
      <c r="C49" s="5"/>
    </row>
    <row r="50" spans="1:3" x14ac:dyDescent="0.55000000000000004">
      <c r="A50" s="59"/>
      <c r="B50" s="5"/>
      <c r="C50" s="5"/>
    </row>
    <row r="51" spans="1:3" x14ac:dyDescent="0.55000000000000004">
      <c r="A51" s="59"/>
      <c r="B51" s="5"/>
    </row>
    <row r="52" spans="1:3" x14ac:dyDescent="0.55000000000000004">
      <c r="A52" s="59"/>
      <c r="B52" s="5"/>
      <c r="C52" s="5"/>
    </row>
    <row r="53" spans="1:3" x14ac:dyDescent="0.55000000000000004">
      <c r="A53" s="59"/>
      <c r="B53" s="5"/>
      <c r="C53" s="5"/>
    </row>
    <row r="54" spans="1:3" x14ac:dyDescent="0.55000000000000004">
      <c r="A54" s="59"/>
      <c r="B54" s="5"/>
      <c r="C54" s="5"/>
    </row>
    <row r="55" spans="1:3" x14ac:dyDescent="0.55000000000000004">
      <c r="A55" s="59"/>
      <c r="B55" s="5"/>
      <c r="C55" s="5"/>
    </row>
    <row r="56" spans="1:3" x14ac:dyDescent="0.55000000000000004">
      <c r="A56" s="59"/>
      <c r="B56" s="5"/>
      <c r="C56" s="5"/>
    </row>
    <row r="57" spans="1:3" x14ac:dyDescent="0.55000000000000004">
      <c r="A57" s="59"/>
      <c r="B57" s="5"/>
      <c r="C57" s="5"/>
    </row>
    <row r="58" spans="1:3" x14ac:dyDescent="0.55000000000000004">
      <c r="A58" s="59"/>
      <c r="B58" s="5"/>
      <c r="C58" s="5"/>
    </row>
    <row r="59" spans="1:3" x14ac:dyDescent="0.55000000000000004">
      <c r="A59" s="59"/>
      <c r="B59" s="5"/>
      <c r="C59" s="5"/>
    </row>
    <row r="60" spans="1:3" x14ac:dyDescent="0.55000000000000004">
      <c r="A60" s="59"/>
      <c r="B60" s="5"/>
      <c r="C60" s="5"/>
    </row>
    <row r="61" spans="1:3" x14ac:dyDescent="0.55000000000000004">
      <c r="A61" s="59"/>
      <c r="B61" s="5"/>
      <c r="C61" s="5"/>
    </row>
    <row r="62" spans="1:3" x14ac:dyDescent="0.55000000000000004">
      <c r="A62" s="59"/>
      <c r="B62" s="5"/>
      <c r="C62" s="5"/>
    </row>
    <row r="63" spans="1:3" x14ac:dyDescent="0.55000000000000004">
      <c r="A63" s="59"/>
      <c r="B63" s="5"/>
      <c r="C63" s="5"/>
    </row>
    <row r="64" spans="1:3" x14ac:dyDescent="0.55000000000000004">
      <c r="A64" s="59"/>
      <c r="B64" s="5"/>
      <c r="C64" s="5"/>
    </row>
    <row r="65" spans="1:11" x14ac:dyDescent="0.55000000000000004">
      <c r="A65" s="59"/>
      <c r="B65" s="5" t="s">
        <v>62</v>
      </c>
      <c r="C65" s="5"/>
      <c r="D65" s="2">
        <v>42</v>
      </c>
    </row>
    <row r="66" spans="1:11" x14ac:dyDescent="0.55000000000000004">
      <c r="A66" s="59"/>
      <c r="B66" s="5" t="s">
        <v>63</v>
      </c>
      <c r="C66" s="5"/>
      <c r="D66" s="2" t="s">
        <v>353</v>
      </c>
    </row>
    <row r="67" spans="1:11" x14ac:dyDescent="0.55000000000000004">
      <c r="A67" s="59" t="s">
        <v>65</v>
      </c>
      <c r="B67" s="59"/>
      <c r="C67" s="5"/>
    </row>
    <row r="68" spans="1:11" x14ac:dyDescent="0.55000000000000004">
      <c r="A68" s="3" t="s">
        <v>67</v>
      </c>
    </row>
    <row r="69" spans="1:11" x14ac:dyDescent="0.55000000000000004">
      <c r="A69" s="1" t="s">
        <v>68</v>
      </c>
      <c r="C69" s="1">
        <v>12</v>
      </c>
      <c r="D69" s="2">
        <v>18</v>
      </c>
    </row>
    <row r="70" spans="1:11" x14ac:dyDescent="0.55000000000000004">
      <c r="B70" s="1" t="s">
        <v>354</v>
      </c>
    </row>
    <row r="71" spans="1:11" x14ac:dyDescent="0.55000000000000004">
      <c r="C71" s="5" t="s">
        <v>355</v>
      </c>
      <c r="D71" s="2">
        <v>76</v>
      </c>
    </row>
    <row r="72" spans="1:11" x14ac:dyDescent="0.55000000000000004">
      <c r="C72" s="5" t="s">
        <v>356</v>
      </c>
      <c r="D72" s="2">
        <v>71</v>
      </c>
    </row>
    <row r="73" spans="1:11" x14ac:dyDescent="0.55000000000000004">
      <c r="C73" s="5" t="s">
        <v>351</v>
      </c>
      <c r="D73" s="2">
        <v>1.54</v>
      </c>
      <c r="E73" s="1">
        <v>1.08</v>
      </c>
    </row>
    <row r="74" spans="1:11" x14ac:dyDescent="0.55000000000000004">
      <c r="C74" s="5" t="s">
        <v>352</v>
      </c>
      <c r="D74" s="2">
        <v>0.37</v>
      </c>
      <c r="E74" s="1">
        <v>0.54</v>
      </c>
    </row>
    <row r="75" spans="1:11" x14ac:dyDescent="0.55000000000000004">
      <c r="C75" s="5" t="s">
        <v>357</v>
      </c>
      <c r="D75" s="2">
        <v>1.1200000000000001</v>
      </c>
      <c r="E75" s="1">
        <v>0.87</v>
      </c>
    </row>
    <row r="76" spans="1:11" x14ac:dyDescent="0.55000000000000004">
      <c r="C76" s="5" t="s">
        <v>358</v>
      </c>
      <c r="D76" s="2">
        <v>0.32</v>
      </c>
      <c r="E76" s="1">
        <v>0.56999999999999995</v>
      </c>
    </row>
    <row r="77" spans="1:11" x14ac:dyDescent="0.55000000000000004">
      <c r="C77" s="5" t="s">
        <v>359</v>
      </c>
      <c r="D77" s="7">
        <f>D73+D75</f>
        <v>2.66</v>
      </c>
      <c r="E77" s="10">
        <f>SQRT(($D$23*(E73+(D73-AVERAGE(D73,D75))^2)+$D$23*(E75+(D75-AVERAGE(D73,D75))^2))/($D$23+$D$23))</f>
        <v>1.0095048291117781</v>
      </c>
      <c r="K77" s="10">
        <f>SQRT(((($D$23-1)*E73^2)+(($D$23-1)*E75^2))/($D$23+$D$23-2))</f>
        <v>0.98063754772086931</v>
      </c>
    </row>
    <row r="78" spans="1:11" x14ac:dyDescent="0.55000000000000004">
      <c r="C78" s="5" t="s">
        <v>360</v>
      </c>
      <c r="D78" s="7">
        <f>D74+D76</f>
        <v>0.69</v>
      </c>
      <c r="E78" s="10">
        <f>SQRT(($D$23*(E74+(D74-AVERAGE(D74,D76))^2)+$D$23*(E76+(D76-AVERAGE(D74,D76))^2))/($D$23+$D$23))</f>
        <v>0.74540257579377867</v>
      </c>
      <c r="K78" s="10">
        <f>SQRT(((($D$23-1)*E74^2)+(($D$23-1)*E76^2))/($D$23+$D$23-2))</f>
        <v>0.55520266569965249</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J74"/>
  <sheetViews>
    <sheetView topLeftCell="A12" zoomScale="90" zoomScaleNormal="90" workbookViewId="0">
      <selection activeCell="E46" sqref="E46"/>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5.15625" style="1" customWidth="1"/>
    <col min="6" max="6" width="4.83984375" style="1" customWidth="1"/>
    <col min="7" max="1024" width="11.41796875" style="1"/>
  </cols>
  <sheetData>
    <row r="1" spans="1:4" x14ac:dyDescent="0.55000000000000004">
      <c r="A1" s="3" t="s">
        <v>0</v>
      </c>
      <c r="D1" s="2" t="s">
        <v>160</v>
      </c>
    </row>
    <row r="2" spans="1:4" x14ac:dyDescent="0.55000000000000004">
      <c r="A2" s="58" t="s">
        <v>2</v>
      </c>
      <c r="B2" s="58"/>
      <c r="D2" s="2" t="s">
        <v>361</v>
      </c>
    </row>
    <row r="3" spans="1:4" ht="26.1" x14ac:dyDescent="0.55000000000000004">
      <c r="A3" s="58"/>
      <c r="B3" s="58"/>
      <c r="C3" s="5" t="s">
        <v>4</v>
      </c>
      <c r="D3" s="2" t="s">
        <v>362</v>
      </c>
    </row>
    <row r="4" spans="1:4" x14ac:dyDescent="0.55000000000000004">
      <c r="A4" s="58"/>
      <c r="B4" s="58"/>
      <c r="C4" s="5" t="s">
        <v>6</v>
      </c>
      <c r="D4" s="2">
        <v>1990</v>
      </c>
    </row>
    <row r="5" spans="1:4" x14ac:dyDescent="0.55000000000000004">
      <c r="A5" s="58"/>
      <c r="B5" s="58"/>
      <c r="C5" s="5" t="s">
        <v>7</v>
      </c>
      <c r="D5" s="2" t="s">
        <v>363</v>
      </c>
    </row>
    <row r="6" spans="1:4" x14ac:dyDescent="0.55000000000000004">
      <c r="A6" s="58"/>
      <c r="B6" s="58"/>
      <c r="C6" s="5" t="s">
        <v>9</v>
      </c>
      <c r="D6" s="2" t="s">
        <v>310</v>
      </c>
    </row>
    <row r="7" spans="1:4" x14ac:dyDescent="0.55000000000000004">
      <c r="A7" s="58"/>
      <c r="B7" s="58"/>
      <c r="C7" s="5" t="s">
        <v>11</v>
      </c>
      <c r="D7" s="2" t="s">
        <v>12</v>
      </c>
    </row>
    <row r="8" spans="1:4" x14ac:dyDescent="0.55000000000000004">
      <c r="A8" s="59" t="s">
        <v>13</v>
      </c>
      <c r="B8" s="59"/>
      <c r="C8" s="5"/>
    </row>
    <row r="9" spans="1:4" x14ac:dyDescent="0.55000000000000004">
      <c r="A9" s="58"/>
      <c r="B9" s="58"/>
      <c r="C9" s="5" t="s">
        <v>14</v>
      </c>
      <c r="D9" s="2" t="s">
        <v>364</v>
      </c>
    </row>
    <row r="10" spans="1:4" x14ac:dyDescent="0.55000000000000004">
      <c r="A10" s="58"/>
      <c r="B10" s="58"/>
      <c r="C10" s="5" t="s">
        <v>16</v>
      </c>
      <c r="D10" s="2" t="s">
        <v>17</v>
      </c>
    </row>
    <row r="11" spans="1:4" x14ac:dyDescent="0.55000000000000004">
      <c r="A11" s="58"/>
      <c r="B11" s="58"/>
      <c r="C11" s="5" t="s">
        <v>19</v>
      </c>
      <c r="D11" s="2" t="s">
        <v>20</v>
      </c>
    </row>
    <row r="12" spans="1:4" x14ac:dyDescent="0.55000000000000004">
      <c r="A12" s="58"/>
      <c r="B12" s="58"/>
      <c r="C12" s="5" t="s">
        <v>21</v>
      </c>
      <c r="D12" s="2" t="s">
        <v>20</v>
      </c>
    </row>
    <row r="13" spans="1:4" x14ac:dyDescent="0.55000000000000004">
      <c r="A13" s="58"/>
      <c r="B13" s="58"/>
      <c r="C13" s="5" t="s">
        <v>22</v>
      </c>
      <c r="D13" s="2" t="s">
        <v>20</v>
      </c>
    </row>
    <row r="14" spans="1:4" x14ac:dyDescent="0.55000000000000004">
      <c r="A14" s="59" t="s">
        <v>24</v>
      </c>
      <c r="B14" s="59"/>
      <c r="C14" s="5"/>
    </row>
    <row r="15" spans="1:4" x14ac:dyDescent="0.55000000000000004">
      <c r="A15" s="58"/>
      <c r="B15" s="58"/>
      <c r="C15" s="5" t="s">
        <v>25</v>
      </c>
      <c r="D15" s="2" t="s">
        <v>87</v>
      </c>
    </row>
    <row r="16" spans="1:4" x14ac:dyDescent="0.55000000000000004">
      <c r="A16" s="58"/>
      <c r="B16" s="58"/>
      <c r="C16" s="5" t="s">
        <v>27</v>
      </c>
      <c r="D16" s="2" t="s">
        <v>365</v>
      </c>
    </row>
    <row r="17" spans="1:4" x14ac:dyDescent="0.55000000000000004">
      <c r="A17" s="59" t="s">
        <v>29</v>
      </c>
      <c r="B17" s="59"/>
      <c r="C17" s="5"/>
    </row>
    <row r="18" spans="1:4" x14ac:dyDescent="0.55000000000000004">
      <c r="A18" s="58"/>
      <c r="B18" s="58"/>
      <c r="C18" s="5" t="s">
        <v>30</v>
      </c>
      <c r="D18" s="2" t="s">
        <v>366</v>
      </c>
    </row>
    <row r="19" spans="1:4" x14ac:dyDescent="0.55000000000000004">
      <c r="A19" s="58"/>
      <c r="B19" s="58"/>
      <c r="C19" s="5" t="s">
        <v>32</v>
      </c>
      <c r="D19" s="2" t="s">
        <v>20</v>
      </c>
    </row>
    <row r="20" spans="1:4" x14ac:dyDescent="0.55000000000000004">
      <c r="A20" s="59" t="s">
        <v>34</v>
      </c>
      <c r="B20" s="59"/>
      <c r="C20" s="5"/>
      <c r="D20" s="2" t="s">
        <v>35</v>
      </c>
    </row>
    <row r="21" spans="1:4" x14ac:dyDescent="0.55000000000000004">
      <c r="A21" s="58"/>
      <c r="B21" s="58"/>
      <c r="C21" s="5" t="s">
        <v>36</v>
      </c>
    </row>
    <row r="22" spans="1:4" x14ac:dyDescent="0.55000000000000004">
      <c r="A22" s="58"/>
      <c r="B22" s="58"/>
      <c r="C22" s="5" t="s">
        <v>37</v>
      </c>
      <c r="D22" s="2">
        <v>12</v>
      </c>
    </row>
    <row r="23" spans="1:4" x14ac:dyDescent="0.55000000000000004">
      <c r="A23" s="58"/>
      <c r="B23" s="58"/>
      <c r="C23" s="5" t="s">
        <v>38</v>
      </c>
      <c r="D23" s="2">
        <v>12</v>
      </c>
    </row>
    <row r="24" spans="1:4" x14ac:dyDescent="0.55000000000000004">
      <c r="A24" s="58"/>
      <c r="B24" s="58"/>
      <c r="C24" s="5" t="s">
        <v>39</v>
      </c>
    </row>
    <row r="25" spans="1:4" x14ac:dyDescent="0.55000000000000004">
      <c r="A25" s="58"/>
      <c r="B25" s="58"/>
      <c r="C25" s="5" t="s">
        <v>40</v>
      </c>
      <c r="D25" s="7">
        <v>16.7</v>
      </c>
    </row>
    <row r="26" spans="1:4" x14ac:dyDescent="0.55000000000000004">
      <c r="A26" s="58"/>
      <c r="B26" s="58"/>
      <c r="C26" s="5" t="s">
        <v>41</v>
      </c>
      <c r="D26" s="7">
        <v>66.900000000000006</v>
      </c>
    </row>
    <row r="27" spans="1:4" x14ac:dyDescent="0.55000000000000004">
      <c r="A27" s="58"/>
      <c r="B27" s="58"/>
      <c r="C27" s="5" t="s">
        <v>42</v>
      </c>
      <c r="D27" s="7">
        <v>6.5</v>
      </c>
    </row>
    <row r="28" spans="1:4" x14ac:dyDescent="0.55000000000000004">
      <c r="A28" s="58"/>
      <c r="B28" s="58"/>
      <c r="C28" s="5" t="s">
        <v>43</v>
      </c>
      <c r="D28" s="7">
        <f>MEDIAN(63,74,80,74.78,84,58,61,63,73,75,67)</f>
        <v>73</v>
      </c>
    </row>
    <row r="29" spans="1:4" x14ac:dyDescent="0.55000000000000004">
      <c r="A29" s="58"/>
      <c r="B29" s="58"/>
      <c r="C29" s="5" t="s">
        <v>44</v>
      </c>
      <c r="D29" s="7">
        <f>MEDIAN(2,5,4,5,5,3,3,2.2,3,4)</f>
        <v>3.5</v>
      </c>
    </row>
    <row r="30" spans="1:4" x14ac:dyDescent="0.55000000000000004">
      <c r="A30" s="58"/>
      <c r="B30" s="58"/>
      <c r="C30" s="5" t="s">
        <v>45</v>
      </c>
      <c r="D30" s="2" t="s">
        <v>20</v>
      </c>
    </row>
    <row r="31" spans="1:4" x14ac:dyDescent="0.55000000000000004">
      <c r="A31" s="58"/>
      <c r="B31" s="58"/>
      <c r="C31" s="5" t="s">
        <v>46</v>
      </c>
      <c r="D31" s="2" t="s">
        <v>20</v>
      </c>
    </row>
    <row r="32" spans="1:4" x14ac:dyDescent="0.55000000000000004">
      <c r="A32" s="59" t="s">
        <v>47</v>
      </c>
      <c r="B32" s="59"/>
      <c r="C32" s="5"/>
    </row>
    <row r="33" spans="1:11" ht="51.9" x14ac:dyDescent="0.55000000000000004">
      <c r="A33" s="58"/>
      <c r="B33" s="58"/>
      <c r="C33" s="5" t="s">
        <v>48</v>
      </c>
      <c r="D33" s="2" t="s">
        <v>367</v>
      </c>
    </row>
    <row r="34" spans="1:11" x14ac:dyDescent="0.55000000000000004">
      <c r="A34" s="59" t="s">
        <v>50</v>
      </c>
      <c r="B34" s="59"/>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9"/>
      <c r="B36" s="5" t="s">
        <v>59</v>
      </c>
      <c r="C36" s="5"/>
    </row>
    <row r="37" spans="1:11" x14ac:dyDescent="0.55000000000000004">
      <c r="A37" s="59"/>
      <c r="B37" s="5"/>
    </row>
    <row r="38" spans="1:11" x14ac:dyDescent="0.55000000000000004">
      <c r="A38" s="59"/>
      <c r="B38" s="5"/>
    </row>
    <row r="39" spans="1:11" x14ac:dyDescent="0.55000000000000004">
      <c r="A39" s="59"/>
      <c r="B39" s="5"/>
    </row>
    <row r="40" spans="1:11" x14ac:dyDescent="0.55000000000000004">
      <c r="A40" s="59"/>
      <c r="B40" s="5"/>
    </row>
    <row r="41" spans="1:11" x14ac:dyDescent="0.55000000000000004">
      <c r="A41" s="59"/>
      <c r="B41" s="5"/>
    </row>
    <row r="42" spans="1:11" x14ac:dyDescent="0.55000000000000004">
      <c r="A42" s="59"/>
      <c r="B42" s="5"/>
    </row>
    <row r="43" spans="1:11" x14ac:dyDescent="0.55000000000000004">
      <c r="A43" s="59"/>
      <c r="B43" s="5"/>
      <c r="C43" s="5"/>
    </row>
    <row r="44" spans="1:11" x14ac:dyDescent="0.55000000000000004">
      <c r="A44" s="59"/>
      <c r="B44" s="5"/>
      <c r="C44" s="5"/>
    </row>
    <row r="45" spans="1:11" x14ac:dyDescent="0.55000000000000004">
      <c r="A45" s="59"/>
      <c r="B45" s="5" t="s">
        <v>61</v>
      </c>
      <c r="C45" s="5"/>
    </row>
    <row r="46" spans="1:11" x14ac:dyDescent="0.55000000000000004">
      <c r="A46" s="59"/>
      <c r="B46" s="5"/>
      <c r="C46" s="5" t="s">
        <v>368</v>
      </c>
      <c r="D46" s="7">
        <v>10</v>
      </c>
      <c r="E46" s="10">
        <v>3.72</v>
      </c>
    </row>
    <row r="47" spans="1:11" x14ac:dyDescent="0.55000000000000004">
      <c r="A47" s="59"/>
      <c r="B47" s="5"/>
      <c r="C47" s="5" t="s">
        <v>369</v>
      </c>
      <c r="D47" s="7">
        <v>3.25</v>
      </c>
      <c r="E47" s="10">
        <v>2.0499999999999998</v>
      </c>
    </row>
    <row r="48" spans="1:11" x14ac:dyDescent="0.55000000000000004">
      <c r="A48" s="59"/>
      <c r="B48" s="5"/>
      <c r="C48" s="5" t="s">
        <v>79</v>
      </c>
      <c r="D48" s="2">
        <v>0</v>
      </c>
    </row>
    <row r="49" spans="1:3" x14ac:dyDescent="0.55000000000000004">
      <c r="A49" s="59"/>
      <c r="B49" s="5"/>
    </row>
    <row r="50" spans="1:3" x14ac:dyDescent="0.55000000000000004">
      <c r="A50" s="59"/>
      <c r="B50" s="5"/>
    </row>
    <row r="51" spans="1:3" x14ac:dyDescent="0.55000000000000004">
      <c r="A51" s="59"/>
      <c r="B51" s="5"/>
    </row>
    <row r="52" spans="1:3" x14ac:dyDescent="0.55000000000000004">
      <c r="A52" s="59"/>
      <c r="B52" s="5"/>
    </row>
    <row r="53" spans="1:3" x14ac:dyDescent="0.55000000000000004">
      <c r="A53" s="59"/>
      <c r="B53" s="5"/>
    </row>
    <row r="54" spans="1:3" x14ac:dyDescent="0.55000000000000004">
      <c r="A54" s="59"/>
      <c r="B54" s="5"/>
    </row>
    <row r="55" spans="1:3" x14ac:dyDescent="0.55000000000000004">
      <c r="A55" s="59"/>
      <c r="B55" s="5"/>
    </row>
    <row r="56" spans="1:3" x14ac:dyDescent="0.55000000000000004">
      <c r="A56" s="59"/>
      <c r="B56" s="5"/>
    </row>
    <row r="57" spans="1:3" x14ac:dyDescent="0.55000000000000004">
      <c r="A57" s="59"/>
      <c r="B57" s="5"/>
    </row>
    <row r="58" spans="1:3" x14ac:dyDescent="0.55000000000000004">
      <c r="A58" s="59"/>
      <c r="B58" s="5"/>
    </row>
    <row r="59" spans="1:3" x14ac:dyDescent="0.55000000000000004">
      <c r="A59" s="59"/>
      <c r="B59" s="5"/>
      <c r="C59" s="5"/>
    </row>
    <row r="60" spans="1:3" x14ac:dyDescent="0.55000000000000004">
      <c r="A60" s="59"/>
      <c r="B60" s="5"/>
      <c r="C60" s="5"/>
    </row>
    <row r="61" spans="1:3" x14ac:dyDescent="0.55000000000000004">
      <c r="A61" s="59"/>
      <c r="B61" s="5"/>
      <c r="C61" s="5"/>
    </row>
    <row r="62" spans="1:3" x14ac:dyDescent="0.55000000000000004">
      <c r="A62" s="59"/>
      <c r="B62" s="5"/>
      <c r="C62" s="5"/>
    </row>
    <row r="63" spans="1:3" x14ac:dyDescent="0.55000000000000004">
      <c r="A63" s="59"/>
      <c r="B63" s="5"/>
      <c r="C63" s="5"/>
    </row>
    <row r="64" spans="1:3" x14ac:dyDescent="0.55000000000000004">
      <c r="A64" s="59"/>
      <c r="B64" s="5"/>
      <c r="C64" s="5"/>
    </row>
    <row r="65" spans="1:5" x14ac:dyDescent="0.55000000000000004">
      <c r="A65" s="59"/>
      <c r="B65" s="5" t="s">
        <v>62</v>
      </c>
      <c r="C65" s="5"/>
      <c r="D65" s="2">
        <f>6*30</f>
        <v>180</v>
      </c>
    </row>
    <row r="66" spans="1:5" x14ac:dyDescent="0.55000000000000004">
      <c r="A66" s="59"/>
      <c r="B66" s="5" t="s">
        <v>63</v>
      </c>
      <c r="C66" s="5"/>
      <c r="D66" s="2" t="s">
        <v>64</v>
      </c>
    </row>
    <row r="67" spans="1:5" x14ac:dyDescent="0.55000000000000004">
      <c r="A67" s="59" t="s">
        <v>65</v>
      </c>
      <c r="B67" s="59"/>
      <c r="C67" s="5"/>
    </row>
    <row r="68" spans="1:5" x14ac:dyDescent="0.55000000000000004">
      <c r="A68" s="3" t="s">
        <v>67</v>
      </c>
      <c r="D68" s="2" t="s">
        <v>20</v>
      </c>
    </row>
    <row r="69" spans="1:5" x14ac:dyDescent="0.55000000000000004">
      <c r="A69" s="1" t="s">
        <v>68</v>
      </c>
      <c r="C69" s="1">
        <v>12</v>
      </c>
      <c r="D69" s="2">
        <v>18</v>
      </c>
    </row>
    <row r="70" spans="1:5" x14ac:dyDescent="0.55000000000000004">
      <c r="B70" s="1" t="s">
        <v>354</v>
      </c>
    </row>
    <row r="71" spans="1:5" x14ac:dyDescent="0.55000000000000004">
      <c r="C71" s="5" t="s">
        <v>370</v>
      </c>
      <c r="D71" s="7">
        <v>69.400000000000006</v>
      </c>
      <c r="E71" s="10">
        <v>24.7</v>
      </c>
    </row>
    <row r="72" spans="1:5" x14ac:dyDescent="0.55000000000000004">
      <c r="C72" s="5" t="s">
        <v>370</v>
      </c>
      <c r="D72" s="7">
        <v>26.5</v>
      </c>
      <c r="E72" s="10">
        <v>17</v>
      </c>
    </row>
    <row r="73" spans="1:5" x14ac:dyDescent="0.55000000000000004">
      <c r="C73" s="5" t="s">
        <v>371</v>
      </c>
      <c r="D73" s="7">
        <v>103.3</v>
      </c>
      <c r="E73" s="10">
        <v>29.3</v>
      </c>
    </row>
    <row r="74" spans="1:5" x14ac:dyDescent="0.55000000000000004">
      <c r="C74" s="5" t="s">
        <v>371</v>
      </c>
      <c r="D74" s="7">
        <v>30.4</v>
      </c>
      <c r="E74" s="10">
        <v>20.100000000000001</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69"/>
  <sheetViews>
    <sheetView zoomScale="90" zoomScaleNormal="90" workbookViewId="0">
      <selection activeCell="E1" sqref="E1"/>
    </sheetView>
  </sheetViews>
  <sheetFormatPr baseColWidth="10" defaultColWidth="11.41796875" defaultRowHeight="14.4" x14ac:dyDescent="0.55000000000000004"/>
  <cols>
    <col min="1" max="1" width="8.83984375" style="1" customWidth="1"/>
    <col min="2" max="2" width="15.41796875" style="1" customWidth="1"/>
    <col min="3" max="3" width="37.83984375" style="1" customWidth="1"/>
    <col min="4" max="4" width="43.41796875" style="2" customWidth="1"/>
    <col min="5" max="5" width="11.41796875" style="1"/>
    <col min="6" max="6" width="12.41796875" style="1" customWidth="1"/>
    <col min="7" max="7" width="16.41796875" style="1" customWidth="1"/>
    <col min="8" max="8" width="4.41796875" style="1" customWidth="1"/>
    <col min="9" max="1024" width="11.41796875" style="1"/>
  </cols>
  <sheetData>
    <row r="1" spans="1:5" x14ac:dyDescent="0.55000000000000004">
      <c r="A1" s="3" t="s">
        <v>0</v>
      </c>
      <c r="D1" s="2" t="s">
        <v>69</v>
      </c>
    </row>
    <row r="2" spans="1:5" x14ac:dyDescent="0.55000000000000004">
      <c r="A2" s="58" t="s">
        <v>2</v>
      </c>
      <c r="B2" s="58"/>
      <c r="D2" s="1" t="s">
        <v>70</v>
      </c>
    </row>
    <row r="3" spans="1:5" x14ac:dyDescent="0.55000000000000004">
      <c r="A3" s="58"/>
      <c r="B3" s="58"/>
      <c r="C3" s="5" t="s">
        <v>4</v>
      </c>
      <c r="D3" s="1" t="s">
        <v>71</v>
      </c>
    </row>
    <row r="4" spans="1:5" x14ac:dyDescent="0.55000000000000004">
      <c r="A4" s="58"/>
      <c r="B4" s="58"/>
      <c r="C4" s="5" t="s">
        <v>6</v>
      </c>
      <c r="D4" s="2">
        <v>1992</v>
      </c>
    </row>
    <row r="5" spans="1:5" x14ac:dyDescent="0.55000000000000004">
      <c r="A5" s="58"/>
      <c r="B5" s="58"/>
      <c r="C5" s="5" t="s">
        <v>7</v>
      </c>
      <c r="D5" s="2" t="s">
        <v>72</v>
      </c>
    </row>
    <row r="6" spans="1:5" s="1" customFormat="1" ht="12.9" x14ac:dyDescent="0.5">
      <c r="A6" s="58"/>
      <c r="B6" s="58"/>
      <c r="C6" s="5" t="s">
        <v>9</v>
      </c>
    </row>
    <row r="7" spans="1:5" x14ac:dyDescent="0.55000000000000004">
      <c r="A7" s="58"/>
      <c r="B7" s="58"/>
      <c r="C7" s="5" t="s">
        <v>11</v>
      </c>
      <c r="D7" s="2" t="s">
        <v>12</v>
      </c>
    </row>
    <row r="8" spans="1:5" ht="26.1" x14ac:dyDescent="0.55000000000000004">
      <c r="A8" s="59" t="s">
        <v>13</v>
      </c>
      <c r="B8" s="59"/>
      <c r="C8" s="5"/>
      <c r="D8" s="2" t="s">
        <v>70</v>
      </c>
    </row>
    <row r="9" spans="1:5" ht="26.1" x14ac:dyDescent="0.55000000000000004">
      <c r="A9" s="58"/>
      <c r="B9" s="58"/>
      <c r="C9" s="5" t="s">
        <v>14</v>
      </c>
      <c r="D9" s="2" t="s">
        <v>73</v>
      </c>
    </row>
    <row r="10" spans="1:5" x14ac:dyDescent="0.55000000000000004">
      <c r="A10" s="58"/>
      <c r="B10" s="58"/>
      <c r="C10" s="5" t="s">
        <v>16</v>
      </c>
      <c r="D10" s="2" t="s">
        <v>17</v>
      </c>
      <c r="E10" s="1" t="s">
        <v>18</v>
      </c>
    </row>
    <row r="11" spans="1:5" x14ac:dyDescent="0.55000000000000004">
      <c r="A11" s="58"/>
      <c r="B11" s="58"/>
      <c r="C11" s="5" t="s">
        <v>19</v>
      </c>
      <c r="D11" s="2" t="s">
        <v>20</v>
      </c>
    </row>
    <row r="12" spans="1:5" x14ac:dyDescent="0.55000000000000004">
      <c r="A12" s="58"/>
      <c r="B12" s="58"/>
      <c r="C12" s="5" t="s">
        <v>21</v>
      </c>
      <c r="D12" s="2" t="s">
        <v>20</v>
      </c>
    </row>
    <row r="13" spans="1:5" x14ac:dyDescent="0.55000000000000004">
      <c r="A13" s="58"/>
      <c r="B13" s="58"/>
      <c r="C13" s="5" t="s">
        <v>22</v>
      </c>
      <c r="D13" s="2" t="s">
        <v>23</v>
      </c>
    </row>
    <row r="14" spans="1:5" x14ac:dyDescent="0.55000000000000004">
      <c r="A14" s="59" t="s">
        <v>24</v>
      </c>
      <c r="B14" s="59"/>
      <c r="C14" s="5"/>
    </row>
    <row r="15" spans="1:5" x14ac:dyDescent="0.55000000000000004">
      <c r="A15" s="58"/>
      <c r="B15" s="58"/>
      <c r="C15" s="5" t="s">
        <v>25</v>
      </c>
      <c r="D15" s="2" t="s">
        <v>74</v>
      </c>
    </row>
    <row r="16" spans="1:5" x14ac:dyDescent="0.55000000000000004">
      <c r="A16" s="58"/>
      <c r="B16" s="58"/>
      <c r="C16" s="5" t="s">
        <v>27</v>
      </c>
      <c r="D16" s="2" t="s">
        <v>75</v>
      </c>
    </row>
    <row r="17" spans="1:4" x14ac:dyDescent="0.55000000000000004">
      <c r="A17" s="59" t="s">
        <v>29</v>
      </c>
      <c r="B17" s="59"/>
      <c r="C17" s="5"/>
    </row>
    <row r="18" spans="1:4" x14ac:dyDescent="0.55000000000000004">
      <c r="A18" s="58"/>
      <c r="B18" s="58"/>
      <c r="C18" s="5" t="s">
        <v>30</v>
      </c>
      <c r="D18" s="2" t="s">
        <v>31</v>
      </c>
    </row>
    <row r="19" spans="1:4" x14ac:dyDescent="0.55000000000000004">
      <c r="A19" s="58"/>
      <c r="B19" s="58"/>
      <c r="C19" s="5" t="s">
        <v>32</v>
      </c>
      <c r="D19" s="2" t="s">
        <v>20</v>
      </c>
    </row>
    <row r="20" spans="1:4" x14ac:dyDescent="0.55000000000000004">
      <c r="A20" s="59" t="s">
        <v>34</v>
      </c>
      <c r="B20" s="59"/>
      <c r="C20" s="5"/>
      <c r="D20" s="2" t="s">
        <v>35</v>
      </c>
    </row>
    <row r="21" spans="1:4" x14ac:dyDescent="0.55000000000000004">
      <c r="A21" s="58"/>
      <c r="B21" s="58"/>
      <c r="C21" s="5" t="s">
        <v>36</v>
      </c>
      <c r="D21" s="2">
        <v>45</v>
      </c>
    </row>
    <row r="22" spans="1:4" x14ac:dyDescent="0.55000000000000004">
      <c r="A22" s="58"/>
      <c r="B22" s="58"/>
      <c r="C22" s="5" t="s">
        <v>37</v>
      </c>
      <c r="D22" s="2">
        <v>45</v>
      </c>
    </row>
    <row r="23" spans="1:4" x14ac:dyDescent="0.55000000000000004">
      <c r="A23" s="58"/>
      <c r="B23" s="58"/>
      <c r="C23" s="5" t="s">
        <v>38</v>
      </c>
      <c r="D23" s="2">
        <v>45</v>
      </c>
    </row>
    <row r="24" spans="1:4" x14ac:dyDescent="0.55000000000000004">
      <c r="A24" s="58"/>
      <c r="B24" s="58"/>
      <c r="C24" s="5" t="s">
        <v>39</v>
      </c>
      <c r="D24" s="2">
        <v>0</v>
      </c>
    </row>
    <row r="25" spans="1:4" x14ac:dyDescent="0.55000000000000004">
      <c r="A25" s="58"/>
      <c r="B25" s="58"/>
      <c r="C25" s="5" t="s">
        <v>40</v>
      </c>
      <c r="D25" s="7">
        <f>20/45</f>
        <v>0.44444444444444442</v>
      </c>
    </row>
    <row r="26" spans="1:4" x14ac:dyDescent="0.55000000000000004">
      <c r="A26" s="58"/>
      <c r="B26" s="58"/>
      <c r="C26" s="5" t="s">
        <v>41</v>
      </c>
      <c r="D26" s="2">
        <v>69</v>
      </c>
    </row>
    <row r="27" spans="1:4" x14ac:dyDescent="0.55000000000000004">
      <c r="A27" s="58"/>
      <c r="B27" s="58"/>
      <c r="C27" s="5" t="s">
        <v>42</v>
      </c>
      <c r="D27" s="2">
        <v>9.6</v>
      </c>
    </row>
    <row r="28" spans="1:4" x14ac:dyDescent="0.55000000000000004">
      <c r="A28" s="58"/>
      <c r="B28" s="58"/>
      <c r="C28" s="5" t="s">
        <v>43</v>
      </c>
      <c r="D28" s="2" t="s">
        <v>20</v>
      </c>
    </row>
    <row r="29" spans="1:4" x14ac:dyDescent="0.55000000000000004">
      <c r="A29" s="58"/>
      <c r="B29" s="58"/>
      <c r="C29" s="5" t="s">
        <v>44</v>
      </c>
      <c r="D29" s="2">
        <v>3</v>
      </c>
    </row>
    <row r="30" spans="1:4" x14ac:dyDescent="0.55000000000000004">
      <c r="A30" s="58"/>
      <c r="B30" s="58"/>
      <c r="C30" s="5" t="s">
        <v>45</v>
      </c>
      <c r="D30" s="2" t="s">
        <v>20</v>
      </c>
    </row>
    <row r="31" spans="1:4" x14ac:dyDescent="0.55000000000000004">
      <c r="A31" s="58"/>
      <c r="B31" s="58"/>
      <c r="C31" s="5" t="s">
        <v>46</v>
      </c>
      <c r="D31" s="2" t="s">
        <v>20</v>
      </c>
    </row>
    <row r="32" spans="1:4" x14ac:dyDescent="0.55000000000000004">
      <c r="A32" s="59" t="s">
        <v>47</v>
      </c>
      <c r="B32" s="59"/>
      <c r="C32" s="5"/>
    </row>
    <row r="33" spans="1:11" ht="51.9" x14ac:dyDescent="0.55000000000000004">
      <c r="A33" s="58"/>
      <c r="B33" s="58"/>
      <c r="C33" s="5" t="s">
        <v>48</v>
      </c>
      <c r="D33" s="2" t="s">
        <v>76</v>
      </c>
    </row>
    <row r="34" spans="1:11" x14ac:dyDescent="0.55000000000000004">
      <c r="A34" s="59" t="s">
        <v>50</v>
      </c>
      <c r="B34" s="59"/>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9"/>
      <c r="B36" s="5" t="s">
        <v>59</v>
      </c>
      <c r="C36" s="5"/>
    </row>
    <row r="37" spans="1:11" x14ac:dyDescent="0.55000000000000004">
      <c r="A37" s="59"/>
      <c r="B37" s="5"/>
      <c r="C37" s="5" t="s">
        <v>77</v>
      </c>
      <c r="D37" s="2">
        <v>3.7</v>
      </c>
      <c r="E37" s="1">
        <v>3.3</v>
      </c>
    </row>
    <row r="38" spans="1:11" x14ac:dyDescent="0.55000000000000004">
      <c r="A38" s="59"/>
      <c r="B38" s="5"/>
      <c r="C38" s="5" t="s">
        <v>78</v>
      </c>
      <c r="D38" s="2">
        <v>2.7</v>
      </c>
      <c r="E38" s="1">
        <v>2.7</v>
      </c>
    </row>
    <row r="39" spans="1:11" x14ac:dyDescent="0.55000000000000004">
      <c r="A39" s="59"/>
      <c r="B39" s="5"/>
      <c r="C39" s="5"/>
    </row>
    <row r="40" spans="1:11" x14ac:dyDescent="0.55000000000000004">
      <c r="A40" s="59"/>
      <c r="B40" s="5"/>
      <c r="C40" s="5"/>
    </row>
    <row r="41" spans="1:11" x14ac:dyDescent="0.55000000000000004">
      <c r="A41" s="59"/>
      <c r="B41" s="5"/>
    </row>
    <row r="42" spans="1:11" x14ac:dyDescent="0.55000000000000004">
      <c r="A42" s="59"/>
      <c r="B42" s="5"/>
    </row>
    <row r="43" spans="1:11" x14ac:dyDescent="0.55000000000000004">
      <c r="A43" s="59"/>
      <c r="B43" s="5"/>
    </row>
    <row r="44" spans="1:11" x14ac:dyDescent="0.55000000000000004">
      <c r="A44" s="59"/>
      <c r="B44" s="5"/>
    </row>
    <row r="45" spans="1:11" x14ac:dyDescent="0.55000000000000004">
      <c r="A45" s="59"/>
      <c r="B45" s="5" t="s">
        <v>61</v>
      </c>
      <c r="C45" s="5"/>
    </row>
    <row r="46" spans="1:11" x14ac:dyDescent="0.55000000000000004">
      <c r="A46" s="59"/>
      <c r="B46" s="5"/>
      <c r="C46" s="5" t="s">
        <v>79</v>
      </c>
      <c r="D46" s="2">
        <v>1</v>
      </c>
    </row>
    <row r="47" spans="1:11" x14ac:dyDescent="0.55000000000000004">
      <c r="A47" s="59"/>
      <c r="B47" s="5"/>
      <c r="C47" s="5"/>
    </row>
    <row r="48" spans="1:11" x14ac:dyDescent="0.55000000000000004">
      <c r="A48" s="59"/>
      <c r="B48" s="5"/>
      <c r="C48" s="5"/>
    </row>
    <row r="49" spans="1:3" x14ac:dyDescent="0.55000000000000004">
      <c r="A49" s="59"/>
      <c r="B49" s="5"/>
      <c r="C49" s="5"/>
    </row>
    <row r="50" spans="1:3" x14ac:dyDescent="0.55000000000000004">
      <c r="A50" s="59"/>
      <c r="B50" s="5"/>
      <c r="C50" s="5"/>
    </row>
    <row r="51" spans="1:3" x14ac:dyDescent="0.55000000000000004">
      <c r="A51" s="59"/>
      <c r="B51" s="5"/>
      <c r="C51" s="5"/>
    </row>
    <row r="52" spans="1:3" x14ac:dyDescent="0.55000000000000004">
      <c r="A52" s="59"/>
      <c r="B52" s="5"/>
      <c r="C52" s="5"/>
    </row>
    <row r="53" spans="1:3" x14ac:dyDescent="0.55000000000000004">
      <c r="A53" s="59"/>
      <c r="B53" s="5"/>
      <c r="C53" s="5"/>
    </row>
    <row r="54" spans="1:3" x14ac:dyDescent="0.55000000000000004">
      <c r="A54" s="59"/>
      <c r="B54" s="5"/>
      <c r="C54" s="5"/>
    </row>
    <row r="55" spans="1:3" x14ac:dyDescent="0.55000000000000004">
      <c r="A55" s="59"/>
      <c r="B55" s="5"/>
      <c r="C55" s="5"/>
    </row>
    <row r="56" spans="1:3" x14ac:dyDescent="0.55000000000000004">
      <c r="A56" s="59"/>
      <c r="B56" s="5"/>
      <c r="C56" s="5"/>
    </row>
    <row r="57" spans="1:3" x14ac:dyDescent="0.55000000000000004">
      <c r="A57" s="59"/>
      <c r="B57" s="5"/>
      <c r="C57" s="5"/>
    </row>
    <row r="58" spans="1:3" x14ac:dyDescent="0.55000000000000004">
      <c r="A58" s="59"/>
      <c r="B58" s="5"/>
      <c r="C58" s="5"/>
    </row>
    <row r="59" spans="1:3" x14ac:dyDescent="0.55000000000000004">
      <c r="A59" s="59"/>
      <c r="B59" s="5"/>
      <c r="C59" s="5"/>
    </row>
    <row r="60" spans="1:3" x14ac:dyDescent="0.55000000000000004">
      <c r="A60" s="59"/>
      <c r="B60" s="5"/>
      <c r="C60" s="5"/>
    </row>
    <row r="61" spans="1:3" x14ac:dyDescent="0.55000000000000004">
      <c r="A61" s="59"/>
      <c r="B61" s="5"/>
      <c r="C61" s="5"/>
    </row>
    <row r="62" spans="1:3" x14ac:dyDescent="0.55000000000000004">
      <c r="A62" s="59"/>
      <c r="B62" s="5"/>
      <c r="C62" s="5"/>
    </row>
    <row r="63" spans="1:3" x14ac:dyDescent="0.55000000000000004">
      <c r="A63" s="59"/>
      <c r="B63" s="5"/>
      <c r="C63" s="5"/>
    </row>
    <row r="64" spans="1:3" x14ac:dyDescent="0.55000000000000004">
      <c r="A64" s="59"/>
      <c r="B64" s="5"/>
      <c r="C64" s="5"/>
    </row>
    <row r="65" spans="1:4" x14ac:dyDescent="0.55000000000000004">
      <c r="A65" s="59"/>
      <c r="B65" s="5" t="s">
        <v>62</v>
      </c>
      <c r="D65" s="5">
        <f>52*7</f>
        <v>364</v>
      </c>
    </row>
    <row r="66" spans="1:4" x14ac:dyDescent="0.55000000000000004">
      <c r="A66" s="59"/>
      <c r="B66" s="5" t="s">
        <v>63</v>
      </c>
      <c r="D66" s="5" t="s">
        <v>20</v>
      </c>
    </row>
    <row r="67" spans="1:4" x14ac:dyDescent="0.55000000000000004">
      <c r="A67" s="59" t="s">
        <v>65</v>
      </c>
      <c r="B67" s="59"/>
      <c r="C67" s="5"/>
    </row>
    <row r="68" spans="1:4" x14ac:dyDescent="0.55000000000000004">
      <c r="A68" s="3" t="s">
        <v>67</v>
      </c>
    </row>
    <row r="69" spans="1:4" x14ac:dyDescent="0.55000000000000004">
      <c r="A69" s="1" t="s">
        <v>68</v>
      </c>
      <c r="C69" s="1">
        <v>12</v>
      </c>
      <c r="D69" s="2">
        <v>22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J69"/>
  <sheetViews>
    <sheetView topLeftCell="A19" zoomScale="90" zoomScaleNormal="90" workbookViewId="0">
      <selection activeCell="E37" sqref="E37"/>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6.41796875" style="1" customWidth="1"/>
    <col min="6" max="6" width="5.15625" style="1" customWidth="1"/>
    <col min="7" max="1024" width="11.41796875" style="1"/>
  </cols>
  <sheetData>
    <row r="1" spans="1:4" x14ac:dyDescent="0.55000000000000004">
      <c r="A1" s="3" t="s">
        <v>0</v>
      </c>
      <c r="D1" s="2" t="s">
        <v>372</v>
      </c>
    </row>
    <row r="2" spans="1:4" x14ac:dyDescent="0.55000000000000004">
      <c r="A2" s="58" t="s">
        <v>2</v>
      </c>
      <c r="B2" s="58"/>
      <c r="D2" s="1" t="s">
        <v>373</v>
      </c>
    </row>
    <row r="3" spans="1:4" x14ac:dyDescent="0.55000000000000004">
      <c r="A3" s="58"/>
      <c r="B3" s="58"/>
      <c r="C3" s="5" t="s">
        <v>4</v>
      </c>
      <c r="D3" s="2" t="s">
        <v>374</v>
      </c>
    </row>
    <row r="4" spans="1:4" x14ac:dyDescent="0.55000000000000004">
      <c r="A4" s="58"/>
      <c r="B4" s="58"/>
      <c r="C4" s="5" t="s">
        <v>6</v>
      </c>
      <c r="D4" s="2">
        <v>2013</v>
      </c>
    </row>
    <row r="5" spans="1:4" ht="26.1" x14ac:dyDescent="0.55000000000000004">
      <c r="A5" s="58"/>
      <c r="B5" s="58"/>
      <c r="C5" s="5" t="s">
        <v>7</v>
      </c>
      <c r="D5" s="2" t="s">
        <v>375</v>
      </c>
    </row>
    <row r="6" spans="1:4" x14ac:dyDescent="0.55000000000000004">
      <c r="A6" s="58"/>
      <c r="B6" s="58"/>
      <c r="C6" s="5" t="s">
        <v>9</v>
      </c>
      <c r="D6" s="2" t="s">
        <v>376</v>
      </c>
    </row>
    <row r="7" spans="1:4" x14ac:dyDescent="0.55000000000000004">
      <c r="A7" s="58"/>
      <c r="B7" s="58"/>
      <c r="C7" s="5" t="s">
        <v>11</v>
      </c>
      <c r="D7" s="2" t="s">
        <v>12</v>
      </c>
    </row>
    <row r="8" spans="1:4" x14ac:dyDescent="0.55000000000000004">
      <c r="A8" s="59" t="s">
        <v>13</v>
      </c>
      <c r="B8" s="59"/>
      <c r="C8" s="5"/>
    </row>
    <row r="9" spans="1:4" ht="26.1" x14ac:dyDescent="0.55000000000000004">
      <c r="A9" s="58"/>
      <c r="B9" s="58"/>
      <c r="C9" s="5" t="s">
        <v>14</v>
      </c>
      <c r="D9" s="2" t="s">
        <v>377</v>
      </c>
    </row>
    <row r="10" spans="1:4" x14ac:dyDescent="0.55000000000000004">
      <c r="A10" s="58"/>
      <c r="B10" s="58"/>
      <c r="C10" s="5" t="s">
        <v>16</v>
      </c>
      <c r="D10" s="2" t="s">
        <v>86</v>
      </c>
    </row>
    <row r="11" spans="1:4" x14ac:dyDescent="0.55000000000000004">
      <c r="A11" s="58"/>
      <c r="B11" s="58"/>
      <c r="C11" s="5" t="s">
        <v>19</v>
      </c>
    </row>
    <row r="12" spans="1:4" x14ac:dyDescent="0.55000000000000004">
      <c r="A12" s="58"/>
      <c r="B12" s="58"/>
      <c r="C12" s="5" t="s">
        <v>21</v>
      </c>
    </row>
    <row r="13" spans="1:4" ht="26.1" x14ac:dyDescent="0.55000000000000004">
      <c r="A13" s="58"/>
      <c r="B13" s="58"/>
      <c r="C13" s="5" t="s">
        <v>22</v>
      </c>
      <c r="D13" s="2" t="s">
        <v>378</v>
      </c>
    </row>
    <row r="14" spans="1:4" x14ac:dyDescent="0.55000000000000004">
      <c r="A14" s="59" t="s">
        <v>24</v>
      </c>
      <c r="B14" s="59"/>
      <c r="C14" s="5"/>
    </row>
    <row r="15" spans="1:4" x14ac:dyDescent="0.55000000000000004">
      <c r="A15" s="58"/>
      <c r="B15" s="58"/>
      <c r="C15" s="5" t="s">
        <v>25</v>
      </c>
      <c r="D15" s="2" t="s">
        <v>379</v>
      </c>
    </row>
    <row r="16" spans="1:4" x14ac:dyDescent="0.55000000000000004">
      <c r="A16" s="58"/>
      <c r="B16" s="58"/>
      <c r="C16" s="5" t="s">
        <v>27</v>
      </c>
      <c r="D16" s="2" t="s">
        <v>380</v>
      </c>
    </row>
    <row r="17" spans="1:6" x14ac:dyDescent="0.55000000000000004">
      <c r="A17" s="59" t="s">
        <v>29</v>
      </c>
      <c r="B17" s="59"/>
      <c r="C17" s="5"/>
    </row>
    <row r="18" spans="1:6" ht="51.9" x14ac:dyDescent="0.55000000000000004">
      <c r="A18" s="58"/>
      <c r="B18" s="58"/>
      <c r="C18" s="5" t="s">
        <v>30</v>
      </c>
      <c r="D18" s="2" t="s">
        <v>381</v>
      </c>
    </row>
    <row r="19" spans="1:6" x14ac:dyDescent="0.55000000000000004">
      <c r="A19" s="58"/>
      <c r="B19" s="58"/>
      <c r="C19" s="5" t="s">
        <v>32</v>
      </c>
      <c r="D19" s="2" t="s">
        <v>382</v>
      </c>
    </row>
    <row r="20" spans="1:6" x14ac:dyDescent="0.55000000000000004">
      <c r="A20" s="59" t="s">
        <v>34</v>
      </c>
      <c r="B20" s="59"/>
      <c r="C20" s="5"/>
      <c r="D20" s="2" t="s">
        <v>383</v>
      </c>
      <c r="E20" s="1" t="s">
        <v>384</v>
      </c>
      <c r="F20" s="1" t="s">
        <v>35</v>
      </c>
    </row>
    <row r="21" spans="1:6" x14ac:dyDescent="0.55000000000000004">
      <c r="A21" s="58"/>
      <c r="B21" s="58"/>
      <c r="C21" s="5" t="s">
        <v>36</v>
      </c>
      <c r="F21" s="1">
        <v>186</v>
      </c>
    </row>
    <row r="22" spans="1:6" x14ac:dyDescent="0.55000000000000004">
      <c r="A22" s="58"/>
      <c r="B22" s="58"/>
      <c r="C22" s="5" t="s">
        <v>37</v>
      </c>
      <c r="D22" s="2">
        <v>65</v>
      </c>
      <c r="E22" s="1">
        <v>65</v>
      </c>
      <c r="F22" s="1">
        <f>SUM(D22:E22)</f>
        <v>130</v>
      </c>
    </row>
    <row r="23" spans="1:6" x14ac:dyDescent="0.55000000000000004">
      <c r="A23" s="58"/>
      <c r="B23" s="58"/>
      <c r="C23" s="5" t="s">
        <v>38</v>
      </c>
      <c r="D23" s="2">
        <v>65</v>
      </c>
      <c r="E23" s="1">
        <v>65</v>
      </c>
      <c r="F23" s="1">
        <v>130</v>
      </c>
    </row>
    <row r="24" spans="1:6" x14ac:dyDescent="0.55000000000000004">
      <c r="A24" s="58"/>
      <c r="B24" s="58"/>
      <c r="C24" s="5" t="s">
        <v>39</v>
      </c>
      <c r="D24" s="2">
        <v>0</v>
      </c>
      <c r="E24" s="1">
        <v>0</v>
      </c>
      <c r="F24" s="1">
        <v>0</v>
      </c>
    </row>
    <row r="25" spans="1:6" x14ac:dyDescent="0.55000000000000004">
      <c r="A25" s="58"/>
      <c r="B25" s="58"/>
      <c r="C25" s="5" t="s">
        <v>40</v>
      </c>
    </row>
    <row r="26" spans="1:6" x14ac:dyDescent="0.55000000000000004">
      <c r="A26" s="58"/>
      <c r="B26" s="58"/>
      <c r="C26" s="5" t="s">
        <v>41</v>
      </c>
      <c r="D26" s="7">
        <v>71.14</v>
      </c>
      <c r="E26" s="10">
        <v>68.52</v>
      </c>
      <c r="F26" s="10">
        <f>(D26*D22+E26*E22)/F22</f>
        <v>69.830000000000013</v>
      </c>
    </row>
    <row r="27" spans="1:6" x14ac:dyDescent="0.55000000000000004">
      <c r="A27" s="58"/>
      <c r="B27" s="58"/>
      <c r="C27" s="5" t="s">
        <v>42</v>
      </c>
      <c r="D27" s="7">
        <v>7.8</v>
      </c>
      <c r="E27" s="10">
        <v>8.6</v>
      </c>
      <c r="F27" s="10">
        <f>SQRT((D23*(D27^2+(D26-F$26)^2)+E23*(E27^2+(E26-F$26)^2))/(D23+E23))</f>
        <v>8.3136093244751397</v>
      </c>
    </row>
    <row r="28" spans="1:6" x14ac:dyDescent="0.55000000000000004">
      <c r="A28" s="58"/>
      <c r="B28" s="58"/>
      <c r="C28" s="5" t="s">
        <v>43</v>
      </c>
    </row>
    <row r="29" spans="1:6" x14ac:dyDescent="0.55000000000000004">
      <c r="A29" s="58"/>
      <c r="B29" s="58"/>
      <c r="C29" s="5" t="s">
        <v>44</v>
      </c>
      <c r="D29" s="2">
        <v>3</v>
      </c>
      <c r="E29" s="1">
        <v>3</v>
      </c>
      <c r="F29" s="1">
        <v>3</v>
      </c>
    </row>
    <row r="30" spans="1:6" x14ac:dyDescent="0.55000000000000004">
      <c r="A30" s="58"/>
      <c r="B30" s="58"/>
      <c r="C30" s="5" t="s">
        <v>45</v>
      </c>
      <c r="D30" s="7">
        <v>18.350000000000001</v>
      </c>
      <c r="E30" s="10">
        <v>18.23</v>
      </c>
      <c r="F30" s="10">
        <f>(D30*D23+E30*E23)/F23</f>
        <v>18.29</v>
      </c>
    </row>
    <row r="31" spans="1:6" x14ac:dyDescent="0.55000000000000004">
      <c r="A31" s="58"/>
      <c r="B31" s="58"/>
      <c r="C31" s="5" t="s">
        <v>46</v>
      </c>
      <c r="D31" s="7">
        <v>7.7</v>
      </c>
      <c r="E31" s="10">
        <v>6</v>
      </c>
      <c r="F31" s="10">
        <f>SQRT((D23*(D31^2+(D30-F$30)^2)+E23*(E31^2+(E30-F$30)^2))/(D23+E23))</f>
        <v>6.9027965347386564</v>
      </c>
    </row>
    <row r="32" spans="1:6" x14ac:dyDescent="0.55000000000000004">
      <c r="A32" s="59" t="s">
        <v>47</v>
      </c>
      <c r="B32" s="59"/>
      <c r="C32" s="5"/>
    </row>
    <row r="33" spans="1:11" ht="90.6" x14ac:dyDescent="0.55000000000000004">
      <c r="A33" s="58"/>
      <c r="B33" s="58"/>
      <c r="C33" s="5" t="s">
        <v>48</v>
      </c>
      <c r="D33" s="2" t="s">
        <v>385</v>
      </c>
    </row>
    <row r="34" spans="1:11" x14ac:dyDescent="0.55000000000000004">
      <c r="A34" s="59" t="s">
        <v>50</v>
      </c>
      <c r="B34" s="59"/>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9"/>
      <c r="B36" s="5" t="s">
        <v>59</v>
      </c>
      <c r="C36" s="5"/>
    </row>
    <row r="37" spans="1:11" x14ac:dyDescent="0.55000000000000004">
      <c r="A37" s="59"/>
      <c r="B37" s="5"/>
      <c r="C37" s="5" t="s">
        <v>386</v>
      </c>
      <c r="D37" s="2">
        <v>1.95</v>
      </c>
      <c r="J37" s="1">
        <v>1.1000000000000001</v>
      </c>
    </row>
    <row r="38" spans="1:11" x14ac:dyDescent="0.55000000000000004">
      <c r="A38" s="59"/>
      <c r="B38" s="5"/>
      <c r="C38" s="5" t="s">
        <v>387</v>
      </c>
      <c r="D38" s="2">
        <v>1.65</v>
      </c>
    </row>
    <row r="39" spans="1:11" x14ac:dyDescent="0.55000000000000004">
      <c r="A39" s="59"/>
      <c r="B39" s="5"/>
      <c r="C39" s="5"/>
    </row>
    <row r="40" spans="1:11" x14ac:dyDescent="0.55000000000000004">
      <c r="A40" s="59"/>
      <c r="B40" s="5"/>
      <c r="C40" s="5"/>
    </row>
    <row r="41" spans="1:11" x14ac:dyDescent="0.55000000000000004">
      <c r="A41" s="59"/>
      <c r="B41" s="5"/>
      <c r="C41" s="5"/>
    </row>
    <row r="42" spans="1:11" x14ac:dyDescent="0.55000000000000004">
      <c r="A42" s="59"/>
      <c r="B42" s="5"/>
      <c r="C42" s="5"/>
    </row>
    <row r="43" spans="1:11" x14ac:dyDescent="0.55000000000000004">
      <c r="A43" s="59"/>
      <c r="B43" s="5"/>
      <c r="C43" s="5"/>
    </row>
    <row r="44" spans="1:11" x14ac:dyDescent="0.55000000000000004">
      <c r="A44" s="59"/>
      <c r="B44" s="5"/>
      <c r="C44" s="5"/>
    </row>
    <row r="45" spans="1:11" x14ac:dyDescent="0.55000000000000004">
      <c r="A45" s="59"/>
      <c r="B45" s="5" t="s">
        <v>61</v>
      </c>
      <c r="C45" s="5"/>
    </row>
    <row r="46" spans="1:11" x14ac:dyDescent="0.55000000000000004">
      <c r="A46" s="59"/>
      <c r="B46" s="5"/>
      <c r="C46" s="5"/>
    </row>
    <row r="47" spans="1:11" x14ac:dyDescent="0.55000000000000004">
      <c r="A47" s="59"/>
      <c r="B47" s="5"/>
      <c r="C47" s="5"/>
    </row>
    <row r="48" spans="1:11" x14ac:dyDescent="0.55000000000000004">
      <c r="A48" s="59"/>
      <c r="B48" s="5"/>
      <c r="C48" s="5"/>
    </row>
    <row r="49" spans="1:3" x14ac:dyDescent="0.55000000000000004">
      <c r="A49" s="59"/>
      <c r="B49" s="5"/>
      <c r="C49" s="5"/>
    </row>
    <row r="50" spans="1:3" x14ac:dyDescent="0.55000000000000004">
      <c r="A50" s="59"/>
      <c r="B50" s="5"/>
      <c r="C50" s="5"/>
    </row>
    <row r="51" spans="1:3" x14ac:dyDescent="0.55000000000000004">
      <c r="A51" s="59"/>
      <c r="B51" s="5"/>
      <c r="C51" s="5"/>
    </row>
    <row r="52" spans="1:3" x14ac:dyDescent="0.55000000000000004">
      <c r="A52" s="59"/>
      <c r="B52" s="5"/>
      <c r="C52" s="5"/>
    </row>
    <row r="53" spans="1:3" x14ac:dyDescent="0.55000000000000004">
      <c r="A53" s="59"/>
      <c r="B53" s="5"/>
      <c r="C53" s="5"/>
    </row>
    <row r="54" spans="1:3" x14ac:dyDescent="0.55000000000000004">
      <c r="A54" s="59"/>
      <c r="B54" s="5"/>
      <c r="C54" s="5"/>
    </row>
    <row r="55" spans="1:3" x14ac:dyDescent="0.55000000000000004">
      <c r="A55" s="59"/>
      <c r="B55" s="5"/>
      <c r="C55" s="5"/>
    </row>
    <row r="56" spans="1:3" x14ac:dyDescent="0.55000000000000004">
      <c r="A56" s="59"/>
      <c r="B56" s="5"/>
      <c r="C56" s="5"/>
    </row>
    <row r="57" spans="1:3" x14ac:dyDescent="0.55000000000000004">
      <c r="A57" s="59"/>
      <c r="B57" s="5"/>
      <c r="C57" s="5"/>
    </row>
    <row r="58" spans="1:3" x14ac:dyDescent="0.55000000000000004">
      <c r="A58" s="59"/>
      <c r="B58" s="5"/>
      <c r="C58" s="5"/>
    </row>
    <row r="59" spans="1:3" x14ac:dyDescent="0.55000000000000004">
      <c r="A59" s="59"/>
      <c r="B59" s="5"/>
      <c r="C59" s="5"/>
    </row>
    <row r="60" spans="1:3" x14ac:dyDescent="0.55000000000000004">
      <c r="A60" s="59"/>
      <c r="B60" s="5"/>
      <c r="C60" s="5"/>
    </row>
    <row r="61" spans="1:3" x14ac:dyDescent="0.55000000000000004">
      <c r="A61" s="59"/>
      <c r="B61" s="5"/>
      <c r="C61" s="5"/>
    </row>
    <row r="62" spans="1:3" x14ac:dyDescent="0.55000000000000004">
      <c r="A62" s="59"/>
      <c r="B62" s="5"/>
      <c r="C62" s="5"/>
    </row>
    <row r="63" spans="1:3" x14ac:dyDescent="0.55000000000000004">
      <c r="A63" s="59"/>
      <c r="B63" s="5"/>
      <c r="C63" s="5"/>
    </row>
    <row r="64" spans="1:3" x14ac:dyDescent="0.55000000000000004">
      <c r="A64" s="59"/>
      <c r="B64" s="5"/>
      <c r="C64" s="5"/>
    </row>
    <row r="65" spans="1:4" x14ac:dyDescent="0.55000000000000004">
      <c r="A65" s="59"/>
      <c r="B65" s="5" t="s">
        <v>62</v>
      </c>
      <c r="C65" s="5"/>
      <c r="D65" s="2">
        <f>4*7</f>
        <v>28</v>
      </c>
    </row>
    <row r="66" spans="1:4" ht="26.1" x14ac:dyDescent="0.55000000000000004">
      <c r="A66" s="59"/>
      <c r="B66" s="5" t="s">
        <v>63</v>
      </c>
      <c r="C66" s="5"/>
      <c r="D66" s="2" t="s">
        <v>388</v>
      </c>
    </row>
    <row r="67" spans="1:4" x14ac:dyDescent="0.55000000000000004">
      <c r="A67" s="59" t="s">
        <v>65</v>
      </c>
      <c r="B67" s="59"/>
      <c r="C67" s="5"/>
      <c r="D67" s="2" t="s">
        <v>389</v>
      </c>
    </row>
    <row r="68" spans="1:4" x14ac:dyDescent="0.55000000000000004">
      <c r="A68" s="3" t="s">
        <v>67</v>
      </c>
    </row>
    <row r="69" spans="1:4" x14ac:dyDescent="0.55000000000000004">
      <c r="A69" s="1" t="s">
        <v>68</v>
      </c>
      <c r="C69" s="1">
        <v>17</v>
      </c>
      <c r="D69" s="2">
        <v>20</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MJ78"/>
  <sheetViews>
    <sheetView topLeftCell="C19" zoomScale="90" zoomScaleNormal="90" workbookViewId="0">
      <selection activeCell="E38" sqref="E38"/>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7.41796875" style="1" customWidth="1"/>
    <col min="6" max="6" width="4.83984375" style="1" customWidth="1"/>
    <col min="7" max="7" width="5.26171875" style="1" customWidth="1"/>
    <col min="8" max="1024" width="11.41796875" style="1"/>
  </cols>
  <sheetData>
    <row r="1" spans="1:4" x14ac:dyDescent="0.55000000000000004">
      <c r="A1" s="3" t="s">
        <v>0</v>
      </c>
      <c r="D1" s="2" t="s">
        <v>160</v>
      </c>
    </row>
    <row r="2" spans="1:4" ht="26.1" x14ac:dyDescent="0.55000000000000004">
      <c r="A2" s="58" t="s">
        <v>2</v>
      </c>
      <c r="B2" s="58"/>
      <c r="D2" s="2" t="s">
        <v>390</v>
      </c>
    </row>
    <row r="3" spans="1:4" x14ac:dyDescent="0.55000000000000004">
      <c r="A3" s="58"/>
      <c r="B3" s="58"/>
      <c r="C3" s="5" t="s">
        <v>4</v>
      </c>
      <c r="D3" s="2" t="s">
        <v>391</v>
      </c>
    </row>
    <row r="4" spans="1:4" x14ac:dyDescent="0.55000000000000004">
      <c r="A4" s="58"/>
      <c r="B4" s="58"/>
      <c r="C4" s="5" t="s">
        <v>6</v>
      </c>
      <c r="D4" s="2">
        <v>1997</v>
      </c>
    </row>
    <row r="5" spans="1:4" ht="26.1" x14ac:dyDescent="0.55000000000000004">
      <c r="A5" s="58"/>
      <c r="B5" s="58"/>
      <c r="C5" s="5" t="s">
        <v>7</v>
      </c>
      <c r="D5" s="2" t="s">
        <v>392</v>
      </c>
    </row>
    <row r="6" spans="1:4" x14ac:dyDescent="0.55000000000000004">
      <c r="A6" s="58"/>
      <c r="B6" s="58"/>
      <c r="C6" s="5" t="s">
        <v>9</v>
      </c>
      <c r="D6" s="2" t="s">
        <v>101</v>
      </c>
    </row>
    <row r="7" spans="1:4" x14ac:dyDescent="0.55000000000000004">
      <c r="A7" s="58"/>
      <c r="B7" s="58"/>
      <c r="C7" s="5" t="s">
        <v>11</v>
      </c>
      <c r="D7" s="2" t="s">
        <v>12</v>
      </c>
    </row>
    <row r="8" spans="1:4" x14ac:dyDescent="0.55000000000000004">
      <c r="A8" s="59" t="s">
        <v>13</v>
      </c>
      <c r="B8" s="59"/>
      <c r="C8" s="5"/>
    </row>
    <row r="9" spans="1:4" x14ac:dyDescent="0.55000000000000004">
      <c r="A9" s="58"/>
      <c r="B9" s="58"/>
      <c r="C9" s="5" t="s">
        <v>14</v>
      </c>
      <c r="D9" s="2" t="s">
        <v>393</v>
      </c>
    </row>
    <row r="10" spans="1:4" x14ac:dyDescent="0.55000000000000004">
      <c r="A10" s="58"/>
      <c r="B10" s="58"/>
      <c r="C10" s="5" t="s">
        <v>16</v>
      </c>
      <c r="D10" s="2" t="s">
        <v>86</v>
      </c>
    </row>
    <row r="11" spans="1:4" x14ac:dyDescent="0.55000000000000004">
      <c r="A11" s="58"/>
      <c r="B11" s="58"/>
      <c r="C11" s="5" t="s">
        <v>19</v>
      </c>
      <c r="D11" s="2" t="s">
        <v>20</v>
      </c>
    </row>
    <row r="12" spans="1:4" x14ac:dyDescent="0.55000000000000004">
      <c r="A12" s="58"/>
      <c r="B12" s="58"/>
      <c r="C12" s="5" t="s">
        <v>21</v>
      </c>
      <c r="D12" s="2" t="s">
        <v>20</v>
      </c>
    </row>
    <row r="13" spans="1:4" x14ac:dyDescent="0.55000000000000004">
      <c r="A13" s="58"/>
      <c r="B13" s="58"/>
      <c r="C13" s="5" t="s">
        <v>22</v>
      </c>
      <c r="D13" s="2" t="s">
        <v>20</v>
      </c>
    </row>
    <row r="14" spans="1:4" x14ac:dyDescent="0.55000000000000004">
      <c r="A14" s="59" t="s">
        <v>24</v>
      </c>
      <c r="B14" s="59"/>
      <c r="C14" s="5"/>
    </row>
    <row r="15" spans="1:4" x14ac:dyDescent="0.55000000000000004">
      <c r="A15" s="58"/>
      <c r="B15" s="58"/>
      <c r="C15" s="5" t="s">
        <v>25</v>
      </c>
      <c r="D15" s="2" t="s">
        <v>181</v>
      </c>
    </row>
    <row r="16" spans="1:4" ht="26.1" x14ac:dyDescent="0.55000000000000004">
      <c r="A16" s="58"/>
      <c r="B16" s="58"/>
      <c r="C16" s="5" t="s">
        <v>27</v>
      </c>
      <c r="D16" s="2" t="s">
        <v>394</v>
      </c>
    </row>
    <row r="17" spans="1:7" x14ac:dyDescent="0.55000000000000004">
      <c r="A17" s="59" t="s">
        <v>29</v>
      </c>
      <c r="B17" s="59"/>
      <c r="C17" s="5"/>
    </row>
    <row r="18" spans="1:7" ht="26.1" x14ac:dyDescent="0.55000000000000004">
      <c r="A18" s="58"/>
      <c r="B18" s="58"/>
      <c r="C18" s="5" t="s">
        <v>30</v>
      </c>
      <c r="D18" s="2" t="s">
        <v>395</v>
      </c>
    </row>
    <row r="19" spans="1:7" ht="103.5" x14ac:dyDescent="0.55000000000000004">
      <c r="A19" s="58"/>
      <c r="B19" s="58"/>
      <c r="C19" s="5" t="s">
        <v>32</v>
      </c>
      <c r="D19" s="2" t="s">
        <v>396</v>
      </c>
    </row>
    <row r="20" spans="1:7" x14ac:dyDescent="0.55000000000000004">
      <c r="A20" s="59" t="s">
        <v>34</v>
      </c>
      <c r="B20" s="59"/>
      <c r="C20" s="5"/>
      <c r="D20" s="2" t="s">
        <v>397</v>
      </c>
      <c r="E20" s="1" t="s">
        <v>160</v>
      </c>
      <c r="F20" s="1" t="s">
        <v>35</v>
      </c>
    </row>
    <row r="21" spans="1:7" x14ac:dyDescent="0.55000000000000004">
      <c r="A21" s="58"/>
      <c r="B21" s="58"/>
      <c r="C21" s="5" t="s">
        <v>36</v>
      </c>
    </row>
    <row r="22" spans="1:7" x14ac:dyDescent="0.55000000000000004">
      <c r="A22" s="58"/>
      <c r="B22" s="58"/>
      <c r="C22" s="5" t="s">
        <v>37</v>
      </c>
      <c r="D22" s="2">
        <v>22</v>
      </c>
      <c r="E22" s="1">
        <v>22</v>
      </c>
      <c r="F22" s="1">
        <f>SUM(D22:E22)</f>
        <v>44</v>
      </c>
    </row>
    <row r="23" spans="1:7" x14ac:dyDescent="0.55000000000000004">
      <c r="A23" s="58"/>
      <c r="B23" s="58"/>
      <c r="C23" s="5" t="s">
        <v>38</v>
      </c>
      <c r="D23" s="2">
        <v>19</v>
      </c>
      <c r="E23" s="1">
        <v>19</v>
      </c>
      <c r="F23" s="1">
        <f>SUM(D23:E23)</f>
        <v>38</v>
      </c>
    </row>
    <row r="24" spans="1:7" x14ac:dyDescent="0.55000000000000004">
      <c r="A24" s="58"/>
      <c r="B24" s="58"/>
      <c r="C24" s="5" t="s">
        <v>39</v>
      </c>
      <c r="D24" s="2">
        <v>3</v>
      </c>
      <c r="E24" s="1">
        <v>3</v>
      </c>
      <c r="F24" s="1">
        <f>SUM(D24:E24)</f>
        <v>6</v>
      </c>
    </row>
    <row r="25" spans="1:7" x14ac:dyDescent="0.55000000000000004">
      <c r="A25" s="58"/>
      <c r="B25" s="58"/>
      <c r="C25" s="5" t="s">
        <v>40</v>
      </c>
      <c r="D25" s="7">
        <f>6/19</f>
        <v>0.31578947368421051</v>
      </c>
      <c r="E25" s="10">
        <f>6/19</f>
        <v>0.31578947368421051</v>
      </c>
      <c r="F25" s="10">
        <f>AVERAGE(D25:E25)</f>
        <v>0.31578947368421051</v>
      </c>
    </row>
    <row r="26" spans="1:7" x14ac:dyDescent="0.55000000000000004">
      <c r="A26" s="58"/>
      <c r="B26" s="58"/>
      <c r="C26" s="5" t="s">
        <v>41</v>
      </c>
      <c r="D26" s="7">
        <v>67.599999999999994</v>
      </c>
      <c r="E26" s="10">
        <v>67.599999999999994</v>
      </c>
      <c r="F26" s="10">
        <f>AVERAGE(D26:E26)</f>
        <v>67.599999999999994</v>
      </c>
    </row>
    <row r="27" spans="1:7" x14ac:dyDescent="0.55000000000000004">
      <c r="A27" s="58"/>
      <c r="B27" s="58"/>
      <c r="C27" s="5" t="s">
        <v>42</v>
      </c>
      <c r="D27" s="2" t="s">
        <v>20</v>
      </c>
    </row>
    <row r="28" spans="1:7" x14ac:dyDescent="0.55000000000000004">
      <c r="A28" s="58"/>
      <c r="B28" s="58"/>
      <c r="C28" s="5" t="s">
        <v>43</v>
      </c>
      <c r="D28" s="2" t="s">
        <v>20</v>
      </c>
    </row>
    <row r="29" spans="1:7" x14ac:dyDescent="0.55000000000000004">
      <c r="A29" s="58"/>
      <c r="B29" s="58"/>
      <c r="C29" s="5" t="s">
        <v>44</v>
      </c>
    </row>
    <row r="30" spans="1:7" x14ac:dyDescent="0.55000000000000004">
      <c r="A30" s="58"/>
      <c r="B30" s="58"/>
      <c r="C30" s="5" t="s">
        <v>45</v>
      </c>
      <c r="D30" s="7">
        <v>25.37</v>
      </c>
      <c r="E30" s="10">
        <v>23.53</v>
      </c>
      <c r="F30" s="10">
        <f>(D30+E30)/2</f>
        <v>24.450000000000003</v>
      </c>
    </row>
    <row r="31" spans="1:7" x14ac:dyDescent="0.55000000000000004">
      <c r="A31" s="58"/>
      <c r="B31" s="58"/>
      <c r="C31" s="5" t="s">
        <v>46</v>
      </c>
      <c r="D31" s="7">
        <f>2.18*SQRT(D23)</f>
        <v>9.5023996969186708</v>
      </c>
      <c r="E31" s="10">
        <f>2.13*SQRT(E23)</f>
        <v>9.2844547497416343</v>
      </c>
      <c r="F31" s="10">
        <f>SQRT((D22*(D31^2+(D30-F$30)^2)+E22*(E31^2+(E30-F$30)^2))/(D22+E22))</f>
        <v>9.439001536179557</v>
      </c>
      <c r="G31" s="24"/>
    </row>
    <row r="32" spans="1:7" x14ac:dyDescent="0.55000000000000004">
      <c r="A32" s="59" t="s">
        <v>47</v>
      </c>
      <c r="B32" s="59"/>
      <c r="C32" s="5"/>
    </row>
    <row r="33" spans="1:11" ht="116.4" x14ac:dyDescent="0.55000000000000004">
      <c r="A33" s="58"/>
      <c r="B33" s="58"/>
      <c r="C33" s="5" t="s">
        <v>48</v>
      </c>
      <c r="D33" s="2" t="s">
        <v>398</v>
      </c>
    </row>
    <row r="34" spans="1:11" x14ac:dyDescent="0.55000000000000004">
      <c r="A34" s="59" t="s">
        <v>50</v>
      </c>
      <c r="B34" s="59"/>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9"/>
      <c r="B36" s="5" t="s">
        <v>59</v>
      </c>
      <c r="C36" s="5"/>
    </row>
    <row r="37" spans="1:11" x14ac:dyDescent="0.55000000000000004">
      <c r="A37" s="59"/>
      <c r="B37" s="5"/>
      <c r="C37" s="5" t="s">
        <v>399</v>
      </c>
      <c r="D37" s="7">
        <v>3.68</v>
      </c>
      <c r="E37" s="10">
        <f>0.38*SQRT(D22)</f>
        <v>1.7823579887329033</v>
      </c>
    </row>
    <row r="38" spans="1:11" x14ac:dyDescent="0.55000000000000004">
      <c r="A38" s="59"/>
      <c r="B38" s="5"/>
      <c r="C38" s="5" t="s">
        <v>400</v>
      </c>
      <c r="D38" s="7">
        <v>2.4700000000000002</v>
      </c>
      <c r="E38" s="10">
        <f>0.55*SQRT(D22)</f>
        <v>2.5797286679028866</v>
      </c>
    </row>
    <row r="39" spans="1:11" x14ac:dyDescent="0.55000000000000004">
      <c r="A39" s="59"/>
      <c r="B39" s="5"/>
      <c r="C39" s="5" t="s">
        <v>401</v>
      </c>
      <c r="D39" s="7">
        <v>4.0999999999999996</v>
      </c>
      <c r="E39" s="10">
        <f>0.6*SQRT(E22)</f>
        <v>2.8142494558940578</v>
      </c>
    </row>
    <row r="40" spans="1:11" x14ac:dyDescent="0.55000000000000004">
      <c r="A40" s="59"/>
      <c r="B40" s="5"/>
      <c r="C40" s="5" t="s">
        <v>402</v>
      </c>
      <c r="D40" s="7">
        <v>2.74</v>
      </c>
      <c r="E40" s="10">
        <f>0.58*SQRT(E22)</f>
        <v>2.7204411406975892</v>
      </c>
    </row>
    <row r="41" spans="1:11" x14ac:dyDescent="0.55000000000000004">
      <c r="A41" s="59"/>
      <c r="B41" s="5"/>
    </row>
    <row r="42" spans="1:11" x14ac:dyDescent="0.55000000000000004">
      <c r="A42" s="59"/>
      <c r="B42" s="5"/>
    </row>
    <row r="43" spans="1:11" x14ac:dyDescent="0.55000000000000004">
      <c r="A43" s="59"/>
      <c r="B43" s="5"/>
    </row>
    <row r="44" spans="1:11" x14ac:dyDescent="0.55000000000000004">
      <c r="A44" s="59"/>
      <c r="B44" s="5"/>
    </row>
    <row r="45" spans="1:11" x14ac:dyDescent="0.55000000000000004">
      <c r="A45" s="59"/>
      <c r="B45" s="5" t="s">
        <v>61</v>
      </c>
      <c r="C45" s="5"/>
      <c r="D45" s="7"/>
      <c r="E45" s="10"/>
    </row>
    <row r="46" spans="1:11" x14ac:dyDescent="0.55000000000000004">
      <c r="A46" s="59"/>
      <c r="B46" s="5"/>
      <c r="C46" s="5" t="s">
        <v>206</v>
      </c>
      <c r="D46" s="2">
        <v>1</v>
      </c>
    </row>
    <row r="47" spans="1:11" x14ac:dyDescent="0.55000000000000004">
      <c r="A47" s="59"/>
      <c r="B47" s="5"/>
    </row>
    <row r="48" spans="1:11" x14ac:dyDescent="0.55000000000000004">
      <c r="A48" s="59"/>
      <c r="B48" s="5"/>
    </row>
    <row r="49" spans="1:3" x14ac:dyDescent="0.55000000000000004">
      <c r="A49" s="59"/>
      <c r="B49" s="5"/>
    </row>
    <row r="50" spans="1:3" x14ac:dyDescent="0.55000000000000004">
      <c r="A50" s="59"/>
      <c r="B50" s="5"/>
    </row>
    <row r="51" spans="1:3" x14ac:dyDescent="0.55000000000000004">
      <c r="A51" s="59"/>
      <c r="B51" s="5"/>
    </row>
    <row r="52" spans="1:3" x14ac:dyDescent="0.55000000000000004">
      <c r="A52" s="59"/>
      <c r="B52" s="5"/>
    </row>
    <row r="53" spans="1:3" x14ac:dyDescent="0.55000000000000004">
      <c r="A53" s="59"/>
      <c r="B53" s="5"/>
    </row>
    <row r="54" spans="1:3" x14ac:dyDescent="0.55000000000000004">
      <c r="A54" s="59"/>
      <c r="B54" s="5"/>
    </row>
    <row r="55" spans="1:3" x14ac:dyDescent="0.55000000000000004">
      <c r="A55" s="59"/>
      <c r="B55" s="5"/>
      <c r="C55" s="5"/>
    </row>
    <row r="56" spans="1:3" x14ac:dyDescent="0.55000000000000004">
      <c r="A56" s="59"/>
      <c r="B56" s="5"/>
      <c r="C56" s="5"/>
    </row>
    <row r="57" spans="1:3" x14ac:dyDescent="0.55000000000000004">
      <c r="A57" s="59"/>
      <c r="B57" s="5"/>
      <c r="C57" s="5"/>
    </row>
    <row r="58" spans="1:3" x14ac:dyDescent="0.55000000000000004">
      <c r="A58" s="59"/>
      <c r="B58" s="5"/>
      <c r="C58" s="5"/>
    </row>
    <row r="59" spans="1:3" x14ac:dyDescent="0.55000000000000004">
      <c r="A59" s="59"/>
      <c r="B59" s="5"/>
      <c r="C59" s="5"/>
    </row>
    <row r="60" spans="1:3" x14ac:dyDescent="0.55000000000000004">
      <c r="A60" s="59"/>
      <c r="B60" s="5"/>
    </row>
    <row r="61" spans="1:3" x14ac:dyDescent="0.55000000000000004">
      <c r="A61" s="59"/>
      <c r="B61" s="5"/>
    </row>
    <row r="62" spans="1:3" x14ac:dyDescent="0.55000000000000004">
      <c r="A62" s="59"/>
      <c r="B62" s="5"/>
      <c r="C62" s="5"/>
    </row>
    <row r="63" spans="1:3" x14ac:dyDescent="0.55000000000000004">
      <c r="A63" s="59"/>
      <c r="B63" s="5"/>
      <c r="C63" s="5"/>
    </row>
    <row r="64" spans="1:3" x14ac:dyDescent="0.55000000000000004">
      <c r="A64" s="59"/>
      <c r="B64" s="5"/>
      <c r="C64" s="5"/>
    </row>
    <row r="65" spans="1:5" x14ac:dyDescent="0.55000000000000004">
      <c r="A65" s="59"/>
      <c r="B65" s="5" t="s">
        <v>62</v>
      </c>
      <c r="C65" s="5"/>
      <c r="D65" s="2">
        <f>14*7</f>
        <v>98</v>
      </c>
    </row>
    <row r="66" spans="1:5" x14ac:dyDescent="0.55000000000000004">
      <c r="A66" s="59"/>
      <c r="B66" s="5" t="s">
        <v>63</v>
      </c>
      <c r="C66" s="5"/>
      <c r="D66" s="2" t="s">
        <v>403</v>
      </c>
    </row>
    <row r="67" spans="1:5" ht="39" x14ac:dyDescent="0.55000000000000004">
      <c r="A67" s="59" t="s">
        <v>65</v>
      </c>
      <c r="B67" s="59"/>
      <c r="C67" s="5"/>
      <c r="D67" s="2" t="s">
        <v>404</v>
      </c>
    </row>
    <row r="68" spans="1:5" x14ac:dyDescent="0.55000000000000004">
      <c r="A68" s="3" t="s">
        <v>67</v>
      </c>
    </row>
    <row r="69" spans="1:5" x14ac:dyDescent="0.55000000000000004">
      <c r="A69" s="1" t="s">
        <v>68</v>
      </c>
      <c r="C69" s="1">
        <v>9</v>
      </c>
      <c r="D69" s="2">
        <v>28</v>
      </c>
    </row>
    <row r="70" spans="1:5" x14ac:dyDescent="0.55000000000000004">
      <c r="B70" s="1" t="s">
        <v>94</v>
      </c>
    </row>
    <row r="71" spans="1:5" x14ac:dyDescent="0.55000000000000004">
      <c r="C71" s="5" t="s">
        <v>405</v>
      </c>
      <c r="D71" s="7">
        <v>6.84</v>
      </c>
      <c r="E71" s="10">
        <f>0.85*SQRT(D22)</f>
        <v>3.986853395849915</v>
      </c>
    </row>
    <row r="72" spans="1:5" x14ac:dyDescent="0.55000000000000004">
      <c r="C72" s="5" t="s">
        <v>406</v>
      </c>
      <c r="D72" s="7">
        <v>4.79</v>
      </c>
      <c r="E72" s="10">
        <f>0.98*SQRT(D22)</f>
        <v>4.5966074446269607</v>
      </c>
    </row>
    <row r="73" spans="1:5" x14ac:dyDescent="0.55000000000000004">
      <c r="C73" s="5" t="s">
        <v>407</v>
      </c>
      <c r="D73" s="7">
        <v>7.05</v>
      </c>
      <c r="E73" s="10">
        <f>1.01*SQRT(E22)</f>
        <v>4.7373199174216643</v>
      </c>
    </row>
    <row r="74" spans="1:5" x14ac:dyDescent="0.55000000000000004">
      <c r="C74" s="5" t="s">
        <v>408</v>
      </c>
      <c r="D74" s="7">
        <v>4.83</v>
      </c>
      <c r="E74" s="10">
        <f>3.26*SQRT(E22)</f>
        <v>15.29075537702438</v>
      </c>
    </row>
    <row r="75" spans="1:5" x14ac:dyDescent="0.55000000000000004">
      <c r="C75" s="5" t="s">
        <v>409</v>
      </c>
      <c r="D75" s="7">
        <v>25.37</v>
      </c>
      <c r="E75" s="10">
        <f>D31</f>
        <v>9.5023996969186708</v>
      </c>
    </row>
    <row r="76" spans="1:5" x14ac:dyDescent="0.55000000000000004">
      <c r="C76" s="5" t="s">
        <v>410</v>
      </c>
      <c r="D76" s="7">
        <v>20.63</v>
      </c>
      <c r="E76" s="10">
        <f>2.09*SQRT(D22)</f>
        <v>9.8029689380309684</v>
      </c>
    </row>
    <row r="77" spans="1:5" x14ac:dyDescent="0.55000000000000004">
      <c r="C77" s="5" t="s">
        <v>411</v>
      </c>
      <c r="D77" s="7">
        <v>23.53</v>
      </c>
      <c r="E77" s="10">
        <f>E31</f>
        <v>9.2844547497416343</v>
      </c>
    </row>
    <row r="78" spans="1:5" x14ac:dyDescent="0.55000000000000004">
      <c r="C78" s="5" t="s">
        <v>412</v>
      </c>
      <c r="D78" s="7">
        <v>19.899999999999999</v>
      </c>
      <c r="E78" s="10">
        <f>2.05*SQRT(E22)</f>
        <v>9.6153523076380303</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MJ69"/>
  <sheetViews>
    <sheetView zoomScale="90" zoomScaleNormal="90" workbookViewId="0">
      <selection activeCell="D2" sqref="D2"/>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41796875" style="2" customWidth="1"/>
    <col min="5" max="5" width="6.41796875" style="1" customWidth="1"/>
    <col min="6" max="6" width="4.83984375" style="1" customWidth="1"/>
    <col min="7" max="1024" width="11.41796875" style="1"/>
  </cols>
  <sheetData>
    <row r="1" spans="1:4" x14ac:dyDescent="0.55000000000000004">
      <c r="A1" s="3" t="s">
        <v>0</v>
      </c>
      <c r="D1" s="2" t="s">
        <v>160</v>
      </c>
    </row>
    <row r="2" spans="1:4" x14ac:dyDescent="0.55000000000000004">
      <c r="A2" s="58" t="s">
        <v>2</v>
      </c>
      <c r="B2" s="58"/>
      <c r="D2" s="2" t="s">
        <v>413</v>
      </c>
    </row>
    <row r="3" spans="1:4" x14ac:dyDescent="0.55000000000000004">
      <c r="A3" s="58"/>
      <c r="B3" s="58"/>
      <c r="C3" s="5" t="s">
        <v>4</v>
      </c>
      <c r="D3" s="2" t="s">
        <v>414</v>
      </c>
    </row>
    <row r="4" spans="1:4" x14ac:dyDescent="0.55000000000000004">
      <c r="A4" s="58"/>
      <c r="B4" s="58"/>
      <c r="C4" s="5" t="s">
        <v>6</v>
      </c>
      <c r="D4" s="2">
        <v>1999</v>
      </c>
    </row>
    <row r="5" spans="1:4" ht="26.1" x14ac:dyDescent="0.55000000000000004">
      <c r="A5" s="58"/>
      <c r="B5" s="58"/>
      <c r="C5" s="5" t="s">
        <v>7</v>
      </c>
      <c r="D5" s="2" t="s">
        <v>415</v>
      </c>
    </row>
    <row r="6" spans="1:4" x14ac:dyDescent="0.55000000000000004">
      <c r="A6" s="58"/>
      <c r="B6" s="58"/>
      <c r="C6" s="5" t="s">
        <v>9</v>
      </c>
      <c r="D6" s="2" t="s">
        <v>416</v>
      </c>
    </row>
    <row r="7" spans="1:4" x14ac:dyDescent="0.55000000000000004">
      <c r="A7" s="58"/>
      <c r="B7" s="58"/>
      <c r="C7" s="5" t="s">
        <v>11</v>
      </c>
      <c r="D7" s="2" t="s">
        <v>12</v>
      </c>
    </row>
    <row r="8" spans="1:4" x14ac:dyDescent="0.55000000000000004">
      <c r="A8" s="59" t="s">
        <v>13</v>
      </c>
      <c r="B8" s="59"/>
      <c r="C8" s="5"/>
    </row>
    <row r="9" spans="1:4" ht="26.1" x14ac:dyDescent="0.55000000000000004">
      <c r="A9" s="58"/>
      <c r="B9" s="58"/>
      <c r="C9" s="5" t="s">
        <v>14</v>
      </c>
      <c r="D9" s="2" t="s">
        <v>417</v>
      </c>
    </row>
    <row r="10" spans="1:4" x14ac:dyDescent="0.55000000000000004">
      <c r="A10" s="58"/>
      <c r="B10" s="58"/>
      <c r="C10" s="5" t="s">
        <v>16</v>
      </c>
      <c r="D10" s="2" t="s">
        <v>103</v>
      </c>
    </row>
    <row r="11" spans="1:4" x14ac:dyDescent="0.55000000000000004">
      <c r="A11" s="58"/>
      <c r="B11" s="58"/>
      <c r="C11" s="5" t="s">
        <v>19</v>
      </c>
      <c r="D11" s="21">
        <v>34790</v>
      </c>
    </row>
    <row r="12" spans="1:4" x14ac:dyDescent="0.55000000000000004">
      <c r="A12" s="58"/>
      <c r="B12" s="58"/>
      <c r="C12" s="5" t="s">
        <v>21</v>
      </c>
      <c r="D12" s="21">
        <v>35339</v>
      </c>
    </row>
    <row r="13" spans="1:4" x14ac:dyDescent="0.55000000000000004">
      <c r="A13" s="58"/>
      <c r="B13" s="58"/>
      <c r="C13" s="5" t="s">
        <v>22</v>
      </c>
      <c r="D13" s="2" t="s">
        <v>20</v>
      </c>
    </row>
    <row r="14" spans="1:4" x14ac:dyDescent="0.55000000000000004">
      <c r="A14" s="59" t="s">
        <v>24</v>
      </c>
      <c r="B14" s="59"/>
      <c r="C14" s="5"/>
    </row>
    <row r="15" spans="1:4" x14ac:dyDescent="0.55000000000000004">
      <c r="A15" s="58"/>
      <c r="B15" s="58"/>
      <c r="C15" s="5" t="s">
        <v>25</v>
      </c>
      <c r="D15" s="2" t="s">
        <v>418</v>
      </c>
    </row>
    <row r="16" spans="1:4" x14ac:dyDescent="0.55000000000000004">
      <c r="A16" s="58"/>
      <c r="B16" s="58"/>
      <c r="C16" s="5" t="s">
        <v>27</v>
      </c>
      <c r="D16" s="2" t="s">
        <v>419</v>
      </c>
    </row>
    <row r="17" spans="1:6" x14ac:dyDescent="0.55000000000000004">
      <c r="A17" s="59" t="s">
        <v>29</v>
      </c>
      <c r="B17" s="59"/>
      <c r="C17" s="5"/>
    </row>
    <row r="18" spans="1:6" ht="39" x14ac:dyDescent="0.55000000000000004">
      <c r="A18" s="58"/>
      <c r="B18" s="58"/>
      <c r="C18" s="5" t="s">
        <v>30</v>
      </c>
      <c r="D18" s="2" t="s">
        <v>420</v>
      </c>
    </row>
    <row r="19" spans="1:6" ht="77.7" x14ac:dyDescent="0.55000000000000004">
      <c r="A19" s="58"/>
      <c r="B19" s="58"/>
      <c r="C19" s="5" t="s">
        <v>32</v>
      </c>
      <c r="D19" s="2" t="s">
        <v>421</v>
      </c>
    </row>
    <row r="20" spans="1:6" x14ac:dyDescent="0.55000000000000004">
      <c r="A20" s="59" t="s">
        <v>34</v>
      </c>
      <c r="B20" s="59"/>
      <c r="C20" s="5"/>
      <c r="D20" s="2" t="s">
        <v>160</v>
      </c>
      <c r="E20" s="1" t="s">
        <v>109</v>
      </c>
      <c r="F20" s="1" t="s">
        <v>35</v>
      </c>
    </row>
    <row r="21" spans="1:6" x14ac:dyDescent="0.55000000000000004">
      <c r="A21" s="58"/>
      <c r="B21" s="58"/>
      <c r="C21" s="5" t="s">
        <v>36</v>
      </c>
      <c r="D21" s="2">
        <v>30</v>
      </c>
      <c r="E21" s="1">
        <v>30</v>
      </c>
      <c r="F21" s="1">
        <f>SUM(D21:E21)</f>
        <v>60</v>
      </c>
    </row>
    <row r="22" spans="1:6" x14ac:dyDescent="0.55000000000000004">
      <c r="A22" s="58"/>
      <c r="B22" s="58"/>
      <c r="C22" s="5" t="s">
        <v>37</v>
      </c>
      <c r="D22" s="2">
        <v>30</v>
      </c>
      <c r="E22" s="1">
        <v>30</v>
      </c>
      <c r="F22" s="1">
        <f>SUM(D22:E22)</f>
        <v>60</v>
      </c>
    </row>
    <row r="23" spans="1:6" x14ac:dyDescent="0.55000000000000004">
      <c r="A23" s="58"/>
      <c r="B23" s="58"/>
      <c r="C23" s="5" t="s">
        <v>38</v>
      </c>
      <c r="D23" s="2">
        <v>27</v>
      </c>
      <c r="E23" s="1">
        <v>27</v>
      </c>
      <c r="F23" s="1">
        <f>SUM(D23:E23)</f>
        <v>54</v>
      </c>
    </row>
    <row r="24" spans="1:6" x14ac:dyDescent="0.55000000000000004">
      <c r="A24" s="58"/>
      <c r="B24" s="58"/>
      <c r="C24" s="5" t="s">
        <v>39</v>
      </c>
      <c r="D24" s="2">
        <v>3</v>
      </c>
      <c r="E24" s="1">
        <v>3</v>
      </c>
      <c r="F24" s="1">
        <f>SUM(D24:E24)</f>
        <v>6</v>
      </c>
    </row>
    <row r="25" spans="1:6" x14ac:dyDescent="0.55000000000000004">
      <c r="A25" s="58"/>
      <c r="B25" s="58"/>
      <c r="C25" s="5" t="s">
        <v>40</v>
      </c>
      <c r="D25" s="7">
        <f>10/D21</f>
        <v>0.33333333333333331</v>
      </c>
      <c r="E25" s="10">
        <f>16/E21</f>
        <v>0.53333333333333333</v>
      </c>
      <c r="F25" s="10">
        <f>(D25*D21+E25*E21)/F21</f>
        <v>0.43333333333333335</v>
      </c>
    </row>
    <row r="26" spans="1:6" x14ac:dyDescent="0.55000000000000004">
      <c r="A26" s="58"/>
      <c r="B26" s="58"/>
      <c r="C26" s="5" t="s">
        <v>41</v>
      </c>
      <c r="D26" s="7">
        <v>71.900000000000006</v>
      </c>
      <c r="E26" s="10">
        <v>70.8</v>
      </c>
      <c r="F26" s="10">
        <f>(D26*D21+E26*E21)/F21</f>
        <v>71.349999999999994</v>
      </c>
    </row>
    <row r="27" spans="1:6" x14ac:dyDescent="0.55000000000000004">
      <c r="A27" s="58"/>
      <c r="B27" s="58"/>
      <c r="C27" s="5" t="s">
        <v>42</v>
      </c>
      <c r="D27" s="7">
        <v>8.1</v>
      </c>
      <c r="E27" s="10">
        <v>8.6</v>
      </c>
      <c r="F27" s="10">
        <f>SQRT((D21*(D27^2+(D26-F$26)^2)+E21*(E27^2+(E26-F$26)^2))/(D21+E21))</f>
        <v>8.3718277574254962</v>
      </c>
    </row>
    <row r="28" spans="1:6" x14ac:dyDescent="0.55000000000000004">
      <c r="A28" s="58"/>
      <c r="B28" s="58"/>
      <c r="C28" s="5" t="s">
        <v>43</v>
      </c>
    </row>
    <row r="29" spans="1:6" x14ac:dyDescent="0.55000000000000004">
      <c r="A29" s="58"/>
      <c r="B29" s="58"/>
      <c r="C29" s="5" t="s">
        <v>44</v>
      </c>
    </row>
    <row r="30" spans="1:6" x14ac:dyDescent="0.55000000000000004">
      <c r="A30" s="58"/>
      <c r="B30" s="58"/>
      <c r="C30" s="5" t="s">
        <v>45</v>
      </c>
      <c r="D30" s="7">
        <v>37.1</v>
      </c>
      <c r="E30" s="10">
        <v>32.799999999999997</v>
      </c>
      <c r="F30" s="10">
        <f>(D30*D21+E30*E21)/F21</f>
        <v>34.950000000000003</v>
      </c>
    </row>
    <row r="31" spans="1:6" x14ac:dyDescent="0.55000000000000004">
      <c r="A31" s="58"/>
      <c r="B31" s="58"/>
      <c r="C31" s="5" t="s">
        <v>46</v>
      </c>
      <c r="D31" s="7">
        <v>13</v>
      </c>
      <c r="E31" s="10">
        <v>11.3</v>
      </c>
      <c r="F31" s="10">
        <f>SQRT((D21*(D31^2+(D30-F$30)^2)+E21*(E31^2+(E30-F$30)^2))/(D21+E21))</f>
        <v>12.368003072444639</v>
      </c>
    </row>
    <row r="32" spans="1:6" x14ac:dyDescent="0.55000000000000004">
      <c r="A32" s="59" t="s">
        <v>47</v>
      </c>
      <c r="B32" s="59"/>
      <c r="C32" s="5"/>
    </row>
    <row r="33" spans="1:11" ht="64.8" x14ac:dyDescent="0.55000000000000004">
      <c r="A33" s="58"/>
      <c r="B33" s="58"/>
      <c r="C33" s="5" t="s">
        <v>48</v>
      </c>
      <c r="D33" s="2" t="s">
        <v>422</v>
      </c>
    </row>
    <row r="34" spans="1:11" x14ac:dyDescent="0.55000000000000004">
      <c r="A34" s="59" t="s">
        <v>50</v>
      </c>
      <c r="B34" s="59"/>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9"/>
      <c r="B36" s="5" t="s">
        <v>59</v>
      </c>
      <c r="C36" s="5"/>
    </row>
    <row r="37" spans="1:11" x14ac:dyDescent="0.55000000000000004">
      <c r="A37" s="59"/>
      <c r="B37" s="5"/>
      <c r="C37" s="1" t="s">
        <v>423</v>
      </c>
      <c r="D37" s="7">
        <v>-1.5</v>
      </c>
      <c r="E37" s="10">
        <f>F37*SQRT(D22)</f>
        <v>2.7386127875258306</v>
      </c>
      <c r="F37" s="10">
        <v>0.5</v>
      </c>
      <c r="J37" s="1">
        <v>3.645</v>
      </c>
    </row>
    <row r="38" spans="1:11" x14ac:dyDescent="0.55000000000000004">
      <c r="A38" s="59"/>
      <c r="B38" s="5"/>
      <c r="C38" s="1" t="s">
        <v>233</v>
      </c>
      <c r="D38" s="7">
        <v>-0.2</v>
      </c>
      <c r="E38" s="10">
        <f>F38*SQRT(E21)</f>
        <v>2.1908902300206647</v>
      </c>
      <c r="F38" s="10">
        <v>0.4</v>
      </c>
      <c r="J38" s="1">
        <v>2.6320000000000001</v>
      </c>
    </row>
    <row r="39" spans="1:11" x14ac:dyDescent="0.55000000000000004">
      <c r="A39" s="59"/>
      <c r="B39" s="5"/>
      <c r="C39" s="5"/>
    </row>
    <row r="40" spans="1:11" x14ac:dyDescent="0.55000000000000004">
      <c r="A40" s="59"/>
      <c r="B40" s="5"/>
    </row>
    <row r="41" spans="1:11" x14ac:dyDescent="0.55000000000000004">
      <c r="A41" s="59"/>
      <c r="B41" s="5"/>
      <c r="C41" s="5"/>
    </row>
    <row r="42" spans="1:11" x14ac:dyDescent="0.55000000000000004">
      <c r="A42" s="59"/>
      <c r="B42" s="5"/>
      <c r="C42" s="5"/>
    </row>
    <row r="43" spans="1:11" x14ac:dyDescent="0.55000000000000004">
      <c r="A43" s="59"/>
      <c r="B43" s="5"/>
      <c r="C43" s="5"/>
    </row>
    <row r="44" spans="1:11" x14ac:dyDescent="0.55000000000000004">
      <c r="A44" s="59"/>
      <c r="B44" s="5"/>
      <c r="C44" s="5"/>
    </row>
    <row r="45" spans="1:11" x14ac:dyDescent="0.55000000000000004">
      <c r="A45" s="59"/>
      <c r="B45" s="5" t="s">
        <v>61</v>
      </c>
      <c r="C45" s="5"/>
    </row>
    <row r="46" spans="1:11" x14ac:dyDescent="0.55000000000000004">
      <c r="A46" s="59"/>
      <c r="B46" s="5"/>
      <c r="C46" s="5" t="s">
        <v>206</v>
      </c>
      <c r="D46" s="2">
        <v>1</v>
      </c>
    </row>
    <row r="47" spans="1:11" x14ac:dyDescent="0.55000000000000004">
      <c r="A47" s="59"/>
      <c r="B47" s="5"/>
      <c r="C47" s="5"/>
    </row>
    <row r="48" spans="1:11" x14ac:dyDescent="0.55000000000000004">
      <c r="A48" s="59"/>
      <c r="B48" s="5"/>
      <c r="C48" s="5"/>
    </row>
    <row r="49" spans="1:3" x14ac:dyDescent="0.55000000000000004">
      <c r="A49" s="59"/>
      <c r="B49" s="5"/>
      <c r="C49" s="5"/>
    </row>
    <row r="50" spans="1:3" x14ac:dyDescent="0.55000000000000004">
      <c r="A50" s="59"/>
      <c r="B50" s="5"/>
      <c r="C50" s="5"/>
    </row>
    <row r="51" spans="1:3" x14ac:dyDescent="0.55000000000000004">
      <c r="A51" s="59"/>
      <c r="B51" s="5"/>
      <c r="C51" s="5"/>
    </row>
    <row r="52" spans="1:3" x14ac:dyDescent="0.55000000000000004">
      <c r="A52" s="59"/>
      <c r="B52" s="5"/>
      <c r="C52" s="5"/>
    </row>
    <row r="53" spans="1:3" x14ac:dyDescent="0.55000000000000004">
      <c r="A53" s="59"/>
      <c r="B53" s="5"/>
      <c r="C53" s="5"/>
    </row>
    <row r="54" spans="1:3" x14ac:dyDescent="0.55000000000000004">
      <c r="A54" s="59"/>
      <c r="B54" s="5"/>
      <c r="C54" s="5"/>
    </row>
    <row r="55" spans="1:3" x14ac:dyDescent="0.55000000000000004">
      <c r="A55" s="59"/>
      <c r="B55" s="5"/>
      <c r="C55" s="5"/>
    </row>
    <row r="56" spans="1:3" x14ac:dyDescent="0.55000000000000004">
      <c r="A56" s="59"/>
      <c r="B56" s="5"/>
      <c r="C56" s="5"/>
    </row>
    <row r="57" spans="1:3" x14ac:dyDescent="0.55000000000000004">
      <c r="A57" s="59"/>
      <c r="B57" s="5"/>
      <c r="C57" s="5"/>
    </row>
    <row r="58" spans="1:3" x14ac:dyDescent="0.55000000000000004">
      <c r="A58" s="59"/>
      <c r="B58" s="5"/>
      <c r="C58" s="5"/>
    </row>
    <row r="59" spans="1:3" x14ac:dyDescent="0.55000000000000004">
      <c r="A59" s="59"/>
      <c r="B59" s="5"/>
      <c r="C59" s="5"/>
    </row>
    <row r="60" spans="1:3" x14ac:dyDescent="0.55000000000000004">
      <c r="A60" s="59"/>
      <c r="B60" s="5"/>
      <c r="C60" s="5"/>
    </row>
    <row r="61" spans="1:3" x14ac:dyDescent="0.55000000000000004">
      <c r="A61" s="59"/>
      <c r="B61" s="5"/>
      <c r="C61" s="5"/>
    </row>
    <row r="62" spans="1:3" x14ac:dyDescent="0.55000000000000004">
      <c r="A62" s="59"/>
      <c r="B62" s="5"/>
      <c r="C62" s="5"/>
    </row>
    <row r="63" spans="1:3" x14ac:dyDescent="0.55000000000000004">
      <c r="A63" s="59"/>
      <c r="B63" s="5"/>
      <c r="C63" s="5"/>
    </row>
    <row r="64" spans="1:3" x14ac:dyDescent="0.55000000000000004">
      <c r="A64" s="59"/>
      <c r="B64" s="5"/>
      <c r="C64" s="5"/>
    </row>
    <row r="65" spans="1:4" x14ac:dyDescent="0.55000000000000004">
      <c r="A65" s="59"/>
      <c r="B65" s="5" t="s">
        <v>62</v>
      </c>
      <c r="C65" s="5"/>
      <c r="D65" s="2">
        <f>4*7</f>
        <v>28</v>
      </c>
    </row>
    <row r="66" spans="1:4" x14ac:dyDescent="0.55000000000000004">
      <c r="A66" s="59"/>
      <c r="B66" s="5" t="s">
        <v>63</v>
      </c>
      <c r="C66" s="5"/>
      <c r="D66" s="2" t="s">
        <v>424</v>
      </c>
    </row>
    <row r="67" spans="1:4" ht="26.1" x14ac:dyDescent="0.55000000000000004">
      <c r="A67" s="59" t="s">
        <v>65</v>
      </c>
      <c r="B67" s="59"/>
      <c r="C67" s="5"/>
      <c r="D67" s="2" t="s">
        <v>425</v>
      </c>
    </row>
    <row r="68" spans="1:4" x14ac:dyDescent="0.55000000000000004">
      <c r="A68" s="3" t="s">
        <v>67</v>
      </c>
    </row>
    <row r="69" spans="1:4" x14ac:dyDescent="0.55000000000000004">
      <c r="A69" s="1" t="s">
        <v>68</v>
      </c>
      <c r="C69" s="1">
        <v>28</v>
      </c>
      <c r="D69" s="2">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MJ83"/>
  <sheetViews>
    <sheetView zoomScale="90" zoomScaleNormal="90" workbookViewId="0">
      <selection activeCell="C48" sqref="C48"/>
    </sheetView>
  </sheetViews>
  <sheetFormatPr baseColWidth="10" defaultColWidth="11.41796875" defaultRowHeight="14.4" x14ac:dyDescent="0.55000000000000004"/>
  <cols>
    <col min="1" max="1" width="29.83984375" style="1" customWidth="1"/>
    <col min="2" max="2" width="18.83984375" style="1" customWidth="1"/>
    <col min="3" max="3" width="44.15625" style="1" customWidth="1"/>
    <col min="4" max="4" width="56.15625" style="2" customWidth="1"/>
    <col min="5" max="5" width="4.15625" style="1" customWidth="1"/>
    <col min="6" max="6" width="9.15625" style="1" customWidth="1"/>
    <col min="7" max="7" width="5.26171875" style="1" customWidth="1"/>
    <col min="8" max="8" width="5.83984375" style="1" customWidth="1"/>
    <col min="9" max="1024" width="11.41796875" style="1"/>
  </cols>
  <sheetData>
    <row r="1" spans="1:5" x14ac:dyDescent="0.55000000000000004">
      <c r="A1" s="3" t="s">
        <v>0</v>
      </c>
      <c r="D1" s="2" t="s">
        <v>426</v>
      </c>
    </row>
    <row r="2" spans="1:5" x14ac:dyDescent="0.55000000000000004">
      <c r="A2" s="5" t="s">
        <v>2</v>
      </c>
      <c r="B2" s="5"/>
      <c r="D2" s="2" t="s">
        <v>427</v>
      </c>
    </row>
    <row r="3" spans="1:5" x14ac:dyDescent="0.55000000000000004">
      <c r="A3" s="5"/>
      <c r="B3" s="5"/>
      <c r="C3" s="5" t="s">
        <v>4</v>
      </c>
      <c r="D3" s="2" t="s">
        <v>428</v>
      </c>
    </row>
    <row r="4" spans="1:5" x14ac:dyDescent="0.55000000000000004">
      <c r="A4" s="5"/>
      <c r="B4" s="5"/>
      <c r="C4" s="5" t="s">
        <v>6</v>
      </c>
      <c r="D4" s="2">
        <v>2003</v>
      </c>
    </row>
    <row r="5" spans="1:5" x14ac:dyDescent="0.55000000000000004">
      <c r="A5" s="5"/>
      <c r="B5" s="5"/>
      <c r="C5" s="5" t="s">
        <v>7</v>
      </c>
      <c r="D5" s="2" t="s">
        <v>429</v>
      </c>
    </row>
    <row r="6" spans="1:5" x14ac:dyDescent="0.55000000000000004">
      <c r="A6" s="5"/>
      <c r="B6" s="5"/>
      <c r="C6" s="5" t="s">
        <v>9</v>
      </c>
      <c r="D6" s="2" t="s">
        <v>430</v>
      </c>
    </row>
    <row r="7" spans="1:5" x14ac:dyDescent="0.55000000000000004">
      <c r="A7" s="5"/>
      <c r="B7" s="5"/>
      <c r="C7" s="5" t="s">
        <v>11</v>
      </c>
      <c r="D7" s="2" t="s">
        <v>431</v>
      </c>
    </row>
    <row r="8" spans="1:5" x14ac:dyDescent="0.55000000000000004">
      <c r="A8" s="8" t="s">
        <v>13</v>
      </c>
      <c r="B8" s="8"/>
      <c r="C8" s="5"/>
    </row>
    <row r="9" spans="1:5" x14ac:dyDescent="0.55000000000000004">
      <c r="A9" s="5"/>
      <c r="B9" s="5"/>
      <c r="C9" s="5" t="s">
        <v>14</v>
      </c>
    </row>
    <row r="10" spans="1:5" x14ac:dyDescent="0.55000000000000004">
      <c r="A10" s="5"/>
      <c r="B10" s="5"/>
      <c r="C10" s="5" t="s">
        <v>16</v>
      </c>
      <c r="D10" s="2" t="s">
        <v>17</v>
      </c>
      <c r="E10" s="1" t="s">
        <v>432</v>
      </c>
    </row>
    <row r="11" spans="1:5" x14ac:dyDescent="0.55000000000000004">
      <c r="A11" s="5"/>
      <c r="B11" s="5"/>
      <c r="C11" s="5" t="s">
        <v>19</v>
      </c>
      <c r="D11" s="21">
        <v>36342</v>
      </c>
    </row>
    <row r="12" spans="1:5" x14ac:dyDescent="0.55000000000000004">
      <c r="A12" s="5"/>
      <c r="B12" s="5"/>
      <c r="C12" s="5" t="s">
        <v>21</v>
      </c>
      <c r="D12" s="21">
        <v>37104</v>
      </c>
    </row>
    <row r="13" spans="1:5" x14ac:dyDescent="0.55000000000000004">
      <c r="A13" s="5"/>
      <c r="B13" s="5"/>
      <c r="C13" s="5" t="s">
        <v>22</v>
      </c>
      <c r="D13" s="2" t="s">
        <v>20</v>
      </c>
    </row>
    <row r="14" spans="1:5" x14ac:dyDescent="0.55000000000000004">
      <c r="A14" s="8" t="s">
        <v>24</v>
      </c>
      <c r="B14" s="8"/>
      <c r="C14" s="5"/>
    </row>
    <row r="15" spans="1:5" x14ac:dyDescent="0.55000000000000004">
      <c r="A15" s="5"/>
      <c r="B15" s="5"/>
      <c r="C15" s="5" t="s">
        <v>25</v>
      </c>
      <c r="D15" s="2" t="s">
        <v>87</v>
      </c>
    </row>
    <row r="16" spans="1:5" x14ac:dyDescent="0.55000000000000004">
      <c r="A16" s="5"/>
      <c r="B16" s="5"/>
      <c r="C16" s="5" t="s">
        <v>27</v>
      </c>
      <c r="D16" s="2" t="s">
        <v>433</v>
      </c>
    </row>
    <row r="17" spans="1:4" x14ac:dyDescent="0.55000000000000004">
      <c r="A17" s="8" t="s">
        <v>29</v>
      </c>
      <c r="B17" s="8"/>
      <c r="C17" s="5"/>
    </row>
    <row r="18" spans="1:4" ht="26.1" x14ac:dyDescent="0.55000000000000004">
      <c r="A18" s="5"/>
      <c r="B18" s="5"/>
      <c r="C18" s="5" t="s">
        <v>30</v>
      </c>
      <c r="D18" s="2" t="s">
        <v>434</v>
      </c>
    </row>
    <row r="19" spans="1:4" x14ac:dyDescent="0.55000000000000004">
      <c r="A19" s="5"/>
      <c r="B19" s="5"/>
      <c r="C19" s="5" t="s">
        <v>32</v>
      </c>
      <c r="D19" s="2" t="s">
        <v>435</v>
      </c>
    </row>
    <row r="20" spans="1:4" x14ac:dyDescent="0.55000000000000004">
      <c r="A20" s="8" t="s">
        <v>34</v>
      </c>
      <c r="B20" s="8"/>
      <c r="C20" s="5"/>
      <c r="D20" s="2" t="s">
        <v>35</v>
      </c>
    </row>
    <row r="21" spans="1:4" x14ac:dyDescent="0.55000000000000004">
      <c r="A21" s="5"/>
      <c r="B21" s="5"/>
      <c r="C21" s="5" t="s">
        <v>36</v>
      </c>
      <c r="D21" s="2">
        <v>106</v>
      </c>
    </row>
    <row r="22" spans="1:4" x14ac:dyDescent="0.55000000000000004">
      <c r="A22" s="5"/>
      <c r="B22" s="5"/>
      <c r="C22" s="5" t="s">
        <v>37</v>
      </c>
      <c r="D22" s="2">
        <v>106</v>
      </c>
    </row>
    <row r="23" spans="1:4" x14ac:dyDescent="0.55000000000000004">
      <c r="A23" s="5"/>
      <c r="B23" s="5"/>
      <c r="C23" s="5" t="s">
        <v>38</v>
      </c>
      <c r="D23" s="2">
        <v>100</v>
      </c>
    </row>
    <row r="24" spans="1:4" x14ac:dyDescent="0.55000000000000004">
      <c r="A24" s="5"/>
      <c r="B24" s="5"/>
      <c r="C24" s="5" t="s">
        <v>39</v>
      </c>
      <c r="D24" s="2">
        <v>6</v>
      </c>
    </row>
    <row r="25" spans="1:4" x14ac:dyDescent="0.55000000000000004">
      <c r="A25" s="5"/>
      <c r="B25" s="5"/>
      <c r="C25" s="5" t="s">
        <v>40</v>
      </c>
      <c r="D25" s="2">
        <f>38/100*100</f>
        <v>38</v>
      </c>
    </row>
    <row r="26" spans="1:4" x14ac:dyDescent="0.55000000000000004">
      <c r="A26" s="5"/>
      <c r="B26" s="5"/>
      <c r="C26" s="5" t="s">
        <v>41</v>
      </c>
      <c r="D26" s="2">
        <v>65</v>
      </c>
    </row>
    <row r="27" spans="1:4" x14ac:dyDescent="0.55000000000000004">
      <c r="A27" s="5"/>
      <c r="B27" s="5"/>
      <c r="C27" s="5" t="s">
        <v>42</v>
      </c>
      <c r="D27" s="2" t="s">
        <v>20</v>
      </c>
    </row>
    <row r="28" spans="1:4" x14ac:dyDescent="0.55000000000000004">
      <c r="A28" s="5"/>
      <c r="B28" s="5"/>
      <c r="C28" s="5" t="s">
        <v>43</v>
      </c>
      <c r="D28" s="2" t="s">
        <v>20</v>
      </c>
    </row>
    <row r="29" spans="1:4" x14ac:dyDescent="0.55000000000000004">
      <c r="A29" s="5"/>
      <c r="B29" s="5"/>
      <c r="C29" s="5" t="s">
        <v>44</v>
      </c>
      <c r="D29" s="2" t="s">
        <v>20</v>
      </c>
    </row>
    <row r="30" spans="1:4" x14ac:dyDescent="0.55000000000000004">
      <c r="A30" s="5"/>
      <c r="B30" s="5"/>
      <c r="C30" s="5" t="s">
        <v>45</v>
      </c>
      <c r="D30" s="2">
        <v>38.299999999999997</v>
      </c>
    </row>
    <row r="31" spans="1:4" x14ac:dyDescent="0.55000000000000004">
      <c r="A31" s="5"/>
      <c r="B31" s="5"/>
      <c r="C31" s="5" t="s">
        <v>46</v>
      </c>
      <c r="D31" s="2">
        <f>56-38.3</f>
        <v>17.700000000000003</v>
      </c>
    </row>
    <row r="32" spans="1:4" x14ac:dyDescent="0.55000000000000004">
      <c r="A32" s="8" t="s">
        <v>47</v>
      </c>
      <c r="B32" s="8"/>
      <c r="C32" s="5"/>
    </row>
    <row r="33" spans="1:11" x14ac:dyDescent="0.55000000000000004">
      <c r="A33" s="5"/>
      <c r="B33" s="5"/>
      <c r="C33" s="5" t="s">
        <v>48</v>
      </c>
      <c r="D33" s="2" t="s">
        <v>436</v>
      </c>
    </row>
    <row r="34" spans="1:11" x14ac:dyDescent="0.55000000000000004">
      <c r="A34" s="8" t="s">
        <v>50</v>
      </c>
      <c r="B34" s="8"/>
      <c r="C34" s="5"/>
    </row>
    <row r="35" spans="1:11" x14ac:dyDescent="0.55000000000000004">
      <c r="A35" s="8"/>
      <c r="B35" s="8"/>
      <c r="C35" s="5"/>
    </row>
    <row r="36" spans="1:11" x14ac:dyDescent="0.55000000000000004">
      <c r="A36" s="8"/>
      <c r="B36" s="5" t="s">
        <v>59</v>
      </c>
      <c r="C36" s="5"/>
      <c r="D36" s="2" t="s">
        <v>51</v>
      </c>
      <c r="E36" s="1" t="s">
        <v>52</v>
      </c>
      <c r="F36" s="1" t="s">
        <v>53</v>
      </c>
      <c r="G36" s="1" t="s">
        <v>54</v>
      </c>
      <c r="H36" s="1" t="s">
        <v>55</v>
      </c>
      <c r="I36" s="1" t="s">
        <v>56</v>
      </c>
      <c r="J36" s="1" t="s">
        <v>57</v>
      </c>
      <c r="K36" s="1" t="s">
        <v>58</v>
      </c>
    </row>
    <row r="37" spans="1:11" x14ac:dyDescent="0.55000000000000004">
      <c r="A37" s="8"/>
      <c r="B37" s="5"/>
      <c r="C37" s="1" t="s">
        <v>437</v>
      </c>
      <c r="D37" s="2">
        <v>5.0999999999999996</v>
      </c>
      <c r="E37" s="1">
        <v>4</v>
      </c>
    </row>
    <row r="38" spans="1:11" x14ac:dyDescent="0.55000000000000004">
      <c r="A38" s="8"/>
      <c r="B38" s="5"/>
      <c r="C38" s="1" t="s">
        <v>438</v>
      </c>
      <c r="D38" s="2">
        <v>2.8</v>
      </c>
      <c r="E38" s="1">
        <v>2.8</v>
      </c>
    </row>
    <row r="39" spans="1:11" x14ac:dyDescent="0.55000000000000004">
      <c r="A39" s="8"/>
      <c r="B39" s="5"/>
    </row>
    <row r="40" spans="1:11" x14ac:dyDescent="0.55000000000000004">
      <c r="A40" s="8"/>
      <c r="B40" s="5"/>
    </row>
    <row r="41" spans="1:11" x14ac:dyDescent="0.55000000000000004">
      <c r="A41" s="8"/>
      <c r="C41" s="5"/>
    </row>
    <row r="45" spans="1:11" x14ac:dyDescent="0.55000000000000004">
      <c r="B45" s="5" t="s">
        <v>61</v>
      </c>
    </row>
    <row r="46" spans="1:11" x14ac:dyDescent="0.55000000000000004">
      <c r="C46" s="1" t="s">
        <v>79</v>
      </c>
      <c r="D46" s="2">
        <v>1</v>
      </c>
    </row>
    <row r="65" spans="1:5" x14ac:dyDescent="0.55000000000000004">
      <c r="A65" s="8"/>
      <c r="B65" s="5" t="s">
        <v>62</v>
      </c>
      <c r="C65" s="5"/>
      <c r="D65" s="2">
        <f>6*30</f>
        <v>180</v>
      </c>
    </row>
    <row r="66" spans="1:5" x14ac:dyDescent="0.55000000000000004">
      <c r="A66" s="8"/>
      <c r="B66" s="5" t="s">
        <v>63</v>
      </c>
      <c r="C66" s="5"/>
      <c r="D66" s="2" t="s">
        <v>20</v>
      </c>
    </row>
    <row r="67" spans="1:5" x14ac:dyDescent="0.55000000000000004">
      <c r="A67" s="8" t="s">
        <v>65</v>
      </c>
      <c r="B67" s="8"/>
      <c r="C67" s="5"/>
    </row>
    <row r="68" spans="1:5" x14ac:dyDescent="0.55000000000000004">
      <c r="A68" s="3" t="s">
        <v>67</v>
      </c>
      <c r="D68" s="2">
        <v>10</v>
      </c>
    </row>
    <row r="69" spans="1:5" x14ac:dyDescent="0.55000000000000004">
      <c r="A69" s="1" t="s">
        <v>68</v>
      </c>
      <c r="C69" s="1">
        <v>10</v>
      </c>
      <c r="D69" s="2">
        <v>22</v>
      </c>
    </row>
    <row r="70" spans="1:5" x14ac:dyDescent="0.55000000000000004">
      <c r="B70" s="1" t="s">
        <v>94</v>
      </c>
    </row>
    <row r="71" spans="1:5" x14ac:dyDescent="0.55000000000000004">
      <c r="C71" s="1" t="s">
        <v>439</v>
      </c>
      <c r="D71" s="2">
        <v>3.4</v>
      </c>
    </row>
    <row r="72" spans="1:5" x14ac:dyDescent="0.55000000000000004">
      <c r="C72" s="1" t="s">
        <v>440</v>
      </c>
      <c r="D72" s="2">
        <v>2.1</v>
      </c>
    </row>
    <row r="73" spans="1:5" x14ac:dyDescent="0.55000000000000004">
      <c r="C73" s="1" t="s">
        <v>441</v>
      </c>
      <c r="D73" s="2">
        <v>14.9</v>
      </c>
    </row>
    <row r="74" spans="1:5" x14ac:dyDescent="0.55000000000000004">
      <c r="C74" s="1" t="s">
        <v>442</v>
      </c>
      <c r="D74" s="2">
        <v>10.1</v>
      </c>
    </row>
    <row r="75" spans="1:5" x14ac:dyDescent="0.55000000000000004">
      <c r="C75" s="1" t="s">
        <v>443</v>
      </c>
      <c r="D75" s="2">
        <v>38.299999999999997</v>
      </c>
      <c r="E75" s="1">
        <v>17.7</v>
      </c>
    </row>
    <row r="76" spans="1:5" x14ac:dyDescent="0.55000000000000004">
      <c r="C76" s="1" t="s">
        <v>444</v>
      </c>
      <c r="D76" s="2">
        <v>25.6</v>
      </c>
      <c r="E76" s="1">
        <f>43.2-25.6</f>
        <v>17.600000000000001</v>
      </c>
    </row>
    <row r="77" spans="1:5" x14ac:dyDescent="0.55000000000000004">
      <c r="C77" s="1" t="s">
        <v>445</v>
      </c>
    </row>
    <row r="78" spans="1:5" x14ac:dyDescent="0.55000000000000004">
      <c r="C78" s="1" t="s">
        <v>437</v>
      </c>
      <c r="D78" s="2">
        <v>5.0999999999999996</v>
      </c>
      <c r="E78" s="1">
        <v>4</v>
      </c>
    </row>
    <row r="79" spans="1:5" x14ac:dyDescent="0.55000000000000004">
      <c r="C79" s="1" t="s">
        <v>438</v>
      </c>
      <c r="D79" s="2">
        <v>2.8</v>
      </c>
      <c r="E79" s="1">
        <v>2.8</v>
      </c>
    </row>
    <row r="80" spans="1:5" x14ac:dyDescent="0.55000000000000004">
      <c r="C80" s="1" t="s">
        <v>446</v>
      </c>
      <c r="D80" s="2">
        <v>3.1</v>
      </c>
      <c r="E80" s="1">
        <v>1.8</v>
      </c>
    </row>
    <row r="81" spans="3:11" x14ac:dyDescent="0.55000000000000004">
      <c r="C81" s="1" t="s">
        <v>447</v>
      </c>
      <c r="D81" s="2">
        <v>1.7</v>
      </c>
      <c r="E81" s="1">
        <v>1.6</v>
      </c>
    </row>
    <row r="82" spans="3:11" x14ac:dyDescent="0.55000000000000004">
      <c r="C82" s="1" t="s">
        <v>448</v>
      </c>
      <c r="D82" s="2">
        <f>D78+D80</f>
        <v>8.1999999999999993</v>
      </c>
      <c r="E82" s="10">
        <f>SQRT(($D$23*(E78+(D78-AVERAGE(D78,D80))^2)+$D$23*(E80+(D80-AVERAGE(D78,D80))^2))/($D$23+$D$23))</f>
        <v>1.9748417658131499</v>
      </c>
      <c r="K82" s="1">
        <f>SQRT(((($D$23-1)*E78^2)+(($D$23-1)*E80^2))/($D$23+$D$23-2))</f>
        <v>3.1016124838541645</v>
      </c>
    </row>
    <row r="83" spans="3:11" x14ac:dyDescent="0.55000000000000004">
      <c r="C83" s="1" t="s">
        <v>449</v>
      </c>
      <c r="D83" s="2">
        <f>D79+D81</f>
        <v>4.5</v>
      </c>
      <c r="E83" s="10">
        <f>SQRT(($D$23*(E79+(D79-AVERAGE(D79,D81))^2)+$D$23*(E81+(D81-AVERAGE(D79,D81))^2))/($D$23+$D$23))</f>
        <v>1.5819292019556372</v>
      </c>
      <c r="K83" s="1">
        <f>SQRT(((($D$23-1)*E79^2)+(($D$23-1)*E81^2))/($D$23+$D$23-2))</f>
        <v>2.2803508501982757</v>
      </c>
    </row>
  </sheetData>
  <pageMargins left="0.7" right="0.7" top="0.75" bottom="0.75" header="0.511811023622047" footer="0.511811023622047"/>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MJ69"/>
  <sheetViews>
    <sheetView topLeftCell="A19" zoomScale="90" zoomScaleNormal="90" workbookViewId="0">
      <selection activeCell="K36" sqref="K36"/>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5.41796875" style="1" customWidth="1"/>
    <col min="6" max="1024" width="11.41796875" style="1"/>
  </cols>
  <sheetData>
    <row r="1" spans="1:5" x14ac:dyDescent="0.55000000000000004">
      <c r="A1" s="3" t="s">
        <v>0</v>
      </c>
      <c r="D1" s="2" t="s">
        <v>109</v>
      </c>
    </row>
    <row r="2" spans="1:5" x14ac:dyDescent="0.55000000000000004">
      <c r="A2" s="58" t="s">
        <v>2</v>
      </c>
      <c r="B2" s="58"/>
      <c r="D2" s="2" t="s">
        <v>450</v>
      </c>
    </row>
    <row r="3" spans="1:5" x14ac:dyDescent="0.55000000000000004">
      <c r="A3" s="58"/>
      <c r="B3" s="58"/>
      <c r="C3" s="5" t="s">
        <v>4</v>
      </c>
      <c r="D3" s="2" t="s">
        <v>451</v>
      </c>
    </row>
    <row r="4" spans="1:5" x14ac:dyDescent="0.55000000000000004">
      <c r="A4" s="58"/>
      <c r="B4" s="58"/>
      <c r="C4" s="5" t="s">
        <v>6</v>
      </c>
      <c r="D4" s="2">
        <v>2000</v>
      </c>
    </row>
    <row r="5" spans="1:5" x14ac:dyDescent="0.55000000000000004">
      <c r="A5" s="58"/>
      <c r="B5" s="58"/>
      <c r="C5" s="5" t="s">
        <v>7</v>
      </c>
      <c r="D5" s="2" t="s">
        <v>452</v>
      </c>
    </row>
    <row r="6" spans="1:5" x14ac:dyDescent="0.55000000000000004">
      <c r="A6" s="58"/>
      <c r="B6" s="58"/>
      <c r="C6" s="5" t="s">
        <v>9</v>
      </c>
      <c r="D6" s="2" t="s">
        <v>101</v>
      </c>
    </row>
    <row r="7" spans="1:5" x14ac:dyDescent="0.55000000000000004">
      <c r="A7" s="58"/>
      <c r="B7" s="58"/>
      <c r="C7" s="5" t="s">
        <v>11</v>
      </c>
      <c r="D7" s="2" t="s">
        <v>12</v>
      </c>
    </row>
    <row r="8" spans="1:5" x14ac:dyDescent="0.55000000000000004">
      <c r="A8" s="59" t="s">
        <v>13</v>
      </c>
      <c r="B8" s="59"/>
      <c r="C8" s="5"/>
    </row>
    <row r="9" spans="1:5" ht="39" x14ac:dyDescent="0.55000000000000004">
      <c r="A9" s="58"/>
      <c r="B9" s="58"/>
      <c r="C9" s="5" t="s">
        <v>14</v>
      </c>
      <c r="D9" s="2" t="s">
        <v>453</v>
      </c>
    </row>
    <row r="10" spans="1:5" x14ac:dyDescent="0.55000000000000004">
      <c r="A10" s="58"/>
      <c r="B10" s="58"/>
      <c r="C10" s="5" t="s">
        <v>16</v>
      </c>
      <c r="D10" s="2" t="s">
        <v>454</v>
      </c>
      <c r="E10" s="1" t="s">
        <v>455</v>
      </c>
    </row>
    <row r="11" spans="1:5" x14ac:dyDescent="0.55000000000000004">
      <c r="A11" s="58"/>
      <c r="B11" s="58"/>
      <c r="C11" s="5" t="s">
        <v>19</v>
      </c>
      <c r="D11" s="2" t="s">
        <v>20</v>
      </c>
      <c r="E11" s="1" t="s">
        <v>456</v>
      </c>
    </row>
    <row r="12" spans="1:5" x14ac:dyDescent="0.55000000000000004">
      <c r="A12" s="58"/>
      <c r="B12" s="58"/>
      <c r="C12" s="5" t="s">
        <v>21</v>
      </c>
      <c r="D12" s="2" t="s">
        <v>20</v>
      </c>
      <c r="E12" s="1" t="s">
        <v>456</v>
      </c>
    </row>
    <row r="13" spans="1:5" x14ac:dyDescent="0.55000000000000004">
      <c r="A13" s="58"/>
      <c r="B13" s="58"/>
      <c r="C13" s="5" t="s">
        <v>22</v>
      </c>
      <c r="D13" s="2" t="s">
        <v>457</v>
      </c>
    </row>
    <row r="14" spans="1:5" x14ac:dyDescent="0.55000000000000004">
      <c r="A14" s="59" t="s">
        <v>24</v>
      </c>
      <c r="B14" s="59"/>
      <c r="C14" s="5"/>
    </row>
    <row r="15" spans="1:5" x14ac:dyDescent="0.55000000000000004">
      <c r="A15" s="58"/>
      <c r="B15" s="58"/>
      <c r="C15" s="5" t="s">
        <v>25</v>
      </c>
      <c r="D15" s="2" t="s">
        <v>181</v>
      </c>
    </row>
    <row r="16" spans="1:5" ht="26.1" x14ac:dyDescent="0.55000000000000004">
      <c r="A16" s="58"/>
      <c r="B16" s="58"/>
      <c r="C16" s="5" t="s">
        <v>27</v>
      </c>
      <c r="D16" s="2" t="s">
        <v>458</v>
      </c>
    </row>
    <row r="17" spans="1:4" x14ac:dyDescent="0.55000000000000004">
      <c r="A17" s="59" t="s">
        <v>29</v>
      </c>
      <c r="B17" s="59"/>
      <c r="C17" s="5"/>
    </row>
    <row r="18" spans="1:4" ht="90.6" x14ac:dyDescent="0.55000000000000004">
      <c r="A18" s="58"/>
      <c r="B18" s="58"/>
      <c r="C18" s="5" t="s">
        <v>30</v>
      </c>
      <c r="D18" s="25" t="s">
        <v>459</v>
      </c>
    </row>
    <row r="19" spans="1:4" ht="77.7" x14ac:dyDescent="0.55000000000000004">
      <c r="A19" s="58"/>
      <c r="B19" s="58"/>
      <c r="C19" s="5" t="s">
        <v>32</v>
      </c>
      <c r="D19" s="25" t="s">
        <v>460</v>
      </c>
    </row>
    <row r="20" spans="1:4" x14ac:dyDescent="0.55000000000000004">
      <c r="A20" s="59" t="s">
        <v>34</v>
      </c>
      <c r="B20" s="59"/>
      <c r="C20" s="5"/>
      <c r="D20" s="2" t="s">
        <v>35</v>
      </c>
    </row>
    <row r="21" spans="1:4" x14ac:dyDescent="0.55000000000000004">
      <c r="A21" s="58"/>
      <c r="B21" s="58"/>
      <c r="C21" s="5" t="s">
        <v>36</v>
      </c>
      <c r="D21" s="2">
        <v>113</v>
      </c>
    </row>
    <row r="22" spans="1:4" x14ac:dyDescent="0.55000000000000004">
      <c r="A22" s="58"/>
      <c r="B22" s="58"/>
      <c r="C22" s="5" t="s">
        <v>37</v>
      </c>
      <c r="D22" s="2">
        <v>105</v>
      </c>
    </row>
    <row r="23" spans="1:4" x14ac:dyDescent="0.55000000000000004">
      <c r="A23" s="58"/>
      <c r="B23" s="58"/>
      <c r="C23" s="5" t="s">
        <v>38</v>
      </c>
      <c r="D23" s="2">
        <v>105</v>
      </c>
    </row>
    <row r="24" spans="1:4" x14ac:dyDescent="0.55000000000000004">
      <c r="A24" s="58"/>
      <c r="B24" s="58"/>
      <c r="C24" s="5" t="s">
        <v>39</v>
      </c>
      <c r="D24" s="2">
        <v>8</v>
      </c>
    </row>
    <row r="25" spans="1:4" x14ac:dyDescent="0.55000000000000004">
      <c r="A25" s="58"/>
      <c r="B25" s="58"/>
      <c r="C25" s="5" t="s">
        <v>40</v>
      </c>
      <c r="D25" s="7">
        <f>41/105</f>
        <v>0.39047619047619048</v>
      </c>
    </row>
    <row r="26" spans="1:4" x14ac:dyDescent="0.55000000000000004">
      <c r="A26" s="58"/>
      <c r="B26" s="58"/>
      <c r="C26" s="5" t="s">
        <v>41</v>
      </c>
      <c r="D26" s="2">
        <v>62.9</v>
      </c>
    </row>
    <row r="27" spans="1:4" x14ac:dyDescent="0.55000000000000004">
      <c r="A27" s="58"/>
      <c r="B27" s="58"/>
      <c r="C27" s="5" t="s">
        <v>42</v>
      </c>
      <c r="D27" s="2">
        <v>10.6</v>
      </c>
    </row>
    <row r="28" spans="1:4" x14ac:dyDescent="0.55000000000000004">
      <c r="A28" s="58"/>
      <c r="B28" s="58"/>
      <c r="C28" s="5" t="s">
        <v>43</v>
      </c>
    </row>
    <row r="29" spans="1:4" x14ac:dyDescent="0.55000000000000004">
      <c r="A29" s="58"/>
      <c r="B29" s="58"/>
      <c r="C29" s="5" t="s">
        <v>44</v>
      </c>
      <c r="D29" s="2">
        <v>2</v>
      </c>
    </row>
    <row r="30" spans="1:4" x14ac:dyDescent="0.55000000000000004">
      <c r="A30" s="58"/>
      <c r="B30" s="58"/>
      <c r="C30" s="5" t="s">
        <v>45</v>
      </c>
      <c r="D30" s="2">
        <v>18.13</v>
      </c>
    </row>
    <row r="31" spans="1:4" x14ac:dyDescent="0.55000000000000004">
      <c r="A31" s="58"/>
      <c r="B31" s="58"/>
      <c r="C31" s="5" t="s">
        <v>46</v>
      </c>
      <c r="D31" s="2">
        <v>7.55</v>
      </c>
    </row>
    <row r="32" spans="1:4" x14ac:dyDescent="0.55000000000000004">
      <c r="A32" s="59" t="s">
        <v>47</v>
      </c>
      <c r="B32" s="59"/>
      <c r="C32" s="5"/>
    </row>
    <row r="33" spans="1:11" ht="103.5" x14ac:dyDescent="0.55000000000000004">
      <c r="A33" s="58"/>
      <c r="B33" s="58"/>
      <c r="C33" s="5" t="s">
        <v>48</v>
      </c>
      <c r="D33" s="2" t="s">
        <v>461</v>
      </c>
    </row>
    <row r="34" spans="1:11" x14ac:dyDescent="0.55000000000000004">
      <c r="A34" s="59" t="s">
        <v>50</v>
      </c>
      <c r="B34" s="59"/>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9"/>
      <c r="B36" s="5" t="s">
        <v>59</v>
      </c>
      <c r="C36" s="5"/>
    </row>
    <row r="37" spans="1:11" x14ac:dyDescent="0.55000000000000004">
      <c r="A37" s="59"/>
      <c r="B37" s="5"/>
      <c r="C37" s="5" t="s">
        <v>462</v>
      </c>
      <c r="D37" s="7">
        <v>0.47</v>
      </c>
    </row>
    <row r="38" spans="1:11" x14ac:dyDescent="0.55000000000000004">
      <c r="A38" s="59"/>
      <c r="B38" s="5"/>
      <c r="C38" s="5"/>
    </row>
    <row r="39" spans="1:11" x14ac:dyDescent="0.55000000000000004">
      <c r="A39" s="59"/>
      <c r="B39" s="5"/>
      <c r="C39" s="5"/>
    </row>
    <row r="40" spans="1:11" x14ac:dyDescent="0.55000000000000004">
      <c r="A40" s="59"/>
      <c r="B40" s="5"/>
      <c r="C40" s="5"/>
    </row>
    <row r="41" spans="1:11" x14ac:dyDescent="0.55000000000000004">
      <c r="A41" s="59"/>
      <c r="B41" s="5"/>
      <c r="C41" s="5"/>
    </row>
    <row r="42" spans="1:11" x14ac:dyDescent="0.55000000000000004">
      <c r="A42" s="59"/>
      <c r="B42" s="5"/>
      <c r="C42" s="5"/>
    </row>
    <row r="43" spans="1:11" x14ac:dyDescent="0.55000000000000004">
      <c r="A43" s="59"/>
      <c r="B43" s="5"/>
      <c r="C43" s="5"/>
    </row>
    <row r="44" spans="1:11" x14ac:dyDescent="0.55000000000000004">
      <c r="A44" s="59"/>
      <c r="B44" s="5"/>
      <c r="C44" s="5"/>
    </row>
    <row r="45" spans="1:11" x14ac:dyDescent="0.55000000000000004">
      <c r="A45" s="59"/>
      <c r="B45" s="5" t="s">
        <v>61</v>
      </c>
      <c r="C45" s="5"/>
    </row>
    <row r="46" spans="1:11" x14ac:dyDescent="0.55000000000000004">
      <c r="A46" s="59"/>
      <c r="B46" s="5"/>
      <c r="C46" s="5"/>
    </row>
    <row r="47" spans="1:11" x14ac:dyDescent="0.55000000000000004">
      <c r="A47" s="59"/>
      <c r="B47" s="5"/>
      <c r="C47" s="5"/>
    </row>
    <row r="48" spans="1:11" x14ac:dyDescent="0.55000000000000004">
      <c r="A48" s="59"/>
      <c r="B48" s="5"/>
      <c r="C48" s="5"/>
    </row>
    <row r="49" spans="1:3" x14ac:dyDescent="0.55000000000000004">
      <c r="A49" s="59"/>
      <c r="B49" s="5"/>
      <c r="C49" s="5"/>
    </row>
    <row r="50" spans="1:3" x14ac:dyDescent="0.55000000000000004">
      <c r="A50" s="59"/>
      <c r="B50" s="5"/>
      <c r="C50" s="5"/>
    </row>
    <row r="51" spans="1:3" x14ac:dyDescent="0.55000000000000004">
      <c r="A51" s="59"/>
      <c r="B51" s="5"/>
      <c r="C51" s="5"/>
    </row>
    <row r="52" spans="1:3" x14ac:dyDescent="0.55000000000000004">
      <c r="A52" s="59"/>
      <c r="B52" s="5"/>
      <c r="C52" s="5"/>
    </row>
    <row r="53" spans="1:3" x14ac:dyDescent="0.55000000000000004">
      <c r="A53" s="59"/>
      <c r="B53" s="5"/>
      <c r="C53" s="5"/>
    </row>
    <row r="54" spans="1:3" x14ac:dyDescent="0.55000000000000004">
      <c r="A54" s="59"/>
      <c r="B54" s="5"/>
      <c r="C54" s="5"/>
    </row>
    <row r="55" spans="1:3" x14ac:dyDescent="0.55000000000000004">
      <c r="A55" s="59"/>
      <c r="B55" s="5"/>
      <c r="C55" s="5"/>
    </row>
    <row r="56" spans="1:3" x14ac:dyDescent="0.55000000000000004">
      <c r="A56" s="59"/>
      <c r="B56" s="5"/>
      <c r="C56" s="5"/>
    </row>
    <row r="57" spans="1:3" x14ac:dyDescent="0.55000000000000004">
      <c r="A57" s="59"/>
      <c r="B57" s="5"/>
      <c r="C57" s="5"/>
    </row>
    <row r="58" spans="1:3" x14ac:dyDescent="0.55000000000000004">
      <c r="A58" s="59"/>
      <c r="B58" s="5"/>
      <c r="C58" s="5"/>
    </row>
    <row r="59" spans="1:3" x14ac:dyDescent="0.55000000000000004">
      <c r="A59" s="59"/>
      <c r="B59" s="5"/>
      <c r="C59" s="5"/>
    </row>
    <row r="60" spans="1:3" x14ac:dyDescent="0.55000000000000004">
      <c r="A60" s="59"/>
      <c r="B60" s="5"/>
      <c r="C60" s="5"/>
    </row>
    <row r="61" spans="1:3" x14ac:dyDescent="0.55000000000000004">
      <c r="A61" s="59"/>
      <c r="B61" s="5"/>
      <c r="C61" s="5"/>
    </row>
    <row r="62" spans="1:3" x14ac:dyDescent="0.55000000000000004">
      <c r="A62" s="59"/>
      <c r="B62" s="5"/>
      <c r="C62" s="5"/>
    </row>
    <row r="63" spans="1:3" x14ac:dyDescent="0.55000000000000004">
      <c r="A63" s="59"/>
      <c r="B63" s="5"/>
      <c r="C63" s="5"/>
    </row>
    <row r="64" spans="1:3" x14ac:dyDescent="0.55000000000000004">
      <c r="A64" s="59"/>
      <c r="B64" s="5"/>
      <c r="C64" s="5"/>
    </row>
    <row r="65" spans="1:5" x14ac:dyDescent="0.55000000000000004">
      <c r="A65" s="59"/>
      <c r="B65" s="5" t="s">
        <v>62</v>
      </c>
      <c r="C65" s="5"/>
      <c r="D65" s="2">
        <f>24*7</f>
        <v>168</v>
      </c>
    </row>
    <row r="66" spans="1:5" x14ac:dyDescent="0.55000000000000004">
      <c r="A66" s="59"/>
      <c r="B66" s="5" t="s">
        <v>63</v>
      </c>
      <c r="C66" s="5"/>
      <c r="D66" s="2" t="s">
        <v>64</v>
      </c>
    </row>
    <row r="67" spans="1:5" ht="51.9" x14ac:dyDescent="0.55000000000000004">
      <c r="A67" s="59" t="s">
        <v>65</v>
      </c>
      <c r="B67" s="59"/>
      <c r="C67" s="5"/>
      <c r="D67" s="2" t="s">
        <v>463</v>
      </c>
      <c r="E67" s="1" t="s">
        <v>464</v>
      </c>
    </row>
    <row r="68" spans="1:5" x14ac:dyDescent="0.55000000000000004">
      <c r="A68" s="3" t="s">
        <v>67</v>
      </c>
    </row>
    <row r="69" spans="1:5" x14ac:dyDescent="0.55000000000000004">
      <c r="A69" s="1" t="s">
        <v>68</v>
      </c>
      <c r="C69" s="1">
        <v>26</v>
      </c>
      <c r="D69" s="2">
        <v>26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MJ69"/>
  <sheetViews>
    <sheetView topLeftCell="A20" zoomScale="90" zoomScaleNormal="90" workbookViewId="0">
      <selection activeCell="E37" sqref="E37"/>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5.15625" style="1" customWidth="1"/>
    <col min="6" max="1024" width="11.41796875" style="1"/>
  </cols>
  <sheetData>
    <row r="1" spans="1:4" x14ac:dyDescent="0.55000000000000004">
      <c r="A1" s="3" t="s">
        <v>0</v>
      </c>
      <c r="D1" s="2" t="s">
        <v>269</v>
      </c>
    </row>
    <row r="2" spans="1:4" x14ac:dyDescent="0.55000000000000004">
      <c r="A2" s="58" t="s">
        <v>2</v>
      </c>
      <c r="B2" s="58"/>
      <c r="D2" s="2" t="s">
        <v>465</v>
      </c>
    </row>
    <row r="3" spans="1:4" x14ac:dyDescent="0.55000000000000004">
      <c r="A3" s="58"/>
      <c r="B3" s="58"/>
      <c r="C3" s="5" t="s">
        <v>4</v>
      </c>
      <c r="D3" s="2" t="s">
        <v>466</v>
      </c>
    </row>
    <row r="4" spans="1:4" x14ac:dyDescent="0.55000000000000004">
      <c r="A4" s="58"/>
      <c r="B4" s="58"/>
      <c r="C4" s="5" t="s">
        <v>6</v>
      </c>
      <c r="D4" s="2">
        <v>2006</v>
      </c>
    </row>
    <row r="5" spans="1:4" ht="26.1" x14ac:dyDescent="0.55000000000000004">
      <c r="A5" s="58"/>
      <c r="B5" s="58"/>
      <c r="C5" s="5" t="s">
        <v>7</v>
      </c>
      <c r="D5" s="2" t="s">
        <v>467</v>
      </c>
    </row>
    <row r="6" spans="1:4" x14ac:dyDescent="0.55000000000000004">
      <c r="A6" s="58"/>
      <c r="B6" s="58"/>
      <c r="C6" s="5" t="s">
        <v>9</v>
      </c>
      <c r="D6" s="2" t="s">
        <v>468</v>
      </c>
    </row>
    <row r="7" spans="1:4" x14ac:dyDescent="0.55000000000000004">
      <c r="A7" s="58"/>
      <c r="B7" s="58"/>
      <c r="C7" s="5" t="s">
        <v>11</v>
      </c>
      <c r="D7" s="2" t="s">
        <v>12</v>
      </c>
    </row>
    <row r="8" spans="1:4" x14ac:dyDescent="0.55000000000000004">
      <c r="A8" s="59" t="s">
        <v>13</v>
      </c>
      <c r="B8" s="59"/>
      <c r="C8" s="5"/>
    </row>
    <row r="9" spans="1:4" x14ac:dyDescent="0.55000000000000004">
      <c r="A9" s="58"/>
      <c r="B9" s="58"/>
      <c r="C9" s="5" t="s">
        <v>14</v>
      </c>
      <c r="D9" s="2" t="s">
        <v>469</v>
      </c>
    </row>
    <row r="10" spans="1:4" x14ac:dyDescent="0.55000000000000004">
      <c r="A10" s="58"/>
      <c r="B10" s="58"/>
      <c r="C10" s="5" t="s">
        <v>16</v>
      </c>
      <c r="D10" s="2" t="s">
        <v>86</v>
      </c>
    </row>
    <row r="11" spans="1:4" x14ac:dyDescent="0.55000000000000004">
      <c r="A11" s="58"/>
      <c r="B11" s="58"/>
      <c r="C11" s="5" t="s">
        <v>19</v>
      </c>
      <c r="D11" s="2" t="s">
        <v>20</v>
      </c>
    </row>
    <row r="12" spans="1:4" x14ac:dyDescent="0.55000000000000004">
      <c r="A12" s="58"/>
      <c r="B12" s="58"/>
      <c r="C12" s="5" t="s">
        <v>21</v>
      </c>
      <c r="D12" s="2" t="s">
        <v>20</v>
      </c>
    </row>
    <row r="13" spans="1:4" x14ac:dyDescent="0.55000000000000004">
      <c r="A13" s="58"/>
      <c r="B13" s="58"/>
      <c r="C13" s="5" t="s">
        <v>22</v>
      </c>
      <c r="D13" s="2" t="s">
        <v>20</v>
      </c>
    </row>
    <row r="14" spans="1:4" x14ac:dyDescent="0.55000000000000004">
      <c r="A14" s="59" t="s">
        <v>24</v>
      </c>
      <c r="B14" s="59"/>
      <c r="C14" s="5"/>
    </row>
    <row r="15" spans="1:4" x14ac:dyDescent="0.55000000000000004">
      <c r="A15" s="58"/>
      <c r="B15" s="58"/>
      <c r="C15" s="5" t="s">
        <v>25</v>
      </c>
      <c r="D15" s="2" t="s">
        <v>87</v>
      </c>
    </row>
    <row r="16" spans="1:4" x14ac:dyDescent="0.55000000000000004">
      <c r="A16" s="58"/>
      <c r="B16" s="58"/>
      <c r="C16" s="5" t="s">
        <v>27</v>
      </c>
      <c r="D16" s="2" t="s">
        <v>470</v>
      </c>
    </row>
    <row r="17" spans="1:4" x14ac:dyDescent="0.55000000000000004">
      <c r="A17" s="59" t="s">
        <v>29</v>
      </c>
      <c r="B17" s="59"/>
      <c r="C17" s="5"/>
    </row>
    <row r="18" spans="1:4" x14ac:dyDescent="0.55000000000000004">
      <c r="A18" s="58"/>
      <c r="B18" s="58"/>
      <c r="C18" s="5" t="s">
        <v>30</v>
      </c>
      <c r="D18" s="2" t="s">
        <v>471</v>
      </c>
    </row>
    <row r="19" spans="1:4" x14ac:dyDescent="0.55000000000000004">
      <c r="A19" s="58"/>
      <c r="B19" s="58"/>
      <c r="C19" s="5" t="s">
        <v>32</v>
      </c>
      <c r="D19" s="2" t="s">
        <v>472</v>
      </c>
    </row>
    <row r="20" spans="1:4" x14ac:dyDescent="0.55000000000000004">
      <c r="A20" s="59" t="s">
        <v>34</v>
      </c>
      <c r="B20" s="59"/>
      <c r="C20" s="5"/>
      <c r="D20" s="2" t="s">
        <v>35</v>
      </c>
    </row>
    <row r="21" spans="1:4" x14ac:dyDescent="0.55000000000000004">
      <c r="A21" s="58"/>
      <c r="B21" s="58"/>
      <c r="C21" s="5" t="s">
        <v>36</v>
      </c>
      <c r="D21" s="2">
        <v>68</v>
      </c>
    </row>
    <row r="22" spans="1:4" x14ac:dyDescent="0.55000000000000004">
      <c r="A22" s="58"/>
      <c r="B22" s="58"/>
      <c r="C22" s="5" t="s">
        <v>37</v>
      </c>
      <c r="D22" s="2">
        <v>68</v>
      </c>
    </row>
    <row r="23" spans="1:4" x14ac:dyDescent="0.55000000000000004">
      <c r="A23" s="58"/>
      <c r="B23" s="58"/>
      <c r="C23" s="5" t="s">
        <v>38</v>
      </c>
      <c r="D23" s="2">
        <v>68</v>
      </c>
    </row>
    <row r="24" spans="1:4" x14ac:dyDescent="0.55000000000000004">
      <c r="A24" s="58"/>
      <c r="B24" s="58"/>
      <c r="C24" s="5" t="s">
        <v>39</v>
      </c>
    </row>
    <row r="25" spans="1:4" x14ac:dyDescent="0.55000000000000004">
      <c r="A25" s="58"/>
      <c r="B25" s="58"/>
      <c r="C25" s="5" t="s">
        <v>40</v>
      </c>
      <c r="D25" s="7">
        <f>15/D21</f>
        <v>0.22058823529411764</v>
      </c>
    </row>
    <row r="26" spans="1:4" x14ac:dyDescent="0.55000000000000004">
      <c r="A26" s="58"/>
      <c r="B26" s="58"/>
      <c r="C26" s="5" t="s">
        <v>41</v>
      </c>
      <c r="D26" s="2">
        <v>65</v>
      </c>
    </row>
    <row r="27" spans="1:4" x14ac:dyDescent="0.55000000000000004">
      <c r="A27" s="58"/>
      <c r="B27" s="58"/>
      <c r="C27" s="5" t="s">
        <v>42</v>
      </c>
      <c r="D27" s="2">
        <v>7.8</v>
      </c>
    </row>
    <row r="28" spans="1:4" x14ac:dyDescent="0.55000000000000004">
      <c r="A28" s="58"/>
      <c r="B28" s="58"/>
      <c r="C28" s="5" t="s">
        <v>43</v>
      </c>
      <c r="D28" s="2" t="s">
        <v>20</v>
      </c>
    </row>
    <row r="29" spans="1:4" x14ac:dyDescent="0.55000000000000004">
      <c r="A29" s="58"/>
      <c r="B29" s="58"/>
      <c r="C29" s="5" t="s">
        <v>44</v>
      </c>
      <c r="D29" s="2" t="s">
        <v>20</v>
      </c>
    </row>
    <row r="30" spans="1:4" x14ac:dyDescent="0.55000000000000004">
      <c r="A30" s="58"/>
      <c r="B30" s="58"/>
      <c r="C30" s="5" t="s">
        <v>45</v>
      </c>
      <c r="D30" s="2">
        <v>29.9</v>
      </c>
    </row>
    <row r="31" spans="1:4" x14ac:dyDescent="0.55000000000000004">
      <c r="A31" s="58"/>
      <c r="B31" s="58"/>
      <c r="C31" s="5" t="s">
        <v>46</v>
      </c>
      <c r="D31" s="2">
        <v>11.9</v>
      </c>
    </row>
    <row r="32" spans="1:4" x14ac:dyDescent="0.55000000000000004">
      <c r="A32" s="59" t="s">
        <v>47</v>
      </c>
      <c r="B32" s="59"/>
      <c r="C32" s="5"/>
    </row>
    <row r="33" spans="1:11" ht="77.7" x14ac:dyDescent="0.55000000000000004">
      <c r="A33" s="58"/>
      <c r="B33" s="58"/>
      <c r="C33" s="5" t="s">
        <v>48</v>
      </c>
      <c r="D33" s="2" t="s">
        <v>473</v>
      </c>
    </row>
    <row r="34" spans="1:11" x14ac:dyDescent="0.55000000000000004">
      <c r="A34" s="59" t="s">
        <v>50</v>
      </c>
      <c r="B34" s="59"/>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9"/>
      <c r="B36" s="5" t="s">
        <v>59</v>
      </c>
    </row>
    <row r="37" spans="1:11" x14ac:dyDescent="0.55000000000000004">
      <c r="A37" s="59"/>
      <c r="B37" s="5"/>
      <c r="C37" s="5" t="s">
        <v>474</v>
      </c>
      <c r="D37" s="7">
        <v>5.7</v>
      </c>
      <c r="E37" s="10">
        <f>7.35-5.7</f>
        <v>1.6499999999999995</v>
      </c>
    </row>
    <row r="38" spans="1:11" x14ac:dyDescent="0.55000000000000004">
      <c r="A38" s="59"/>
      <c r="B38" s="5"/>
      <c r="C38" s="5" t="s">
        <v>475</v>
      </c>
      <c r="D38" s="7">
        <v>4.3099999999999996</v>
      </c>
      <c r="E38" s="10">
        <f>5.77-4.32</f>
        <v>1.4499999999999993</v>
      </c>
    </row>
    <row r="39" spans="1:11" x14ac:dyDescent="0.55000000000000004">
      <c r="A39" s="59"/>
      <c r="B39" s="5"/>
      <c r="C39" s="5"/>
    </row>
    <row r="40" spans="1:11" x14ac:dyDescent="0.55000000000000004">
      <c r="A40" s="59"/>
      <c r="B40" s="5"/>
      <c r="C40" s="5"/>
    </row>
    <row r="41" spans="1:11" x14ac:dyDescent="0.55000000000000004">
      <c r="A41" s="59"/>
      <c r="B41" s="5"/>
      <c r="C41" s="5"/>
    </row>
    <row r="42" spans="1:11" x14ac:dyDescent="0.55000000000000004">
      <c r="A42" s="59"/>
      <c r="B42" s="5"/>
      <c r="C42" s="5"/>
    </row>
    <row r="43" spans="1:11" x14ac:dyDescent="0.55000000000000004">
      <c r="A43" s="59"/>
      <c r="B43" s="5"/>
      <c r="C43" s="5"/>
    </row>
    <row r="44" spans="1:11" x14ac:dyDescent="0.55000000000000004">
      <c r="A44" s="59"/>
      <c r="B44" s="5"/>
      <c r="C44" s="5"/>
    </row>
    <row r="45" spans="1:11" x14ac:dyDescent="0.55000000000000004">
      <c r="A45" s="59"/>
      <c r="B45" s="5" t="s">
        <v>61</v>
      </c>
      <c r="C45" s="5"/>
    </row>
    <row r="46" spans="1:11" x14ac:dyDescent="0.55000000000000004">
      <c r="A46" s="59"/>
      <c r="B46" s="5"/>
      <c r="C46" s="5"/>
    </row>
    <row r="47" spans="1:11" x14ac:dyDescent="0.55000000000000004">
      <c r="A47" s="59"/>
      <c r="B47" s="5"/>
      <c r="C47" s="5"/>
    </row>
    <row r="48" spans="1:11" x14ac:dyDescent="0.55000000000000004">
      <c r="A48" s="59"/>
      <c r="B48" s="5"/>
      <c r="C48" s="5"/>
    </row>
    <row r="49" spans="1:3" x14ac:dyDescent="0.55000000000000004">
      <c r="A49" s="59"/>
      <c r="B49" s="5"/>
      <c r="C49" s="5"/>
    </row>
    <row r="50" spans="1:3" x14ac:dyDescent="0.55000000000000004">
      <c r="A50" s="59"/>
      <c r="B50" s="5"/>
      <c r="C50" s="5"/>
    </row>
    <row r="51" spans="1:3" x14ac:dyDescent="0.55000000000000004">
      <c r="A51" s="59"/>
      <c r="B51" s="5"/>
      <c r="C51" s="5"/>
    </row>
    <row r="52" spans="1:3" x14ac:dyDescent="0.55000000000000004">
      <c r="A52" s="59"/>
      <c r="B52" s="5"/>
      <c r="C52" s="5"/>
    </row>
    <row r="53" spans="1:3" x14ac:dyDescent="0.55000000000000004">
      <c r="A53" s="59"/>
      <c r="B53" s="5"/>
      <c r="C53" s="5"/>
    </row>
    <row r="54" spans="1:3" x14ac:dyDescent="0.55000000000000004">
      <c r="A54" s="59"/>
      <c r="B54" s="5"/>
      <c r="C54" s="5"/>
    </row>
    <row r="55" spans="1:3" x14ac:dyDescent="0.55000000000000004">
      <c r="A55" s="59"/>
      <c r="B55" s="5"/>
      <c r="C55" s="5"/>
    </row>
    <row r="56" spans="1:3" x14ac:dyDescent="0.55000000000000004">
      <c r="A56" s="59"/>
      <c r="B56" s="5"/>
      <c r="C56" s="5"/>
    </row>
    <row r="57" spans="1:3" x14ac:dyDescent="0.55000000000000004">
      <c r="A57" s="59"/>
      <c r="B57" s="5"/>
      <c r="C57" s="5"/>
    </row>
    <row r="58" spans="1:3" x14ac:dyDescent="0.55000000000000004">
      <c r="A58" s="59"/>
      <c r="B58" s="5"/>
      <c r="C58" s="5"/>
    </row>
    <row r="59" spans="1:3" x14ac:dyDescent="0.55000000000000004">
      <c r="A59" s="59"/>
      <c r="B59" s="5"/>
      <c r="C59" s="5"/>
    </row>
    <row r="60" spans="1:3" x14ac:dyDescent="0.55000000000000004">
      <c r="A60" s="59"/>
      <c r="B60" s="5"/>
      <c r="C60" s="5"/>
    </row>
    <row r="61" spans="1:3" x14ac:dyDescent="0.55000000000000004">
      <c r="A61" s="59"/>
      <c r="B61" s="5"/>
      <c r="C61" s="5"/>
    </row>
    <row r="62" spans="1:3" x14ac:dyDescent="0.55000000000000004">
      <c r="A62" s="59"/>
      <c r="B62" s="5"/>
      <c r="C62" s="5"/>
    </row>
    <row r="63" spans="1:3" x14ac:dyDescent="0.55000000000000004">
      <c r="A63" s="59"/>
      <c r="B63" s="5"/>
      <c r="C63" s="5"/>
    </row>
    <row r="64" spans="1:3" x14ac:dyDescent="0.55000000000000004">
      <c r="A64" s="59"/>
      <c r="B64" s="5"/>
      <c r="C64" s="5"/>
    </row>
    <row r="65" spans="1:4" x14ac:dyDescent="0.55000000000000004">
      <c r="A65" s="59"/>
      <c r="B65" s="5" t="s">
        <v>62</v>
      </c>
      <c r="C65" s="5"/>
      <c r="D65" s="7">
        <f>1/(60*24)*120</f>
        <v>8.3333333333333343E-2</v>
      </c>
    </row>
    <row r="66" spans="1:4" x14ac:dyDescent="0.55000000000000004">
      <c r="A66" s="59"/>
      <c r="B66" s="5" t="s">
        <v>63</v>
      </c>
      <c r="C66" s="5"/>
      <c r="D66" s="2" t="s">
        <v>476</v>
      </c>
    </row>
    <row r="67" spans="1:4" x14ac:dyDescent="0.55000000000000004">
      <c r="A67" s="59" t="s">
        <v>65</v>
      </c>
      <c r="B67" s="59"/>
      <c r="C67" s="5"/>
    </row>
    <row r="68" spans="1:4" x14ac:dyDescent="0.55000000000000004">
      <c r="A68" s="3" t="s">
        <v>67</v>
      </c>
    </row>
    <row r="69" spans="1:4" x14ac:dyDescent="0.55000000000000004">
      <c r="A69" s="1" t="s">
        <v>68</v>
      </c>
      <c r="C69" s="1">
        <v>26</v>
      </c>
      <c r="D69" s="2">
        <v>26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MJ71"/>
  <sheetViews>
    <sheetView topLeftCell="A25" zoomScale="90" zoomScaleNormal="90" workbookViewId="0">
      <selection activeCell="C54" sqref="A1:XFD1048576"/>
    </sheetView>
  </sheetViews>
  <sheetFormatPr baseColWidth="10" defaultColWidth="11.41796875" defaultRowHeight="14.4" x14ac:dyDescent="0.55000000000000004"/>
  <cols>
    <col min="1" max="1" width="10.83984375" style="1" customWidth="1"/>
    <col min="2" max="2" width="18.83984375" style="1" customWidth="1"/>
    <col min="3" max="3" width="51.41796875" style="1" customWidth="1"/>
    <col min="4" max="4" width="56.15625" style="2" customWidth="1"/>
    <col min="5" max="5" width="4.15625" style="1" customWidth="1"/>
    <col min="6" max="1024" width="11.41796875" style="1"/>
  </cols>
  <sheetData>
    <row r="1" spans="1:5" x14ac:dyDescent="0.55000000000000004">
      <c r="A1" s="3" t="s">
        <v>0</v>
      </c>
      <c r="D1" s="2" t="s">
        <v>372</v>
      </c>
    </row>
    <row r="2" spans="1:5" x14ac:dyDescent="0.55000000000000004">
      <c r="A2" s="58" t="s">
        <v>2</v>
      </c>
      <c r="B2" s="58"/>
      <c r="D2" s="2" t="s">
        <v>477</v>
      </c>
    </row>
    <row r="3" spans="1:5" x14ac:dyDescent="0.55000000000000004">
      <c r="A3" s="58"/>
      <c r="B3" s="58"/>
      <c r="C3" s="5" t="s">
        <v>4</v>
      </c>
      <c r="D3" s="1" t="s">
        <v>478</v>
      </c>
    </row>
    <row r="4" spans="1:5" x14ac:dyDescent="0.55000000000000004">
      <c r="A4" s="58"/>
      <c r="B4" s="58"/>
      <c r="C4" s="5" t="s">
        <v>6</v>
      </c>
      <c r="D4" s="2">
        <v>2020</v>
      </c>
    </row>
    <row r="5" spans="1:5" ht="26.1" x14ac:dyDescent="0.55000000000000004">
      <c r="A5" s="58"/>
      <c r="B5" s="58"/>
      <c r="C5" s="5" t="s">
        <v>7</v>
      </c>
      <c r="D5" s="2" t="s">
        <v>479</v>
      </c>
    </row>
    <row r="6" spans="1:5" x14ac:dyDescent="0.55000000000000004">
      <c r="A6" s="58"/>
      <c r="B6" s="58"/>
      <c r="C6" s="5" t="s">
        <v>9</v>
      </c>
      <c r="D6" s="2" t="s">
        <v>480</v>
      </c>
    </row>
    <row r="7" spans="1:5" x14ac:dyDescent="0.55000000000000004">
      <c r="A7" s="58"/>
      <c r="B7" s="58"/>
      <c r="C7" s="5" t="s">
        <v>11</v>
      </c>
      <c r="D7" s="2" t="s">
        <v>12</v>
      </c>
    </row>
    <row r="8" spans="1:5" x14ac:dyDescent="0.55000000000000004">
      <c r="A8" s="59" t="s">
        <v>13</v>
      </c>
      <c r="B8" s="59"/>
      <c r="C8" s="5"/>
    </row>
    <row r="9" spans="1:5" x14ac:dyDescent="0.55000000000000004">
      <c r="A9" s="58"/>
      <c r="B9" s="58"/>
      <c r="C9" s="5" t="s">
        <v>14</v>
      </c>
      <c r="D9" s="2" t="s">
        <v>481</v>
      </c>
    </row>
    <row r="10" spans="1:5" x14ac:dyDescent="0.55000000000000004">
      <c r="A10" s="58"/>
      <c r="B10" s="58"/>
      <c r="C10" s="5" t="s">
        <v>16</v>
      </c>
      <c r="D10" s="2" t="s">
        <v>86</v>
      </c>
      <c r="E10" s="1" t="s">
        <v>18</v>
      </c>
    </row>
    <row r="11" spans="1:5" x14ac:dyDescent="0.55000000000000004">
      <c r="A11" s="58"/>
      <c r="B11" s="58"/>
      <c r="C11" s="5" t="s">
        <v>19</v>
      </c>
      <c r="D11" s="21">
        <v>43040</v>
      </c>
    </row>
    <row r="12" spans="1:5" x14ac:dyDescent="0.55000000000000004">
      <c r="A12" s="58"/>
      <c r="B12" s="58"/>
      <c r="C12" s="5" t="s">
        <v>21</v>
      </c>
      <c r="D12" s="21">
        <v>43344</v>
      </c>
    </row>
    <row r="13" spans="1:5" x14ac:dyDescent="0.55000000000000004">
      <c r="A13" s="58"/>
      <c r="B13" s="58"/>
      <c r="C13" s="5" t="s">
        <v>22</v>
      </c>
      <c r="D13" s="2" t="s">
        <v>20</v>
      </c>
    </row>
    <row r="14" spans="1:5" x14ac:dyDescent="0.55000000000000004">
      <c r="A14" s="59" t="s">
        <v>24</v>
      </c>
      <c r="B14" s="59"/>
      <c r="C14" s="5"/>
    </row>
    <row r="15" spans="1:5" x14ac:dyDescent="0.55000000000000004">
      <c r="A15" s="58"/>
      <c r="B15" s="58"/>
      <c r="C15" s="5" t="s">
        <v>25</v>
      </c>
      <c r="D15" s="2" t="s">
        <v>87</v>
      </c>
    </row>
    <row r="16" spans="1:5" x14ac:dyDescent="0.55000000000000004">
      <c r="A16" s="58"/>
      <c r="B16" s="58"/>
      <c r="C16" s="5" t="s">
        <v>27</v>
      </c>
      <c r="D16" s="2" t="s">
        <v>482</v>
      </c>
    </row>
    <row r="17" spans="1:4" x14ac:dyDescent="0.55000000000000004">
      <c r="A17" s="59" t="s">
        <v>29</v>
      </c>
      <c r="B17" s="59"/>
      <c r="C17" s="5"/>
    </row>
    <row r="18" spans="1:4" x14ac:dyDescent="0.55000000000000004">
      <c r="A18" s="58"/>
      <c r="B18" s="58"/>
      <c r="C18" s="5" t="s">
        <v>30</v>
      </c>
      <c r="D18" s="2" t="s">
        <v>483</v>
      </c>
    </row>
    <row r="19" spans="1:4" x14ac:dyDescent="0.55000000000000004">
      <c r="A19" s="58"/>
      <c r="B19" s="58"/>
      <c r="C19" s="5" t="s">
        <v>32</v>
      </c>
      <c r="D19" s="2" t="s">
        <v>484</v>
      </c>
    </row>
    <row r="20" spans="1:4" x14ac:dyDescent="0.55000000000000004">
      <c r="A20" s="59" t="s">
        <v>34</v>
      </c>
      <c r="B20" s="59"/>
      <c r="C20" s="5"/>
      <c r="D20" s="2" t="s">
        <v>35</v>
      </c>
    </row>
    <row r="21" spans="1:4" x14ac:dyDescent="0.55000000000000004">
      <c r="A21" s="58"/>
      <c r="B21" s="58"/>
      <c r="C21" s="5" t="s">
        <v>36</v>
      </c>
      <c r="D21" s="2">
        <v>69</v>
      </c>
    </row>
    <row r="22" spans="1:4" x14ac:dyDescent="0.55000000000000004">
      <c r="A22" s="58"/>
      <c r="B22" s="58"/>
      <c r="C22" s="5" t="s">
        <v>37</v>
      </c>
      <c r="D22" s="2">
        <v>47</v>
      </c>
    </row>
    <row r="23" spans="1:4" x14ac:dyDescent="0.55000000000000004">
      <c r="A23" s="58"/>
      <c r="B23" s="58"/>
      <c r="C23" s="5" t="s">
        <v>38</v>
      </c>
      <c r="D23" s="2">
        <v>38</v>
      </c>
    </row>
    <row r="24" spans="1:4" x14ac:dyDescent="0.55000000000000004">
      <c r="A24" s="58"/>
      <c r="B24" s="58"/>
      <c r="C24" s="5" t="s">
        <v>39</v>
      </c>
      <c r="D24" s="2">
        <v>9</v>
      </c>
    </row>
    <row r="25" spans="1:4" x14ac:dyDescent="0.55000000000000004">
      <c r="A25" s="58"/>
      <c r="B25" s="58"/>
      <c r="C25" s="5" t="s">
        <v>40</v>
      </c>
      <c r="D25" s="7">
        <f>22/47</f>
        <v>0.46808510638297873</v>
      </c>
    </row>
    <row r="26" spans="1:4" x14ac:dyDescent="0.55000000000000004">
      <c r="A26" s="58"/>
      <c r="B26" s="58"/>
      <c r="C26" s="5" t="s">
        <v>41</v>
      </c>
      <c r="D26" s="7">
        <v>68.5</v>
      </c>
    </row>
    <row r="27" spans="1:4" x14ac:dyDescent="0.55000000000000004">
      <c r="A27" s="58"/>
      <c r="B27" s="58"/>
      <c r="C27" s="5" t="s">
        <v>42</v>
      </c>
      <c r="D27" s="2">
        <v>9</v>
      </c>
    </row>
    <row r="28" spans="1:4" x14ac:dyDescent="0.55000000000000004">
      <c r="A28" s="58"/>
      <c r="B28" s="58"/>
      <c r="C28" s="5" t="s">
        <v>43</v>
      </c>
    </row>
    <row r="29" spans="1:4" x14ac:dyDescent="0.55000000000000004">
      <c r="A29" s="58"/>
      <c r="B29" s="58"/>
      <c r="C29" s="5" t="s">
        <v>44</v>
      </c>
      <c r="D29" s="2">
        <v>3</v>
      </c>
    </row>
    <row r="30" spans="1:4" x14ac:dyDescent="0.55000000000000004">
      <c r="A30" s="58"/>
      <c r="B30" s="58"/>
      <c r="C30" s="5" t="s">
        <v>45</v>
      </c>
      <c r="D30" s="7">
        <v>37.5</v>
      </c>
    </row>
    <row r="31" spans="1:4" x14ac:dyDescent="0.55000000000000004">
      <c r="A31" s="58"/>
      <c r="B31" s="58"/>
      <c r="C31" s="5" t="s">
        <v>46</v>
      </c>
      <c r="D31" s="7">
        <v>13.8</v>
      </c>
    </row>
    <row r="32" spans="1:4" x14ac:dyDescent="0.55000000000000004">
      <c r="A32" s="59" t="s">
        <v>47</v>
      </c>
      <c r="B32" s="59"/>
      <c r="C32" s="5"/>
    </row>
    <row r="33" spans="1:11" ht="26.1" x14ac:dyDescent="0.55000000000000004">
      <c r="A33" s="58"/>
      <c r="B33" s="58"/>
      <c r="C33" s="5" t="s">
        <v>48</v>
      </c>
      <c r="D33" s="2" t="s">
        <v>485</v>
      </c>
    </row>
    <row r="34" spans="1:11" x14ac:dyDescent="0.55000000000000004">
      <c r="A34" s="59" t="s">
        <v>50</v>
      </c>
      <c r="B34" s="59"/>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9"/>
      <c r="B36" s="5" t="s">
        <v>59</v>
      </c>
      <c r="C36" s="5"/>
    </row>
    <row r="37" spans="1:11" x14ac:dyDescent="0.55000000000000004">
      <c r="A37" s="59"/>
      <c r="B37" s="5"/>
      <c r="C37" s="5" t="s">
        <v>486</v>
      </c>
      <c r="D37" s="7">
        <v>7</v>
      </c>
      <c r="E37" s="10">
        <v>4.4800000000000004</v>
      </c>
    </row>
    <row r="38" spans="1:11" x14ac:dyDescent="0.55000000000000004">
      <c r="A38" s="59"/>
      <c r="B38" s="5"/>
      <c r="C38" s="5" t="s">
        <v>487</v>
      </c>
      <c r="D38" s="10">
        <v>6.0789473684210504</v>
      </c>
      <c r="E38" s="10">
        <v>4.3724700009481596</v>
      </c>
    </row>
    <row r="39" spans="1:11" x14ac:dyDescent="0.55000000000000004">
      <c r="A39" s="59"/>
      <c r="B39" s="5"/>
    </row>
    <row r="40" spans="1:11" x14ac:dyDescent="0.55000000000000004">
      <c r="A40" s="59"/>
      <c r="B40" s="5"/>
      <c r="C40" s="5"/>
    </row>
    <row r="41" spans="1:11" x14ac:dyDescent="0.55000000000000004">
      <c r="A41" s="59"/>
      <c r="B41" s="5"/>
      <c r="C41" s="5"/>
    </row>
    <row r="42" spans="1:11" x14ac:dyDescent="0.55000000000000004">
      <c r="A42" s="59"/>
      <c r="B42" s="5"/>
      <c r="C42" s="5"/>
    </row>
    <row r="43" spans="1:11" x14ac:dyDescent="0.55000000000000004">
      <c r="A43" s="59"/>
      <c r="B43" s="5"/>
      <c r="C43" s="5"/>
    </row>
    <row r="44" spans="1:11" x14ac:dyDescent="0.55000000000000004">
      <c r="A44" s="59"/>
      <c r="B44" s="5"/>
      <c r="C44" s="5"/>
    </row>
    <row r="45" spans="1:11" x14ac:dyDescent="0.55000000000000004">
      <c r="A45" s="59"/>
      <c r="B45" s="5" t="s">
        <v>61</v>
      </c>
      <c r="C45" s="5"/>
    </row>
    <row r="46" spans="1:11" x14ac:dyDescent="0.55000000000000004">
      <c r="A46" s="59"/>
      <c r="B46" s="5"/>
      <c r="C46" s="5"/>
    </row>
    <row r="47" spans="1:11" x14ac:dyDescent="0.55000000000000004">
      <c r="A47" s="59"/>
      <c r="B47" s="5"/>
      <c r="C47" s="5"/>
    </row>
    <row r="48" spans="1:11" x14ac:dyDescent="0.55000000000000004">
      <c r="A48" s="59"/>
      <c r="B48" s="5"/>
      <c r="C48" s="5"/>
    </row>
    <row r="49" spans="1:3" x14ac:dyDescent="0.55000000000000004">
      <c r="A49" s="59"/>
      <c r="B49" s="5"/>
      <c r="C49" s="5"/>
    </row>
    <row r="50" spans="1:3" x14ac:dyDescent="0.55000000000000004">
      <c r="A50" s="59"/>
      <c r="B50" s="5"/>
      <c r="C50" s="5"/>
    </row>
    <row r="51" spans="1:3" x14ac:dyDescent="0.55000000000000004">
      <c r="A51" s="59"/>
      <c r="B51" s="5"/>
      <c r="C51" s="5"/>
    </row>
    <row r="52" spans="1:3" x14ac:dyDescent="0.55000000000000004">
      <c r="A52" s="59"/>
      <c r="B52" s="5"/>
      <c r="C52" s="5"/>
    </row>
    <row r="53" spans="1:3" x14ac:dyDescent="0.55000000000000004">
      <c r="A53" s="59"/>
      <c r="B53" s="5"/>
      <c r="C53" s="5"/>
    </row>
    <row r="54" spans="1:3" x14ac:dyDescent="0.55000000000000004">
      <c r="A54" s="59"/>
      <c r="B54" s="5"/>
      <c r="C54" s="5"/>
    </row>
    <row r="55" spans="1:3" x14ac:dyDescent="0.55000000000000004">
      <c r="A55" s="59"/>
      <c r="B55" s="5"/>
      <c r="C55" s="5"/>
    </row>
    <row r="56" spans="1:3" x14ac:dyDescent="0.55000000000000004">
      <c r="A56" s="59"/>
      <c r="B56" s="5"/>
      <c r="C56" s="5"/>
    </row>
    <row r="57" spans="1:3" x14ac:dyDescent="0.55000000000000004">
      <c r="A57" s="59"/>
      <c r="B57" s="5"/>
      <c r="C57" s="5"/>
    </row>
    <row r="58" spans="1:3" x14ac:dyDescent="0.55000000000000004">
      <c r="A58" s="59"/>
      <c r="B58" s="5"/>
      <c r="C58" s="5"/>
    </row>
    <row r="59" spans="1:3" x14ac:dyDescent="0.55000000000000004">
      <c r="A59" s="59"/>
      <c r="B59" s="5"/>
      <c r="C59" s="5"/>
    </row>
    <row r="60" spans="1:3" x14ac:dyDescent="0.55000000000000004">
      <c r="A60" s="59"/>
      <c r="B60" s="5"/>
      <c r="C60" s="5"/>
    </row>
    <row r="61" spans="1:3" x14ac:dyDescent="0.55000000000000004">
      <c r="A61" s="59"/>
      <c r="B61" s="5"/>
      <c r="C61" s="5"/>
    </row>
    <row r="62" spans="1:3" x14ac:dyDescent="0.55000000000000004">
      <c r="A62" s="59"/>
      <c r="B62" s="5"/>
      <c r="C62" s="5"/>
    </row>
    <row r="63" spans="1:3" x14ac:dyDescent="0.55000000000000004">
      <c r="A63" s="59"/>
      <c r="B63" s="5"/>
      <c r="C63" s="5"/>
    </row>
    <row r="64" spans="1:3" x14ac:dyDescent="0.55000000000000004">
      <c r="A64" s="59"/>
      <c r="B64" s="5"/>
      <c r="C64" s="5"/>
    </row>
    <row r="65" spans="1:5" x14ac:dyDescent="0.55000000000000004">
      <c r="A65" s="59"/>
      <c r="B65" s="5" t="s">
        <v>62</v>
      </c>
      <c r="C65" s="5"/>
      <c r="D65" s="2">
        <f>8*7</f>
        <v>56</v>
      </c>
    </row>
    <row r="66" spans="1:5" x14ac:dyDescent="0.55000000000000004">
      <c r="A66" s="59"/>
      <c r="B66" s="5" t="s">
        <v>63</v>
      </c>
      <c r="C66" s="5"/>
      <c r="D66" s="2" t="s">
        <v>488</v>
      </c>
    </row>
    <row r="67" spans="1:5" x14ac:dyDescent="0.55000000000000004">
      <c r="A67" s="59" t="s">
        <v>65</v>
      </c>
      <c r="B67" s="59"/>
      <c r="C67" s="5"/>
      <c r="D67" s="2" t="s">
        <v>489</v>
      </c>
    </row>
    <row r="68" spans="1:5" x14ac:dyDescent="0.55000000000000004">
      <c r="A68" s="3" t="s">
        <v>67</v>
      </c>
    </row>
    <row r="69" spans="1:5" x14ac:dyDescent="0.55000000000000004">
      <c r="A69" s="1" t="s">
        <v>68</v>
      </c>
      <c r="C69" s="1">
        <v>20</v>
      </c>
      <c r="D69" s="2">
        <v>20</v>
      </c>
    </row>
    <row r="70" spans="1:5" x14ac:dyDescent="0.55000000000000004">
      <c r="B70" s="1" t="s">
        <v>94</v>
      </c>
    </row>
    <row r="71" spans="1:5" x14ac:dyDescent="0.55000000000000004">
      <c r="C71" s="5" t="s">
        <v>490</v>
      </c>
      <c r="D71" s="10">
        <v>6.1578947368421098</v>
      </c>
      <c r="E71" s="10">
        <v>4.57682951627572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5D56D-4055-4EB3-BFC4-A798D7857AAB}">
  <dimension ref="A1:AMJ71"/>
  <sheetViews>
    <sheetView zoomScale="212" workbookViewId="0">
      <selection activeCell="D39" sqref="D39"/>
    </sheetView>
  </sheetViews>
  <sheetFormatPr baseColWidth="10" defaultColWidth="11.41796875" defaultRowHeight="14.4" x14ac:dyDescent="0.55000000000000004"/>
  <cols>
    <col min="1" max="1" width="10.83984375" style="1" customWidth="1"/>
    <col min="2" max="2" width="18.83984375" style="1" customWidth="1"/>
    <col min="3" max="3" width="51.41796875" style="1" customWidth="1"/>
    <col min="4" max="4" width="56.15625" style="2" customWidth="1"/>
    <col min="5" max="5" width="8.15625" style="1" bestFit="1" customWidth="1"/>
    <col min="6" max="1024" width="11.41796875" style="1"/>
  </cols>
  <sheetData>
    <row r="1" spans="1:4" x14ac:dyDescent="0.55000000000000004">
      <c r="A1" s="3" t="s">
        <v>0</v>
      </c>
      <c r="D1" s="2" t="s">
        <v>323</v>
      </c>
    </row>
    <row r="2" spans="1:4" ht="26.1" x14ac:dyDescent="0.55000000000000004">
      <c r="A2" s="58" t="s">
        <v>2</v>
      </c>
      <c r="B2" s="58"/>
      <c r="D2" s="2" t="s">
        <v>1807</v>
      </c>
    </row>
    <row r="3" spans="1:4" x14ac:dyDescent="0.55000000000000004">
      <c r="A3" s="58"/>
      <c r="B3" s="58"/>
      <c r="C3" s="5" t="s">
        <v>4</v>
      </c>
      <c r="D3" s="1" t="s">
        <v>1806</v>
      </c>
    </row>
    <row r="4" spans="1:4" x14ac:dyDescent="0.55000000000000004">
      <c r="A4" s="58"/>
      <c r="B4" s="58"/>
      <c r="C4" s="5" t="s">
        <v>6</v>
      </c>
      <c r="D4" s="2">
        <v>2020</v>
      </c>
    </row>
    <row r="5" spans="1:4" ht="26.1" x14ac:dyDescent="0.55000000000000004">
      <c r="A5" s="58"/>
      <c r="B5" s="58"/>
      <c r="C5" s="5" t="s">
        <v>7</v>
      </c>
      <c r="D5" s="2" t="s">
        <v>1808</v>
      </c>
    </row>
    <row r="6" spans="1:4" x14ac:dyDescent="0.55000000000000004">
      <c r="A6" s="58"/>
      <c r="B6" s="58"/>
      <c r="C6" s="5" t="s">
        <v>9</v>
      </c>
      <c r="D6" s="2" t="s">
        <v>1805</v>
      </c>
    </row>
    <row r="7" spans="1:4" x14ac:dyDescent="0.55000000000000004">
      <c r="A7" s="58"/>
      <c r="B7" s="58"/>
      <c r="C7" s="5" t="s">
        <v>11</v>
      </c>
      <c r="D7" s="2" t="s">
        <v>12</v>
      </c>
    </row>
    <row r="8" spans="1:4" x14ac:dyDescent="0.55000000000000004">
      <c r="A8" s="59" t="s">
        <v>13</v>
      </c>
      <c r="B8" s="59"/>
      <c r="C8" s="5"/>
    </row>
    <row r="9" spans="1:4" x14ac:dyDescent="0.55000000000000004">
      <c r="A9" s="58"/>
      <c r="B9" s="58"/>
      <c r="C9" s="5" t="s">
        <v>14</v>
      </c>
      <c r="D9" s="2" t="s">
        <v>1809</v>
      </c>
    </row>
    <row r="10" spans="1:4" x14ac:dyDescent="0.55000000000000004">
      <c r="A10" s="58"/>
      <c r="B10" s="58"/>
      <c r="C10" s="5" t="s">
        <v>16</v>
      </c>
      <c r="D10" s="2" t="s">
        <v>454</v>
      </c>
    </row>
    <row r="11" spans="1:4" x14ac:dyDescent="0.55000000000000004">
      <c r="A11" s="58"/>
      <c r="B11" s="58"/>
      <c r="C11" s="5" t="s">
        <v>19</v>
      </c>
      <c r="D11" s="21">
        <v>42005</v>
      </c>
    </row>
    <row r="12" spans="1:4" x14ac:dyDescent="0.55000000000000004">
      <c r="A12" s="58"/>
      <c r="B12" s="58"/>
      <c r="C12" s="5" t="s">
        <v>21</v>
      </c>
      <c r="D12" s="21">
        <v>42614</v>
      </c>
    </row>
    <row r="13" spans="1:4" x14ac:dyDescent="0.55000000000000004">
      <c r="A13" s="58"/>
      <c r="B13" s="58"/>
      <c r="C13" s="5" t="s">
        <v>22</v>
      </c>
      <c r="D13" s="2" t="s">
        <v>20</v>
      </c>
    </row>
    <row r="14" spans="1:4" x14ac:dyDescent="0.55000000000000004">
      <c r="A14" s="59" t="s">
        <v>24</v>
      </c>
      <c r="B14" s="59"/>
      <c r="C14" s="5"/>
    </row>
    <row r="15" spans="1:4" x14ac:dyDescent="0.55000000000000004">
      <c r="A15" s="58"/>
      <c r="B15" s="58"/>
      <c r="C15" s="5" t="s">
        <v>25</v>
      </c>
      <c r="D15" s="2" t="s">
        <v>553</v>
      </c>
    </row>
    <row r="16" spans="1:4" x14ac:dyDescent="0.55000000000000004">
      <c r="A16" s="58"/>
      <c r="B16" s="58"/>
      <c r="C16" s="5" t="s">
        <v>27</v>
      </c>
      <c r="D16" s="2" t="s">
        <v>200</v>
      </c>
    </row>
    <row r="17" spans="1:6" x14ac:dyDescent="0.55000000000000004">
      <c r="A17" s="59" t="s">
        <v>29</v>
      </c>
      <c r="B17" s="59"/>
      <c r="C17" s="5"/>
    </row>
    <row r="18" spans="1:6" ht="26.1" x14ac:dyDescent="0.55000000000000004">
      <c r="A18" s="58"/>
      <c r="B18" s="58"/>
      <c r="C18" s="5" t="s">
        <v>30</v>
      </c>
      <c r="D18" s="2" t="s">
        <v>1810</v>
      </c>
    </row>
    <row r="19" spans="1:6" ht="90.6" x14ac:dyDescent="0.55000000000000004">
      <c r="A19" s="58"/>
      <c r="B19" s="58"/>
      <c r="C19" s="5" t="s">
        <v>32</v>
      </c>
      <c r="D19" s="2" t="s">
        <v>1811</v>
      </c>
    </row>
    <row r="20" spans="1:6" x14ac:dyDescent="0.55000000000000004">
      <c r="A20" s="59" t="s">
        <v>34</v>
      </c>
      <c r="B20" s="59"/>
      <c r="C20" s="5"/>
      <c r="D20" s="2" t="s">
        <v>109</v>
      </c>
      <c r="E20" s="1" t="s">
        <v>323</v>
      </c>
      <c r="F20" s="1" t="s">
        <v>35</v>
      </c>
    </row>
    <row r="21" spans="1:6" x14ac:dyDescent="0.55000000000000004">
      <c r="A21" s="58"/>
      <c r="B21" s="58"/>
      <c r="C21" s="5" t="s">
        <v>36</v>
      </c>
      <c r="D21" s="2">
        <v>267</v>
      </c>
    </row>
    <row r="22" spans="1:6" x14ac:dyDescent="0.55000000000000004">
      <c r="A22" s="58"/>
      <c r="B22" s="58"/>
      <c r="C22" s="5" t="s">
        <v>37</v>
      </c>
      <c r="D22" s="2">
        <v>126</v>
      </c>
      <c r="E22" s="1">
        <v>118</v>
      </c>
    </row>
    <row r="23" spans="1:6" x14ac:dyDescent="0.55000000000000004">
      <c r="A23" s="58"/>
      <c r="B23" s="58"/>
      <c r="C23" s="5" t="s">
        <v>38</v>
      </c>
      <c r="D23" s="2">
        <v>100</v>
      </c>
      <c r="E23" s="1">
        <v>110</v>
      </c>
      <c r="F23" s="1">
        <f>SUM(D23:E23)</f>
        <v>210</v>
      </c>
    </row>
    <row r="24" spans="1:6" x14ac:dyDescent="0.55000000000000004">
      <c r="A24" s="58"/>
      <c r="B24" s="58"/>
      <c r="C24" s="5" t="s">
        <v>39</v>
      </c>
      <c r="D24" s="2">
        <v>22</v>
      </c>
      <c r="E24" s="1">
        <v>26</v>
      </c>
      <c r="F24" s="1">
        <f>SUM(D24:E24)</f>
        <v>48</v>
      </c>
    </row>
    <row r="25" spans="1:6" x14ac:dyDescent="0.55000000000000004">
      <c r="A25" s="58"/>
      <c r="B25" s="58"/>
      <c r="C25" s="5" t="s">
        <v>40</v>
      </c>
      <c r="D25" s="7">
        <v>0.57099999999999995</v>
      </c>
      <c r="E25" s="10">
        <v>0.55100000000000005</v>
      </c>
      <c r="F25" s="10">
        <f>((D25*D23)+(E25*E23))/F23</f>
        <v>0.56052380952380954</v>
      </c>
    </row>
    <row r="26" spans="1:6" x14ac:dyDescent="0.55000000000000004">
      <c r="A26" s="58"/>
      <c r="B26" s="58"/>
      <c r="C26" s="5" t="s">
        <v>41</v>
      </c>
      <c r="D26" s="7">
        <v>65.400000000000006</v>
      </c>
      <c r="E26" s="1">
        <v>67.400000000000006</v>
      </c>
      <c r="F26" s="10">
        <f>((D26*D23)+(E26*E23))/F23</f>
        <v>66.447619047619057</v>
      </c>
    </row>
    <row r="27" spans="1:6" x14ac:dyDescent="0.55000000000000004">
      <c r="A27" s="58"/>
      <c r="B27" s="58"/>
      <c r="C27" s="5" t="s">
        <v>42</v>
      </c>
      <c r="D27" s="2">
        <v>8.81</v>
      </c>
      <c r="E27" s="1">
        <v>8.9600000000000009</v>
      </c>
      <c r="F27" s="10">
        <f>SQRT((D23*(D27^2+(D26-F$26)^2)+E23*(E27^2+(E26-F$26)^2))/(D23+E23))</f>
        <v>8.9448335206429732</v>
      </c>
    </row>
    <row r="28" spans="1:6" x14ac:dyDescent="0.55000000000000004">
      <c r="A28" s="58"/>
      <c r="B28" s="58"/>
      <c r="C28" s="5" t="s">
        <v>43</v>
      </c>
      <c r="F28" s="10"/>
    </row>
    <row r="29" spans="1:6" x14ac:dyDescent="0.55000000000000004">
      <c r="A29" s="58"/>
      <c r="B29" s="58"/>
      <c r="C29" s="5" t="s">
        <v>44</v>
      </c>
      <c r="D29" s="2" t="s">
        <v>20</v>
      </c>
      <c r="E29" s="1" t="s">
        <v>20</v>
      </c>
      <c r="F29" s="10" t="s">
        <v>20</v>
      </c>
    </row>
    <row r="30" spans="1:6" x14ac:dyDescent="0.55000000000000004">
      <c r="A30" s="58"/>
      <c r="B30" s="58"/>
      <c r="C30" s="5" t="s">
        <v>45</v>
      </c>
      <c r="D30" s="7">
        <v>26.8</v>
      </c>
      <c r="E30" s="1">
        <v>27.2</v>
      </c>
      <c r="F30" s="10">
        <f>((D30*D23)+(E30*E23))/F23</f>
        <v>27.009523809523809</v>
      </c>
    </row>
    <row r="31" spans="1:6" x14ac:dyDescent="0.55000000000000004">
      <c r="A31" s="58"/>
      <c r="B31" s="58"/>
      <c r="C31" s="5" t="s">
        <v>46</v>
      </c>
      <c r="D31" s="7">
        <v>11.59</v>
      </c>
      <c r="E31" s="1">
        <v>13.8</v>
      </c>
      <c r="F31" s="17">
        <f>SQRT((D23*(D31^2+(D30-F$30)^2)+E23*(E31^2+(E30-F$30)^2))/(D23+E23))</f>
        <v>12.796872935061119</v>
      </c>
    </row>
    <row r="32" spans="1:6" x14ac:dyDescent="0.55000000000000004">
      <c r="A32" s="59" t="s">
        <v>47</v>
      </c>
      <c r="B32" s="59"/>
      <c r="C32" s="5"/>
    </row>
    <row r="33" spans="1:11" ht="51.9" x14ac:dyDescent="0.55000000000000004">
      <c r="A33" s="58"/>
      <c r="B33" s="58"/>
      <c r="C33" s="5" t="s">
        <v>48</v>
      </c>
      <c r="D33" s="2" t="s">
        <v>1812</v>
      </c>
    </row>
    <row r="34" spans="1:11" x14ac:dyDescent="0.55000000000000004">
      <c r="A34" s="59" t="s">
        <v>50</v>
      </c>
      <c r="B34" s="59"/>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9"/>
      <c r="B36" s="5" t="s">
        <v>59</v>
      </c>
      <c r="C36" s="5"/>
    </row>
    <row r="37" spans="1:11" x14ac:dyDescent="0.55000000000000004">
      <c r="A37" s="59"/>
      <c r="B37" s="5"/>
      <c r="C37" s="5" t="s">
        <v>1813</v>
      </c>
      <c r="D37" s="7">
        <v>0.2</v>
      </c>
      <c r="E37" s="10" t="s">
        <v>20</v>
      </c>
      <c r="J37" s="1">
        <v>5.8</v>
      </c>
    </row>
    <row r="38" spans="1:11" x14ac:dyDescent="0.55000000000000004">
      <c r="A38" s="59"/>
      <c r="B38" s="5"/>
      <c r="C38" s="5" t="s">
        <v>1814</v>
      </c>
      <c r="D38" s="10">
        <v>1.2</v>
      </c>
      <c r="E38" s="10" t="s">
        <v>20</v>
      </c>
      <c r="J38" s="1">
        <v>5.7</v>
      </c>
    </row>
    <row r="39" spans="1:11" x14ac:dyDescent="0.55000000000000004">
      <c r="A39" s="59"/>
      <c r="B39" s="5"/>
    </row>
    <row r="40" spans="1:11" x14ac:dyDescent="0.55000000000000004">
      <c r="A40" s="59"/>
      <c r="B40" s="5"/>
      <c r="C40" s="5"/>
    </row>
    <row r="41" spans="1:11" x14ac:dyDescent="0.55000000000000004">
      <c r="A41" s="59"/>
      <c r="B41" s="5"/>
      <c r="C41" s="5"/>
    </row>
    <row r="42" spans="1:11" x14ac:dyDescent="0.55000000000000004">
      <c r="A42" s="59"/>
      <c r="B42" s="5"/>
      <c r="C42" s="5"/>
    </row>
    <row r="43" spans="1:11" x14ac:dyDescent="0.55000000000000004">
      <c r="A43" s="59"/>
      <c r="B43" s="5"/>
      <c r="C43" s="5"/>
    </row>
    <row r="44" spans="1:11" x14ac:dyDescent="0.55000000000000004">
      <c r="A44" s="59"/>
      <c r="B44" s="5"/>
      <c r="C44" s="5"/>
    </row>
    <row r="45" spans="1:11" x14ac:dyDescent="0.55000000000000004">
      <c r="A45" s="59"/>
      <c r="B45" s="5" t="s">
        <v>61</v>
      </c>
      <c r="C45" s="5"/>
    </row>
    <row r="46" spans="1:11" x14ac:dyDescent="0.55000000000000004">
      <c r="A46" s="59"/>
      <c r="B46" s="5"/>
      <c r="C46" s="5"/>
    </row>
    <row r="47" spans="1:11" x14ac:dyDescent="0.55000000000000004">
      <c r="A47" s="59"/>
      <c r="B47" s="5"/>
      <c r="C47" s="5"/>
    </row>
    <row r="48" spans="1:11" x14ac:dyDescent="0.55000000000000004">
      <c r="A48" s="59"/>
      <c r="B48" s="5"/>
      <c r="C48" s="5"/>
    </row>
    <row r="49" spans="1:3" x14ac:dyDescent="0.55000000000000004">
      <c r="A49" s="59"/>
      <c r="B49" s="5"/>
      <c r="C49" s="5"/>
    </row>
    <row r="50" spans="1:3" x14ac:dyDescent="0.55000000000000004">
      <c r="A50" s="59"/>
      <c r="B50" s="5"/>
      <c r="C50" s="5"/>
    </row>
    <row r="51" spans="1:3" x14ac:dyDescent="0.55000000000000004">
      <c r="A51" s="59"/>
      <c r="B51" s="5"/>
      <c r="C51" s="5"/>
    </row>
    <row r="52" spans="1:3" x14ac:dyDescent="0.55000000000000004">
      <c r="A52" s="59"/>
      <c r="B52" s="5"/>
      <c r="C52" s="5"/>
    </row>
    <row r="53" spans="1:3" x14ac:dyDescent="0.55000000000000004">
      <c r="A53" s="59"/>
      <c r="B53" s="5"/>
      <c r="C53" s="5"/>
    </row>
    <row r="54" spans="1:3" x14ac:dyDescent="0.55000000000000004">
      <c r="A54" s="59"/>
      <c r="B54" s="5"/>
      <c r="C54" s="5"/>
    </row>
    <row r="55" spans="1:3" x14ac:dyDescent="0.55000000000000004">
      <c r="A55" s="59"/>
      <c r="B55" s="5"/>
      <c r="C55" s="5"/>
    </row>
    <row r="56" spans="1:3" x14ac:dyDescent="0.55000000000000004">
      <c r="A56" s="59"/>
      <c r="B56" s="5"/>
      <c r="C56" s="5"/>
    </row>
    <row r="57" spans="1:3" x14ac:dyDescent="0.55000000000000004">
      <c r="A57" s="59"/>
      <c r="B57" s="5"/>
      <c r="C57" s="5"/>
    </row>
    <row r="58" spans="1:3" x14ac:dyDescent="0.55000000000000004">
      <c r="A58" s="59"/>
      <c r="B58" s="5"/>
      <c r="C58" s="5"/>
    </row>
    <row r="59" spans="1:3" x14ac:dyDescent="0.55000000000000004">
      <c r="A59" s="59"/>
      <c r="B59" s="5"/>
      <c r="C59" s="5"/>
    </row>
    <row r="60" spans="1:3" x14ac:dyDescent="0.55000000000000004">
      <c r="A60" s="59"/>
      <c r="B60" s="5"/>
      <c r="C60" s="5"/>
    </row>
    <row r="61" spans="1:3" x14ac:dyDescent="0.55000000000000004">
      <c r="A61" s="59"/>
      <c r="B61" s="5"/>
      <c r="C61" s="5"/>
    </row>
    <row r="62" spans="1:3" x14ac:dyDescent="0.55000000000000004">
      <c r="A62" s="59"/>
      <c r="B62" s="5"/>
      <c r="C62" s="5"/>
    </row>
    <row r="63" spans="1:3" x14ac:dyDescent="0.55000000000000004">
      <c r="A63" s="59"/>
      <c r="B63" s="5"/>
      <c r="C63" s="5"/>
    </row>
    <row r="64" spans="1:3" x14ac:dyDescent="0.55000000000000004">
      <c r="A64" s="59"/>
      <c r="B64" s="5"/>
      <c r="C64" s="5"/>
    </row>
    <row r="65" spans="1:5" x14ac:dyDescent="0.55000000000000004">
      <c r="A65" s="59"/>
      <c r="B65" s="5" t="s">
        <v>62</v>
      </c>
      <c r="C65" s="5"/>
      <c r="D65" s="2">
        <f>26*7</f>
        <v>182</v>
      </c>
    </row>
    <row r="66" spans="1:5" x14ac:dyDescent="0.55000000000000004">
      <c r="A66" s="59"/>
      <c r="B66" s="5" t="s">
        <v>63</v>
      </c>
      <c r="C66" s="5"/>
      <c r="D66" s="2" t="s">
        <v>234</v>
      </c>
    </row>
    <row r="67" spans="1:5" x14ac:dyDescent="0.55000000000000004">
      <c r="A67" s="59" t="s">
        <v>65</v>
      </c>
      <c r="B67" s="59"/>
      <c r="C67" s="5"/>
    </row>
    <row r="68" spans="1:5" x14ac:dyDescent="0.55000000000000004">
      <c r="A68" s="3" t="s">
        <v>67</v>
      </c>
    </row>
    <row r="69" spans="1:5" x14ac:dyDescent="0.55000000000000004">
      <c r="A69" s="1" t="s">
        <v>68</v>
      </c>
      <c r="C69" s="1">
        <v>26</v>
      </c>
      <c r="D69" s="2">
        <v>28</v>
      </c>
    </row>
    <row r="70" spans="1:5" x14ac:dyDescent="0.55000000000000004">
      <c r="B70" s="1" t="s">
        <v>94</v>
      </c>
    </row>
    <row r="71" spans="1:5" x14ac:dyDescent="0.55000000000000004">
      <c r="C71" s="5"/>
      <c r="D71" s="10"/>
      <c r="E71" s="10"/>
    </row>
  </sheetData>
  <mergeCells count="15">
    <mergeCell ref="A15:B16"/>
    <mergeCell ref="A2:B2"/>
    <mergeCell ref="A3:B7"/>
    <mergeCell ref="A8:B8"/>
    <mergeCell ref="A9:B13"/>
    <mergeCell ref="A14:B14"/>
    <mergeCell ref="A34:B34"/>
    <mergeCell ref="A36:A66"/>
    <mergeCell ref="A67:B67"/>
    <mergeCell ref="A17:B17"/>
    <mergeCell ref="A18:B19"/>
    <mergeCell ref="A20:B20"/>
    <mergeCell ref="A21:B31"/>
    <mergeCell ref="A32:B32"/>
    <mergeCell ref="A33:B33"/>
  </mergeCells>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MJ69"/>
  <sheetViews>
    <sheetView topLeftCell="A25" zoomScale="90" zoomScaleNormal="90" workbookViewId="0">
      <selection activeCell="D10" sqref="D10"/>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42.41796875" style="2" customWidth="1"/>
    <col min="5" max="5" width="11.578125" style="1" customWidth="1"/>
    <col min="6" max="1024" width="11.41796875" style="1"/>
  </cols>
  <sheetData>
    <row r="1" spans="1:5" x14ac:dyDescent="0.55000000000000004">
      <c r="A1" s="3" t="s">
        <v>0</v>
      </c>
      <c r="D1" s="2" t="s">
        <v>185</v>
      </c>
    </row>
    <row r="2" spans="1:5" x14ac:dyDescent="0.55000000000000004">
      <c r="A2" s="58" t="s">
        <v>2</v>
      </c>
      <c r="B2" s="58"/>
      <c r="D2" s="2" t="s">
        <v>491</v>
      </c>
    </row>
    <row r="3" spans="1:5" ht="26.1" x14ac:dyDescent="0.55000000000000004">
      <c r="A3" s="58"/>
      <c r="B3" s="58"/>
      <c r="C3" s="5" t="s">
        <v>4</v>
      </c>
      <c r="D3" s="2" t="s">
        <v>492</v>
      </c>
    </row>
    <row r="4" spans="1:5" x14ac:dyDescent="0.55000000000000004">
      <c r="A4" s="58"/>
      <c r="B4" s="58"/>
      <c r="C4" s="5" t="s">
        <v>6</v>
      </c>
      <c r="D4" s="2">
        <v>1989</v>
      </c>
    </row>
    <row r="5" spans="1:5" ht="39" x14ac:dyDescent="0.55000000000000004">
      <c r="A5" s="58"/>
      <c r="B5" s="58"/>
      <c r="C5" s="5" t="s">
        <v>7</v>
      </c>
      <c r="D5" s="2" t="s">
        <v>493</v>
      </c>
    </row>
    <row r="6" spans="1:5" x14ac:dyDescent="0.55000000000000004">
      <c r="A6" s="58"/>
      <c r="B6" s="58"/>
      <c r="C6" s="5" t="s">
        <v>9</v>
      </c>
      <c r="D6" s="2" t="s">
        <v>494</v>
      </c>
    </row>
    <row r="7" spans="1:5" x14ac:dyDescent="0.55000000000000004">
      <c r="A7" s="58"/>
      <c r="B7" s="58"/>
      <c r="C7" s="5" t="s">
        <v>11</v>
      </c>
      <c r="D7" s="2" t="s">
        <v>12</v>
      </c>
    </row>
    <row r="8" spans="1:5" x14ac:dyDescent="0.55000000000000004">
      <c r="A8" s="59" t="s">
        <v>13</v>
      </c>
      <c r="B8" s="59"/>
      <c r="C8" s="5"/>
    </row>
    <row r="9" spans="1:5" ht="51.9" x14ac:dyDescent="0.55000000000000004">
      <c r="A9" s="58"/>
      <c r="B9" s="58"/>
      <c r="C9" s="5" t="s">
        <v>14</v>
      </c>
      <c r="D9" s="2" t="s">
        <v>495</v>
      </c>
    </row>
    <row r="10" spans="1:5" x14ac:dyDescent="0.55000000000000004">
      <c r="A10" s="58"/>
      <c r="B10" s="58"/>
      <c r="C10" s="5" t="s">
        <v>16</v>
      </c>
      <c r="D10" s="2" t="s">
        <v>454</v>
      </c>
      <c r="E10" s="1" t="s">
        <v>496</v>
      </c>
    </row>
    <row r="11" spans="1:5" x14ac:dyDescent="0.55000000000000004">
      <c r="A11" s="58"/>
      <c r="B11" s="58"/>
      <c r="C11" s="5" t="s">
        <v>19</v>
      </c>
      <c r="D11" s="9" t="s">
        <v>20</v>
      </c>
    </row>
    <row r="12" spans="1:5" x14ac:dyDescent="0.55000000000000004">
      <c r="A12" s="58"/>
      <c r="B12" s="58"/>
      <c r="C12" s="5" t="s">
        <v>21</v>
      </c>
      <c r="D12" s="9" t="s">
        <v>20</v>
      </c>
    </row>
    <row r="13" spans="1:5" x14ac:dyDescent="0.55000000000000004">
      <c r="A13" s="58"/>
      <c r="B13" s="58"/>
      <c r="C13" s="5" t="s">
        <v>22</v>
      </c>
      <c r="D13" s="2" t="s">
        <v>20</v>
      </c>
    </row>
    <row r="14" spans="1:5" x14ac:dyDescent="0.55000000000000004">
      <c r="A14" s="59" t="s">
        <v>24</v>
      </c>
      <c r="B14" s="59"/>
      <c r="C14" s="5"/>
    </row>
    <row r="15" spans="1:5" x14ac:dyDescent="0.55000000000000004">
      <c r="A15" s="58"/>
      <c r="B15" s="58"/>
      <c r="C15" s="5" t="s">
        <v>25</v>
      </c>
      <c r="D15" s="2" t="s">
        <v>497</v>
      </c>
    </row>
    <row r="16" spans="1:5" x14ac:dyDescent="0.55000000000000004">
      <c r="A16" s="58"/>
      <c r="B16" s="58"/>
      <c r="C16" s="5" t="s">
        <v>27</v>
      </c>
      <c r="D16" s="2" t="s">
        <v>498</v>
      </c>
    </row>
    <row r="17" spans="1:4" x14ac:dyDescent="0.55000000000000004">
      <c r="A17" s="59" t="s">
        <v>29</v>
      </c>
      <c r="B17" s="59"/>
      <c r="C17" s="5"/>
    </row>
    <row r="18" spans="1:4" ht="39" x14ac:dyDescent="0.55000000000000004">
      <c r="A18" s="58"/>
      <c r="B18" s="58"/>
      <c r="C18" s="5" t="s">
        <v>30</v>
      </c>
      <c r="D18" s="2" t="s">
        <v>499</v>
      </c>
    </row>
    <row r="19" spans="1:4" ht="51.9" x14ac:dyDescent="0.55000000000000004">
      <c r="A19" s="58"/>
      <c r="B19" s="58"/>
      <c r="C19" s="5" t="s">
        <v>32</v>
      </c>
      <c r="D19" s="2" t="s">
        <v>500</v>
      </c>
    </row>
    <row r="20" spans="1:4" x14ac:dyDescent="0.55000000000000004">
      <c r="A20" s="59" t="s">
        <v>34</v>
      </c>
      <c r="B20" s="59"/>
      <c r="C20" s="5"/>
      <c r="D20" s="2" t="s">
        <v>35</v>
      </c>
    </row>
    <row r="21" spans="1:4" x14ac:dyDescent="0.55000000000000004">
      <c r="A21" s="58"/>
      <c r="B21" s="58"/>
      <c r="C21" s="5" t="s">
        <v>36</v>
      </c>
      <c r="D21" s="2">
        <v>19</v>
      </c>
    </row>
    <row r="22" spans="1:4" x14ac:dyDescent="0.55000000000000004">
      <c r="A22" s="58"/>
      <c r="B22" s="58"/>
      <c r="C22" s="5" t="s">
        <v>37</v>
      </c>
      <c r="D22" s="2">
        <v>19</v>
      </c>
    </row>
    <row r="23" spans="1:4" x14ac:dyDescent="0.55000000000000004">
      <c r="A23" s="58"/>
      <c r="B23" s="58"/>
      <c r="C23" s="5" t="s">
        <v>38</v>
      </c>
      <c r="D23" s="2">
        <v>19</v>
      </c>
    </row>
    <row r="24" spans="1:4" x14ac:dyDescent="0.55000000000000004">
      <c r="A24" s="58"/>
      <c r="B24" s="58"/>
      <c r="C24" s="5" t="s">
        <v>39</v>
      </c>
      <c r="D24" s="2">
        <v>0</v>
      </c>
    </row>
    <row r="25" spans="1:4" x14ac:dyDescent="0.55000000000000004">
      <c r="A25" s="58"/>
      <c r="B25" s="58"/>
      <c r="C25" s="5" t="s">
        <v>40</v>
      </c>
      <c r="D25" s="2">
        <v>47</v>
      </c>
    </row>
    <row r="26" spans="1:4" x14ac:dyDescent="0.55000000000000004">
      <c r="A26" s="58"/>
      <c r="B26" s="58"/>
      <c r="C26" s="5" t="s">
        <v>41</v>
      </c>
      <c r="D26" s="7">
        <v>61.6</v>
      </c>
    </row>
    <row r="27" spans="1:4" x14ac:dyDescent="0.55000000000000004">
      <c r="A27" s="58"/>
      <c r="B27" s="58"/>
      <c r="C27" s="5" t="s">
        <v>42</v>
      </c>
      <c r="D27" s="7">
        <v>9.6</v>
      </c>
    </row>
    <row r="28" spans="1:4" x14ac:dyDescent="0.55000000000000004">
      <c r="A28" s="58"/>
      <c r="B28" s="58"/>
      <c r="C28" s="5" t="s">
        <v>43</v>
      </c>
      <c r="D28" s="2" t="s">
        <v>20</v>
      </c>
    </row>
    <row r="29" spans="1:4" x14ac:dyDescent="0.55000000000000004">
      <c r="A29" s="58"/>
      <c r="B29" s="58"/>
      <c r="C29" s="5" t="s">
        <v>44</v>
      </c>
      <c r="D29" s="2">
        <v>4</v>
      </c>
    </row>
    <row r="30" spans="1:4" x14ac:dyDescent="0.55000000000000004">
      <c r="A30" s="58"/>
      <c r="B30" s="58"/>
      <c r="C30" s="5" t="s">
        <v>45</v>
      </c>
      <c r="D30" s="7" t="s">
        <v>20</v>
      </c>
    </row>
    <row r="31" spans="1:4" x14ac:dyDescent="0.55000000000000004">
      <c r="A31" s="58"/>
      <c r="B31" s="58"/>
      <c r="C31" s="5" t="s">
        <v>46</v>
      </c>
      <c r="D31" s="7" t="s">
        <v>20</v>
      </c>
    </row>
    <row r="32" spans="1:4" x14ac:dyDescent="0.55000000000000004">
      <c r="A32" s="59" t="s">
        <v>47</v>
      </c>
      <c r="B32" s="59"/>
      <c r="C32" s="5"/>
    </row>
    <row r="33" spans="1:11" ht="77.7" x14ac:dyDescent="0.55000000000000004">
      <c r="A33" s="58"/>
      <c r="B33" s="58"/>
      <c r="C33" s="5" t="s">
        <v>48</v>
      </c>
      <c r="D33" s="2" t="s">
        <v>501</v>
      </c>
    </row>
    <row r="34" spans="1:11" x14ac:dyDescent="0.55000000000000004">
      <c r="A34" s="59" t="s">
        <v>50</v>
      </c>
      <c r="B34" s="59"/>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9"/>
      <c r="B36" s="5" t="s">
        <v>59</v>
      </c>
      <c r="C36" s="5"/>
    </row>
    <row r="37" spans="1:11" x14ac:dyDescent="0.55000000000000004">
      <c r="A37" s="59"/>
      <c r="B37" s="5"/>
    </row>
    <row r="38" spans="1:11" x14ac:dyDescent="0.55000000000000004">
      <c r="A38" s="59"/>
      <c r="B38" s="5"/>
    </row>
    <row r="39" spans="1:11" x14ac:dyDescent="0.55000000000000004">
      <c r="A39" s="59"/>
      <c r="B39" s="5"/>
    </row>
    <row r="40" spans="1:11" x14ac:dyDescent="0.55000000000000004">
      <c r="A40" s="59"/>
      <c r="B40" s="5"/>
    </row>
    <row r="41" spans="1:11" x14ac:dyDescent="0.55000000000000004">
      <c r="A41" s="59"/>
      <c r="B41" s="5"/>
      <c r="C41" s="5"/>
    </row>
    <row r="42" spans="1:11" x14ac:dyDescent="0.55000000000000004">
      <c r="A42" s="59"/>
      <c r="B42" s="5"/>
      <c r="C42" s="5"/>
    </row>
    <row r="43" spans="1:11" x14ac:dyDescent="0.55000000000000004">
      <c r="A43" s="59"/>
      <c r="B43" s="5"/>
      <c r="C43" s="5"/>
    </row>
    <row r="44" spans="1:11" x14ac:dyDescent="0.55000000000000004">
      <c r="A44" s="59"/>
      <c r="B44" s="5"/>
      <c r="C44" s="5"/>
    </row>
    <row r="45" spans="1:11" x14ac:dyDescent="0.55000000000000004">
      <c r="A45" s="59"/>
      <c r="B45" s="5" t="s">
        <v>61</v>
      </c>
      <c r="C45" s="5"/>
    </row>
    <row r="46" spans="1:11" x14ac:dyDescent="0.55000000000000004">
      <c r="A46" s="59"/>
      <c r="B46" s="5"/>
      <c r="C46" s="5" t="s">
        <v>502</v>
      </c>
      <c r="D46" s="2" t="s">
        <v>20</v>
      </c>
    </row>
    <row r="47" spans="1:11" x14ac:dyDescent="0.55000000000000004">
      <c r="A47" s="59"/>
      <c r="B47" s="5"/>
      <c r="C47" s="5" t="s">
        <v>503</v>
      </c>
      <c r="D47" s="2">
        <v>2.4</v>
      </c>
      <c r="E47" s="1">
        <v>1.9</v>
      </c>
    </row>
    <row r="48" spans="1:11" x14ac:dyDescent="0.55000000000000004">
      <c r="A48" s="59"/>
      <c r="B48" s="5"/>
      <c r="C48" s="5" t="s">
        <v>504</v>
      </c>
      <c r="D48" s="1" t="s">
        <v>20</v>
      </c>
    </row>
    <row r="49" spans="1:5" x14ac:dyDescent="0.55000000000000004">
      <c r="A49" s="59"/>
      <c r="B49" s="5"/>
      <c r="C49" s="5" t="s">
        <v>505</v>
      </c>
      <c r="D49" s="1">
        <v>3.1</v>
      </c>
      <c r="E49" s="1">
        <v>2.2000000000000002</v>
      </c>
    </row>
    <row r="50" spans="1:5" x14ac:dyDescent="0.55000000000000004">
      <c r="A50" s="59"/>
      <c r="B50" s="5"/>
      <c r="C50" s="5" t="s">
        <v>79</v>
      </c>
      <c r="D50" s="2">
        <v>1</v>
      </c>
    </row>
    <row r="51" spans="1:5" x14ac:dyDescent="0.55000000000000004">
      <c r="A51" s="59"/>
      <c r="B51" s="5"/>
      <c r="C51" s="5"/>
    </row>
    <row r="52" spans="1:5" x14ac:dyDescent="0.55000000000000004">
      <c r="A52" s="59"/>
      <c r="B52" s="5"/>
      <c r="C52" s="5"/>
    </row>
    <row r="53" spans="1:5" x14ac:dyDescent="0.55000000000000004">
      <c r="A53" s="59"/>
      <c r="B53" s="5"/>
      <c r="C53" s="5"/>
    </row>
    <row r="54" spans="1:5" x14ac:dyDescent="0.55000000000000004">
      <c r="A54" s="59"/>
      <c r="B54" s="5"/>
      <c r="C54" s="5"/>
    </row>
    <row r="55" spans="1:5" x14ac:dyDescent="0.55000000000000004">
      <c r="A55" s="59"/>
      <c r="B55" s="5"/>
      <c r="C55" s="5"/>
    </row>
    <row r="56" spans="1:5" x14ac:dyDescent="0.55000000000000004">
      <c r="A56" s="59"/>
      <c r="B56" s="5"/>
      <c r="C56" s="5"/>
    </row>
    <row r="57" spans="1:5" x14ac:dyDescent="0.55000000000000004">
      <c r="A57" s="59"/>
      <c r="B57" s="5"/>
      <c r="C57" s="5"/>
    </row>
    <row r="58" spans="1:5" x14ac:dyDescent="0.55000000000000004">
      <c r="A58" s="59"/>
      <c r="B58" s="5"/>
      <c r="C58" s="5"/>
    </row>
    <row r="59" spans="1:5" x14ac:dyDescent="0.55000000000000004">
      <c r="A59" s="59"/>
      <c r="B59" s="5"/>
      <c r="C59" s="5"/>
    </row>
    <row r="60" spans="1:5" x14ac:dyDescent="0.55000000000000004">
      <c r="A60" s="59"/>
      <c r="B60" s="5"/>
      <c r="C60" s="5"/>
    </row>
    <row r="61" spans="1:5" x14ac:dyDescent="0.55000000000000004">
      <c r="A61" s="59"/>
      <c r="B61" s="5"/>
      <c r="C61" s="5"/>
    </row>
    <row r="62" spans="1:5" x14ac:dyDescent="0.55000000000000004">
      <c r="A62" s="59"/>
      <c r="B62" s="5"/>
      <c r="C62" s="5"/>
    </row>
    <row r="63" spans="1:5" x14ac:dyDescent="0.55000000000000004">
      <c r="A63" s="59"/>
      <c r="B63" s="5"/>
      <c r="C63" s="5"/>
    </row>
    <row r="64" spans="1:5" x14ac:dyDescent="0.55000000000000004">
      <c r="A64" s="59"/>
      <c r="B64" s="5"/>
      <c r="C64" s="5"/>
    </row>
    <row r="65" spans="1:4" x14ac:dyDescent="0.55000000000000004">
      <c r="A65" s="59"/>
      <c r="B65" s="5" t="s">
        <v>62</v>
      </c>
      <c r="C65" s="5"/>
      <c r="D65" s="2">
        <v>84</v>
      </c>
    </row>
    <row r="66" spans="1:4" x14ac:dyDescent="0.55000000000000004">
      <c r="A66" s="59"/>
      <c r="B66" s="5" t="s">
        <v>63</v>
      </c>
      <c r="C66" s="5"/>
      <c r="D66" s="2" t="s">
        <v>64</v>
      </c>
    </row>
    <row r="67" spans="1:4" x14ac:dyDescent="0.55000000000000004">
      <c r="A67" s="59" t="s">
        <v>65</v>
      </c>
      <c r="B67" s="59"/>
      <c r="C67" s="5"/>
    </row>
    <row r="68" spans="1:4" x14ac:dyDescent="0.55000000000000004">
      <c r="A68" s="3" t="s">
        <v>67</v>
      </c>
    </row>
    <row r="69" spans="1:4" x14ac:dyDescent="0.55000000000000004">
      <c r="A69" s="1" t="s">
        <v>68</v>
      </c>
      <c r="C69" s="1">
        <v>18</v>
      </c>
      <c r="D69" s="2">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AMJ76"/>
  <sheetViews>
    <sheetView topLeftCell="A34" zoomScale="90" zoomScaleNormal="90" workbookViewId="0">
      <selection activeCell="E37" sqref="E37"/>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4.15625" style="1" customWidth="1"/>
    <col min="6" max="1024" width="11.41796875" style="1"/>
  </cols>
  <sheetData>
    <row r="1" spans="1:4" x14ac:dyDescent="0.55000000000000004">
      <c r="A1" s="3" t="s">
        <v>0</v>
      </c>
      <c r="D1" s="2" t="s">
        <v>248</v>
      </c>
    </row>
    <row r="2" spans="1:4" x14ac:dyDescent="0.55000000000000004">
      <c r="A2" s="58" t="s">
        <v>2</v>
      </c>
      <c r="B2" s="58"/>
      <c r="D2" s="2" t="s">
        <v>506</v>
      </c>
    </row>
    <row r="3" spans="1:4" x14ac:dyDescent="0.55000000000000004">
      <c r="A3" s="58"/>
      <c r="B3" s="58"/>
      <c r="C3" s="5" t="s">
        <v>4</v>
      </c>
      <c r="D3" s="2" t="s">
        <v>507</v>
      </c>
    </row>
    <row r="4" spans="1:4" x14ac:dyDescent="0.55000000000000004">
      <c r="A4" s="58"/>
      <c r="B4" s="58"/>
      <c r="C4" s="5" t="s">
        <v>6</v>
      </c>
      <c r="D4" s="2">
        <v>2008</v>
      </c>
    </row>
    <row r="5" spans="1:4" ht="26.1" x14ac:dyDescent="0.55000000000000004">
      <c r="A5" s="58"/>
      <c r="B5" s="58"/>
      <c r="C5" s="5" t="s">
        <v>7</v>
      </c>
      <c r="D5" s="2" t="s">
        <v>508</v>
      </c>
    </row>
    <row r="6" spans="1:4" x14ac:dyDescent="0.55000000000000004">
      <c r="A6" s="58"/>
      <c r="B6" s="58"/>
      <c r="C6" s="5" t="s">
        <v>9</v>
      </c>
      <c r="D6" s="2" t="s">
        <v>509</v>
      </c>
    </row>
    <row r="7" spans="1:4" x14ac:dyDescent="0.55000000000000004">
      <c r="A7" s="58"/>
      <c r="B7" s="58"/>
      <c r="C7" s="5" t="s">
        <v>11</v>
      </c>
      <c r="D7" s="2" t="s">
        <v>12</v>
      </c>
    </row>
    <row r="8" spans="1:4" x14ac:dyDescent="0.55000000000000004">
      <c r="A8" s="59" t="s">
        <v>13</v>
      </c>
      <c r="B8" s="59"/>
      <c r="C8" s="5"/>
    </row>
    <row r="9" spans="1:4" x14ac:dyDescent="0.55000000000000004">
      <c r="A9" s="58"/>
      <c r="B9" s="58"/>
      <c r="C9" s="5" t="s">
        <v>14</v>
      </c>
      <c r="D9" s="2" t="s">
        <v>510</v>
      </c>
    </row>
    <row r="10" spans="1:4" x14ac:dyDescent="0.55000000000000004">
      <c r="A10" s="58"/>
      <c r="B10" s="58"/>
      <c r="C10" s="5" t="s">
        <v>16</v>
      </c>
      <c r="D10" s="2" t="s">
        <v>86</v>
      </c>
    </row>
    <row r="11" spans="1:4" x14ac:dyDescent="0.55000000000000004">
      <c r="A11" s="58"/>
      <c r="B11" s="58"/>
      <c r="C11" s="5" t="s">
        <v>19</v>
      </c>
      <c r="D11" s="2" t="s">
        <v>20</v>
      </c>
    </row>
    <row r="12" spans="1:4" x14ac:dyDescent="0.55000000000000004">
      <c r="A12" s="58"/>
      <c r="B12" s="58"/>
      <c r="C12" s="5" t="s">
        <v>21</v>
      </c>
      <c r="D12" s="2" t="s">
        <v>20</v>
      </c>
    </row>
    <row r="13" spans="1:4" x14ac:dyDescent="0.55000000000000004">
      <c r="A13" s="58"/>
      <c r="B13" s="58"/>
      <c r="C13" s="5" t="s">
        <v>22</v>
      </c>
      <c r="D13" s="2" t="s">
        <v>20</v>
      </c>
    </row>
    <row r="14" spans="1:4" x14ac:dyDescent="0.55000000000000004">
      <c r="A14" s="59" t="s">
        <v>24</v>
      </c>
      <c r="B14" s="59"/>
      <c r="C14" s="5"/>
    </row>
    <row r="15" spans="1:4" x14ac:dyDescent="0.55000000000000004">
      <c r="A15" s="58"/>
      <c r="B15" s="58"/>
      <c r="C15" s="5" t="s">
        <v>25</v>
      </c>
      <c r="D15" s="2" t="s">
        <v>511</v>
      </c>
    </row>
    <row r="16" spans="1:4" x14ac:dyDescent="0.55000000000000004">
      <c r="A16" s="58"/>
      <c r="B16" s="58"/>
      <c r="C16" s="5" t="s">
        <v>27</v>
      </c>
      <c r="D16" s="2" t="s">
        <v>512</v>
      </c>
    </row>
    <row r="17" spans="1:4" x14ac:dyDescent="0.55000000000000004">
      <c r="A17" s="59" t="s">
        <v>29</v>
      </c>
      <c r="B17" s="59"/>
      <c r="C17" s="5"/>
    </row>
    <row r="18" spans="1:4" x14ac:dyDescent="0.55000000000000004">
      <c r="A18" s="58"/>
      <c r="B18" s="58"/>
      <c r="C18" s="5" t="s">
        <v>30</v>
      </c>
      <c r="D18" s="2" t="s">
        <v>513</v>
      </c>
    </row>
    <row r="19" spans="1:4" x14ac:dyDescent="0.55000000000000004">
      <c r="A19" s="58"/>
      <c r="B19" s="58"/>
      <c r="C19" s="5" t="s">
        <v>32</v>
      </c>
      <c r="D19" s="2" t="s">
        <v>20</v>
      </c>
    </row>
    <row r="20" spans="1:4" x14ac:dyDescent="0.55000000000000004">
      <c r="A20" s="59" t="s">
        <v>34</v>
      </c>
      <c r="B20" s="59"/>
      <c r="C20" s="5"/>
      <c r="D20" s="2" t="s">
        <v>35</v>
      </c>
    </row>
    <row r="21" spans="1:4" x14ac:dyDescent="0.55000000000000004">
      <c r="A21" s="58"/>
      <c r="B21" s="58"/>
      <c r="C21" s="5" t="s">
        <v>36</v>
      </c>
      <c r="D21" s="2" t="s">
        <v>20</v>
      </c>
    </row>
    <row r="22" spans="1:4" x14ac:dyDescent="0.55000000000000004">
      <c r="A22" s="58"/>
      <c r="B22" s="58"/>
      <c r="C22" s="5" t="s">
        <v>37</v>
      </c>
      <c r="D22" s="2">
        <v>18</v>
      </c>
    </row>
    <row r="23" spans="1:4" x14ac:dyDescent="0.55000000000000004">
      <c r="A23" s="58"/>
      <c r="B23" s="58"/>
      <c r="C23" s="5" t="s">
        <v>38</v>
      </c>
      <c r="D23" s="2">
        <v>18</v>
      </c>
    </row>
    <row r="24" spans="1:4" x14ac:dyDescent="0.55000000000000004">
      <c r="A24" s="58"/>
      <c r="B24" s="58"/>
      <c r="C24" s="5" t="s">
        <v>39</v>
      </c>
      <c r="D24" s="2">
        <v>0</v>
      </c>
    </row>
    <row r="25" spans="1:4" x14ac:dyDescent="0.55000000000000004">
      <c r="A25" s="58"/>
      <c r="B25" s="58"/>
      <c r="C25" s="5" t="s">
        <v>40</v>
      </c>
      <c r="D25" s="7">
        <v>44.4</v>
      </c>
    </row>
    <row r="26" spans="1:4" x14ac:dyDescent="0.55000000000000004">
      <c r="A26" s="58"/>
      <c r="B26" s="58"/>
      <c r="C26" s="5" t="s">
        <v>41</v>
      </c>
      <c r="D26" s="2">
        <v>64</v>
      </c>
    </row>
    <row r="27" spans="1:4" x14ac:dyDescent="0.55000000000000004">
      <c r="A27" s="58"/>
      <c r="B27" s="58"/>
      <c r="C27" s="5" t="s">
        <v>42</v>
      </c>
      <c r="D27" s="2">
        <v>22</v>
      </c>
    </row>
    <row r="28" spans="1:4" x14ac:dyDescent="0.55000000000000004">
      <c r="A28" s="58"/>
      <c r="B28" s="58"/>
      <c r="C28" s="5" t="s">
        <v>43</v>
      </c>
      <c r="D28" s="2" t="s">
        <v>20</v>
      </c>
    </row>
    <row r="29" spans="1:4" x14ac:dyDescent="0.55000000000000004">
      <c r="A29" s="58"/>
      <c r="B29" s="58"/>
      <c r="C29" s="5" t="s">
        <v>44</v>
      </c>
      <c r="D29" s="2" t="s">
        <v>20</v>
      </c>
    </row>
    <row r="30" spans="1:4" x14ac:dyDescent="0.55000000000000004">
      <c r="A30" s="58"/>
      <c r="B30" s="58"/>
      <c r="C30" s="5" t="s">
        <v>45</v>
      </c>
      <c r="D30" s="7">
        <v>31.5</v>
      </c>
    </row>
    <row r="31" spans="1:4" x14ac:dyDescent="0.55000000000000004">
      <c r="A31" s="58"/>
      <c r="B31" s="58"/>
      <c r="C31" s="5" t="s">
        <v>46</v>
      </c>
      <c r="D31" s="7">
        <v>9</v>
      </c>
    </row>
    <row r="32" spans="1:4" x14ac:dyDescent="0.55000000000000004">
      <c r="A32" s="59" t="s">
        <v>47</v>
      </c>
      <c r="B32" s="59"/>
      <c r="C32" s="5"/>
    </row>
    <row r="33" spans="1:11" ht="51.9" x14ac:dyDescent="0.55000000000000004">
      <c r="A33" s="58"/>
      <c r="B33" s="58"/>
      <c r="C33" s="5" t="s">
        <v>48</v>
      </c>
      <c r="D33" s="2" t="s">
        <v>514</v>
      </c>
    </row>
    <row r="34" spans="1:11" x14ac:dyDescent="0.55000000000000004">
      <c r="A34" s="59" t="s">
        <v>50</v>
      </c>
      <c r="B34" s="59"/>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9"/>
      <c r="B36" s="5" t="s">
        <v>59</v>
      </c>
      <c r="C36" s="5"/>
    </row>
    <row r="37" spans="1:11" x14ac:dyDescent="0.55000000000000004">
      <c r="A37" s="59"/>
      <c r="B37" s="5"/>
      <c r="C37" s="5" t="s">
        <v>260</v>
      </c>
      <c r="D37" s="7">
        <v>7.7</v>
      </c>
      <c r="E37" s="10">
        <v>4.5999999999999996</v>
      </c>
    </row>
    <row r="38" spans="1:11" x14ac:dyDescent="0.55000000000000004">
      <c r="A38" s="59"/>
      <c r="B38" s="5"/>
      <c r="C38" s="5" t="s">
        <v>261</v>
      </c>
      <c r="D38" s="7">
        <v>3.3</v>
      </c>
      <c r="E38" s="10">
        <v>2.5</v>
      </c>
    </row>
    <row r="39" spans="1:11" x14ac:dyDescent="0.55000000000000004">
      <c r="A39" s="59"/>
      <c r="B39" s="5"/>
      <c r="D39" s="7"/>
      <c r="E39" s="10"/>
    </row>
    <row r="40" spans="1:11" x14ac:dyDescent="0.55000000000000004">
      <c r="A40" s="59"/>
      <c r="B40" s="5"/>
      <c r="D40" s="7"/>
      <c r="E40" s="10"/>
    </row>
    <row r="41" spans="1:11" x14ac:dyDescent="0.55000000000000004">
      <c r="A41" s="59"/>
      <c r="B41" s="5"/>
      <c r="C41" s="5"/>
      <c r="D41" s="7"/>
      <c r="E41" s="10"/>
    </row>
    <row r="42" spans="1:11" x14ac:dyDescent="0.55000000000000004">
      <c r="A42" s="59"/>
      <c r="B42" s="5"/>
      <c r="C42" s="5"/>
      <c r="D42" s="7"/>
      <c r="E42" s="10"/>
    </row>
    <row r="43" spans="1:11" x14ac:dyDescent="0.55000000000000004">
      <c r="A43" s="59"/>
      <c r="B43" s="5"/>
      <c r="C43" s="5"/>
      <c r="D43" s="7"/>
      <c r="E43" s="10"/>
    </row>
    <row r="44" spans="1:11" x14ac:dyDescent="0.55000000000000004">
      <c r="A44" s="59"/>
      <c r="B44" s="5"/>
      <c r="C44" s="5"/>
      <c r="D44" s="7"/>
      <c r="E44" s="10"/>
    </row>
    <row r="45" spans="1:11" x14ac:dyDescent="0.55000000000000004">
      <c r="A45" s="59"/>
      <c r="B45" s="5" t="s">
        <v>61</v>
      </c>
      <c r="C45" s="5"/>
      <c r="D45" s="7"/>
      <c r="E45" s="10"/>
    </row>
    <row r="46" spans="1:11" x14ac:dyDescent="0.55000000000000004">
      <c r="A46" s="59"/>
      <c r="B46" s="5"/>
      <c r="C46" s="5" t="s">
        <v>79</v>
      </c>
      <c r="D46" s="2">
        <v>1</v>
      </c>
    </row>
    <row r="47" spans="1:11" x14ac:dyDescent="0.55000000000000004">
      <c r="A47" s="59"/>
      <c r="B47" s="5"/>
    </row>
    <row r="48" spans="1:11" x14ac:dyDescent="0.55000000000000004">
      <c r="A48" s="59"/>
      <c r="B48" s="5"/>
    </row>
    <row r="49" spans="1:3" x14ac:dyDescent="0.55000000000000004">
      <c r="A49" s="59"/>
      <c r="B49" s="5"/>
    </row>
    <row r="50" spans="1:3" x14ac:dyDescent="0.55000000000000004">
      <c r="A50" s="59"/>
      <c r="B50" s="5"/>
    </row>
    <row r="51" spans="1:3" x14ac:dyDescent="0.55000000000000004">
      <c r="A51" s="59"/>
      <c r="B51" s="5"/>
    </row>
    <row r="52" spans="1:3" x14ac:dyDescent="0.55000000000000004">
      <c r="A52" s="59"/>
      <c r="B52" s="5"/>
    </row>
    <row r="53" spans="1:3" x14ac:dyDescent="0.55000000000000004">
      <c r="A53" s="59"/>
      <c r="B53" s="5"/>
      <c r="C53" s="5"/>
    </row>
    <row r="54" spans="1:3" x14ac:dyDescent="0.55000000000000004">
      <c r="A54" s="59"/>
      <c r="B54" s="5"/>
      <c r="C54" s="5"/>
    </row>
    <row r="55" spans="1:3" x14ac:dyDescent="0.55000000000000004">
      <c r="A55" s="59"/>
      <c r="B55" s="5"/>
      <c r="C55" s="5"/>
    </row>
    <row r="56" spans="1:3" x14ac:dyDescent="0.55000000000000004">
      <c r="A56" s="59"/>
      <c r="B56" s="5"/>
      <c r="C56" s="5"/>
    </row>
    <row r="57" spans="1:3" x14ac:dyDescent="0.55000000000000004">
      <c r="A57" s="59"/>
      <c r="B57" s="5"/>
      <c r="C57" s="5"/>
    </row>
    <row r="58" spans="1:3" x14ac:dyDescent="0.55000000000000004">
      <c r="A58" s="59"/>
      <c r="B58" s="5"/>
      <c r="C58" s="5"/>
    </row>
    <row r="59" spans="1:3" x14ac:dyDescent="0.55000000000000004">
      <c r="A59" s="59"/>
      <c r="B59" s="5"/>
      <c r="C59" s="5"/>
    </row>
    <row r="60" spans="1:3" x14ac:dyDescent="0.55000000000000004">
      <c r="A60" s="59"/>
      <c r="B60" s="5"/>
      <c r="C60" s="5"/>
    </row>
    <row r="61" spans="1:3" x14ac:dyDescent="0.55000000000000004">
      <c r="A61" s="59"/>
      <c r="B61" s="5"/>
      <c r="C61" s="5"/>
    </row>
    <row r="62" spans="1:3" x14ac:dyDescent="0.55000000000000004">
      <c r="A62" s="59"/>
      <c r="B62" s="5"/>
      <c r="C62" s="5"/>
    </row>
    <row r="63" spans="1:3" x14ac:dyDescent="0.55000000000000004">
      <c r="A63" s="59"/>
      <c r="B63" s="5"/>
      <c r="C63" s="5"/>
    </row>
    <row r="64" spans="1:3" x14ac:dyDescent="0.55000000000000004">
      <c r="A64" s="59"/>
      <c r="B64" s="5"/>
      <c r="C64" s="5"/>
    </row>
    <row r="65" spans="1:5" x14ac:dyDescent="0.55000000000000004">
      <c r="A65" s="59"/>
      <c r="B65" s="5" t="s">
        <v>62</v>
      </c>
      <c r="C65" s="5"/>
      <c r="D65" s="2" t="s">
        <v>20</v>
      </c>
    </row>
    <row r="66" spans="1:5" x14ac:dyDescent="0.55000000000000004">
      <c r="A66" s="59"/>
      <c r="B66" s="5" t="s">
        <v>63</v>
      </c>
      <c r="C66" s="5"/>
      <c r="D66" s="2" t="s">
        <v>207</v>
      </c>
    </row>
    <row r="67" spans="1:5" x14ac:dyDescent="0.55000000000000004">
      <c r="A67" s="59" t="s">
        <v>65</v>
      </c>
      <c r="B67" s="59"/>
      <c r="C67" s="5"/>
    </row>
    <row r="68" spans="1:5" x14ac:dyDescent="0.55000000000000004">
      <c r="A68" s="3" t="s">
        <v>67</v>
      </c>
    </row>
    <row r="69" spans="1:5" x14ac:dyDescent="0.55000000000000004">
      <c r="A69" s="1" t="s">
        <v>68</v>
      </c>
      <c r="C69" s="1">
        <v>16</v>
      </c>
      <c r="D69" s="2">
        <v>20</v>
      </c>
    </row>
    <row r="70" spans="1:5" x14ac:dyDescent="0.55000000000000004">
      <c r="B70" s="1" t="s">
        <v>94</v>
      </c>
    </row>
    <row r="71" spans="1:5" x14ac:dyDescent="0.55000000000000004">
      <c r="C71" s="5" t="s">
        <v>267</v>
      </c>
      <c r="D71" s="7">
        <v>31.5</v>
      </c>
      <c r="E71" s="10">
        <v>9</v>
      </c>
    </row>
    <row r="72" spans="1:5" x14ac:dyDescent="0.55000000000000004">
      <c r="C72" s="5" t="s">
        <v>268</v>
      </c>
      <c r="D72" s="7">
        <v>20</v>
      </c>
      <c r="E72" s="10">
        <v>6.4</v>
      </c>
    </row>
    <row r="73" spans="1:5" x14ac:dyDescent="0.55000000000000004">
      <c r="C73" s="5" t="s">
        <v>265</v>
      </c>
      <c r="D73" s="7">
        <v>11.2</v>
      </c>
      <c r="E73" s="10">
        <v>2.9</v>
      </c>
    </row>
    <row r="74" spans="1:5" x14ac:dyDescent="0.55000000000000004">
      <c r="C74" s="5" t="s">
        <v>266</v>
      </c>
      <c r="D74" s="7">
        <v>8.1</v>
      </c>
      <c r="E74" s="10">
        <v>3.3</v>
      </c>
    </row>
    <row r="75" spans="1:5" x14ac:dyDescent="0.55000000000000004">
      <c r="C75" s="5" t="s">
        <v>515</v>
      </c>
      <c r="D75" s="7">
        <v>7.5</v>
      </c>
      <c r="E75" s="10">
        <v>2.8</v>
      </c>
    </row>
    <row r="76" spans="1:5" x14ac:dyDescent="0.55000000000000004">
      <c r="C76" s="5" t="s">
        <v>516</v>
      </c>
      <c r="D76" s="7">
        <v>4.2</v>
      </c>
      <c r="E76" s="10">
        <v>2.2999999999999998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72"/>
  <sheetViews>
    <sheetView zoomScale="90" zoomScaleNormal="90" workbookViewId="0">
      <selection activeCell="A2" sqref="A2:B2"/>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1024" width="11.41796875" style="1"/>
  </cols>
  <sheetData>
    <row r="1" spans="1:4" x14ac:dyDescent="0.55000000000000004">
      <c r="A1" s="3" t="s">
        <v>0</v>
      </c>
      <c r="D1" s="2" t="s">
        <v>80</v>
      </c>
    </row>
    <row r="2" spans="1:4" ht="26.1" x14ac:dyDescent="0.55000000000000004">
      <c r="A2" s="58" t="s">
        <v>2</v>
      </c>
      <c r="B2" s="58"/>
      <c r="D2" s="2" t="s">
        <v>81</v>
      </c>
    </row>
    <row r="3" spans="1:4" x14ac:dyDescent="0.55000000000000004">
      <c r="A3" s="58"/>
      <c r="B3" s="58"/>
      <c r="C3" s="5" t="s">
        <v>4</v>
      </c>
      <c r="D3" s="2" t="s">
        <v>82</v>
      </c>
    </row>
    <row r="4" spans="1:4" x14ac:dyDescent="0.55000000000000004">
      <c r="A4" s="58"/>
      <c r="B4" s="58"/>
      <c r="C4" s="5" t="s">
        <v>6</v>
      </c>
      <c r="D4" s="2">
        <v>2005</v>
      </c>
    </row>
    <row r="5" spans="1:4" ht="26.1" x14ac:dyDescent="0.55000000000000004">
      <c r="A5" s="58"/>
      <c r="B5" s="58"/>
      <c r="C5" s="5" t="s">
        <v>7</v>
      </c>
      <c r="D5" s="2" t="s">
        <v>83</v>
      </c>
    </row>
    <row r="6" spans="1:4" x14ac:dyDescent="0.55000000000000004">
      <c r="A6" s="58"/>
      <c r="B6" s="58"/>
      <c r="C6" s="5" t="s">
        <v>9</v>
      </c>
      <c r="D6" s="2" t="s">
        <v>84</v>
      </c>
    </row>
    <row r="7" spans="1:4" x14ac:dyDescent="0.55000000000000004">
      <c r="A7" s="58"/>
      <c r="B7" s="58"/>
      <c r="C7" s="5" t="s">
        <v>11</v>
      </c>
      <c r="D7" s="2" t="s">
        <v>12</v>
      </c>
    </row>
    <row r="8" spans="1:4" x14ac:dyDescent="0.55000000000000004">
      <c r="A8" s="59" t="s">
        <v>13</v>
      </c>
      <c r="B8" s="59"/>
      <c r="C8" s="5"/>
    </row>
    <row r="9" spans="1:4" ht="39" x14ac:dyDescent="0.55000000000000004">
      <c r="A9" s="58"/>
      <c r="B9" s="58"/>
      <c r="C9" s="5" t="s">
        <v>14</v>
      </c>
      <c r="D9" s="2" t="s">
        <v>85</v>
      </c>
    </row>
    <row r="10" spans="1:4" x14ac:dyDescent="0.55000000000000004">
      <c r="A10" s="58"/>
      <c r="B10" s="58"/>
      <c r="C10" s="5" t="s">
        <v>16</v>
      </c>
      <c r="D10" s="2" t="s">
        <v>86</v>
      </c>
    </row>
    <row r="11" spans="1:4" x14ac:dyDescent="0.55000000000000004">
      <c r="A11" s="58"/>
      <c r="B11" s="58"/>
      <c r="C11" s="5" t="s">
        <v>19</v>
      </c>
      <c r="D11" s="9" t="s">
        <v>20</v>
      </c>
    </row>
    <row r="12" spans="1:4" x14ac:dyDescent="0.55000000000000004">
      <c r="A12" s="58"/>
      <c r="B12" s="58"/>
      <c r="C12" s="5" t="s">
        <v>21</v>
      </c>
      <c r="D12" s="9" t="s">
        <v>20</v>
      </c>
    </row>
    <row r="13" spans="1:4" x14ac:dyDescent="0.55000000000000004">
      <c r="A13" s="58"/>
      <c r="B13" s="58"/>
      <c r="C13" s="5" t="s">
        <v>22</v>
      </c>
      <c r="D13" s="2" t="s">
        <v>20</v>
      </c>
    </row>
    <row r="14" spans="1:4" x14ac:dyDescent="0.55000000000000004">
      <c r="A14" s="59" t="s">
        <v>24</v>
      </c>
      <c r="B14" s="59"/>
      <c r="C14" s="5"/>
    </row>
    <row r="15" spans="1:4" x14ac:dyDescent="0.55000000000000004">
      <c r="A15" s="58"/>
      <c r="B15" s="58"/>
      <c r="C15" s="5" t="s">
        <v>25</v>
      </c>
      <c r="D15" s="2" t="s">
        <v>87</v>
      </c>
    </row>
    <row r="16" spans="1:4" x14ac:dyDescent="0.55000000000000004">
      <c r="A16" s="58"/>
      <c r="B16" s="58"/>
      <c r="C16" s="5" t="s">
        <v>27</v>
      </c>
      <c r="D16" s="2" t="s">
        <v>88</v>
      </c>
    </row>
    <row r="17" spans="1:4" x14ac:dyDescent="0.55000000000000004">
      <c r="A17" s="59" t="s">
        <v>29</v>
      </c>
      <c r="B17" s="59"/>
      <c r="C17" s="5"/>
    </row>
    <row r="18" spans="1:4" ht="51.9" x14ac:dyDescent="0.55000000000000004">
      <c r="A18" s="58"/>
      <c r="B18" s="58"/>
      <c r="C18" s="5" t="s">
        <v>30</v>
      </c>
      <c r="D18" s="2" t="s">
        <v>89</v>
      </c>
    </row>
    <row r="19" spans="1:4" ht="103.5" x14ac:dyDescent="0.55000000000000004">
      <c r="A19" s="58"/>
      <c r="B19" s="58"/>
      <c r="C19" s="5" t="s">
        <v>32</v>
      </c>
      <c r="D19" s="2" t="s">
        <v>90</v>
      </c>
    </row>
    <row r="20" spans="1:4" x14ac:dyDescent="0.55000000000000004">
      <c r="A20" s="59" t="s">
        <v>34</v>
      </c>
      <c r="B20" s="59"/>
      <c r="C20" s="5"/>
      <c r="D20" s="2" t="s">
        <v>35</v>
      </c>
    </row>
    <row r="21" spans="1:4" x14ac:dyDescent="0.55000000000000004">
      <c r="A21" s="58"/>
      <c r="B21" s="58"/>
      <c r="C21" s="5" t="s">
        <v>36</v>
      </c>
      <c r="D21" s="2">
        <v>33</v>
      </c>
    </row>
    <row r="22" spans="1:4" x14ac:dyDescent="0.55000000000000004">
      <c r="A22" s="58"/>
      <c r="B22" s="58"/>
      <c r="C22" s="5" t="s">
        <v>37</v>
      </c>
      <c r="D22" s="2">
        <v>33</v>
      </c>
    </row>
    <row r="23" spans="1:4" x14ac:dyDescent="0.55000000000000004">
      <c r="A23" s="58"/>
      <c r="B23" s="58"/>
      <c r="C23" s="5" t="s">
        <v>38</v>
      </c>
      <c r="D23" s="2">
        <v>32</v>
      </c>
    </row>
    <row r="24" spans="1:4" x14ac:dyDescent="0.55000000000000004">
      <c r="A24" s="58"/>
      <c r="B24" s="58"/>
      <c r="C24" s="5" t="s">
        <v>39</v>
      </c>
      <c r="D24" s="2">
        <v>10</v>
      </c>
    </row>
    <row r="25" spans="1:4" x14ac:dyDescent="0.55000000000000004">
      <c r="A25" s="58"/>
      <c r="B25" s="58"/>
      <c r="C25" s="5" t="s">
        <v>40</v>
      </c>
      <c r="D25" s="2">
        <v>34</v>
      </c>
    </row>
    <row r="26" spans="1:4" x14ac:dyDescent="0.55000000000000004">
      <c r="A26" s="58"/>
      <c r="B26" s="58"/>
      <c r="C26" s="5" t="s">
        <v>41</v>
      </c>
      <c r="D26" s="7">
        <v>60.1</v>
      </c>
    </row>
    <row r="27" spans="1:4" x14ac:dyDescent="0.55000000000000004">
      <c r="A27" s="58"/>
      <c r="B27" s="58"/>
      <c r="C27" s="5" t="s">
        <v>42</v>
      </c>
      <c r="D27" s="7">
        <v>10.1</v>
      </c>
    </row>
    <row r="28" spans="1:4" x14ac:dyDescent="0.55000000000000004">
      <c r="A28" s="58"/>
      <c r="B28" s="58"/>
      <c r="C28" s="5" t="s">
        <v>43</v>
      </c>
      <c r="D28" s="2" t="s">
        <v>20</v>
      </c>
    </row>
    <row r="29" spans="1:4" x14ac:dyDescent="0.55000000000000004">
      <c r="A29" s="58"/>
      <c r="B29" s="58"/>
      <c r="C29" s="5" t="s">
        <v>44</v>
      </c>
      <c r="D29" s="2">
        <v>3</v>
      </c>
    </row>
    <row r="30" spans="1:4" x14ac:dyDescent="0.55000000000000004">
      <c r="A30" s="58"/>
      <c r="B30" s="58"/>
      <c r="C30" s="5" t="s">
        <v>45</v>
      </c>
      <c r="D30" s="7">
        <v>25.8</v>
      </c>
    </row>
    <row r="31" spans="1:4" x14ac:dyDescent="0.55000000000000004">
      <c r="A31" s="58"/>
      <c r="B31" s="58"/>
      <c r="C31" s="5" t="s">
        <v>46</v>
      </c>
      <c r="D31" s="7">
        <v>13.2</v>
      </c>
    </row>
    <row r="32" spans="1:4" x14ac:dyDescent="0.55000000000000004">
      <c r="A32" s="59" t="s">
        <v>47</v>
      </c>
      <c r="B32" s="59"/>
      <c r="C32" s="5"/>
    </row>
    <row r="33" spans="1:11" ht="77.7" x14ac:dyDescent="0.55000000000000004">
      <c r="A33" s="58"/>
      <c r="B33" s="58"/>
      <c r="C33" s="5" t="s">
        <v>48</v>
      </c>
      <c r="D33" s="2" t="s">
        <v>91</v>
      </c>
    </row>
    <row r="34" spans="1:11" x14ac:dyDescent="0.55000000000000004">
      <c r="A34" s="59" t="s">
        <v>50</v>
      </c>
      <c r="B34" s="59"/>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9"/>
      <c r="B36" s="5" t="s">
        <v>59</v>
      </c>
      <c r="C36" s="5"/>
    </row>
    <row r="37" spans="1:11" x14ac:dyDescent="0.55000000000000004">
      <c r="A37" s="59"/>
      <c r="B37" s="5"/>
      <c r="C37" s="5" t="s">
        <v>92</v>
      </c>
      <c r="D37" s="2">
        <v>4</v>
      </c>
      <c r="E37" s="1">
        <v>3.8</v>
      </c>
    </row>
    <row r="38" spans="1:11" x14ac:dyDescent="0.55000000000000004">
      <c r="A38" s="59"/>
      <c r="B38" s="5"/>
      <c r="C38" s="5" t="s">
        <v>93</v>
      </c>
      <c r="D38" s="2">
        <v>1.9</v>
      </c>
      <c r="E38" s="1">
        <v>2.1</v>
      </c>
    </row>
    <row r="39" spans="1:11" x14ac:dyDescent="0.55000000000000004">
      <c r="A39" s="59"/>
      <c r="B39" s="5"/>
    </row>
    <row r="40" spans="1:11" x14ac:dyDescent="0.55000000000000004">
      <c r="A40" s="59"/>
      <c r="B40" s="5"/>
    </row>
    <row r="41" spans="1:11" x14ac:dyDescent="0.55000000000000004">
      <c r="A41" s="59"/>
      <c r="B41" s="5"/>
      <c r="C41" s="5"/>
    </row>
    <row r="42" spans="1:11" x14ac:dyDescent="0.55000000000000004">
      <c r="A42" s="59"/>
      <c r="B42" s="5"/>
      <c r="C42" s="5"/>
    </row>
    <row r="43" spans="1:11" x14ac:dyDescent="0.55000000000000004">
      <c r="A43" s="59"/>
      <c r="B43" s="5"/>
      <c r="C43" s="5"/>
    </row>
    <row r="44" spans="1:11" x14ac:dyDescent="0.55000000000000004">
      <c r="A44" s="59"/>
      <c r="B44" s="5"/>
      <c r="C44" s="5"/>
    </row>
    <row r="45" spans="1:11" x14ac:dyDescent="0.55000000000000004">
      <c r="A45" s="59"/>
      <c r="B45" s="5" t="s">
        <v>61</v>
      </c>
      <c r="C45" s="5"/>
    </row>
    <row r="46" spans="1:11" x14ac:dyDescent="0.55000000000000004">
      <c r="A46" s="59"/>
      <c r="B46" s="5"/>
      <c r="C46" s="5" t="s">
        <v>79</v>
      </c>
      <c r="D46" s="2">
        <v>1</v>
      </c>
    </row>
    <row r="47" spans="1:11" x14ac:dyDescent="0.55000000000000004">
      <c r="A47" s="59"/>
      <c r="B47" s="5"/>
    </row>
    <row r="48" spans="1:11" x14ac:dyDescent="0.55000000000000004">
      <c r="A48" s="59"/>
      <c r="B48" s="5"/>
    </row>
    <row r="49" spans="1:3" x14ac:dyDescent="0.55000000000000004">
      <c r="A49" s="59"/>
      <c r="B49" s="5"/>
    </row>
    <row r="50" spans="1:3" x14ac:dyDescent="0.55000000000000004">
      <c r="A50" s="59"/>
      <c r="B50" s="5"/>
    </row>
    <row r="51" spans="1:3" x14ac:dyDescent="0.55000000000000004">
      <c r="A51" s="59"/>
      <c r="B51" s="5"/>
      <c r="C51" s="5"/>
    </row>
    <row r="52" spans="1:3" x14ac:dyDescent="0.55000000000000004">
      <c r="A52" s="59"/>
      <c r="B52" s="5"/>
      <c r="C52" s="5"/>
    </row>
    <row r="53" spans="1:3" x14ac:dyDescent="0.55000000000000004">
      <c r="A53" s="59"/>
      <c r="B53" s="5"/>
      <c r="C53" s="5"/>
    </row>
    <row r="54" spans="1:3" x14ac:dyDescent="0.55000000000000004">
      <c r="A54" s="59"/>
      <c r="B54" s="5"/>
      <c r="C54" s="5"/>
    </row>
    <row r="55" spans="1:3" x14ac:dyDescent="0.55000000000000004">
      <c r="A55" s="59"/>
      <c r="B55" s="5"/>
      <c r="C55" s="5"/>
    </row>
    <row r="56" spans="1:3" x14ac:dyDescent="0.55000000000000004">
      <c r="A56" s="59"/>
      <c r="B56" s="5"/>
      <c r="C56" s="5"/>
    </row>
    <row r="57" spans="1:3" x14ac:dyDescent="0.55000000000000004">
      <c r="A57" s="59"/>
      <c r="B57" s="5"/>
      <c r="C57" s="5"/>
    </row>
    <row r="58" spans="1:3" x14ac:dyDescent="0.55000000000000004">
      <c r="A58" s="59"/>
      <c r="B58" s="5"/>
      <c r="C58" s="5"/>
    </row>
    <row r="59" spans="1:3" x14ac:dyDescent="0.55000000000000004">
      <c r="A59" s="59"/>
      <c r="B59" s="5"/>
      <c r="C59" s="5"/>
    </row>
    <row r="60" spans="1:3" x14ac:dyDescent="0.55000000000000004">
      <c r="A60" s="59"/>
      <c r="B60" s="5"/>
      <c r="C60" s="5"/>
    </row>
    <row r="61" spans="1:3" x14ac:dyDescent="0.55000000000000004">
      <c r="A61" s="59"/>
      <c r="B61" s="5"/>
      <c r="C61" s="5"/>
    </row>
    <row r="62" spans="1:3" x14ac:dyDescent="0.55000000000000004">
      <c r="A62" s="59"/>
      <c r="B62" s="5"/>
      <c r="C62" s="5"/>
    </row>
    <row r="63" spans="1:3" x14ac:dyDescent="0.55000000000000004">
      <c r="A63" s="59"/>
      <c r="B63" s="5"/>
      <c r="C63" s="5"/>
    </row>
    <row r="64" spans="1:3" x14ac:dyDescent="0.55000000000000004">
      <c r="A64" s="59"/>
      <c r="B64" s="5"/>
      <c r="C64" s="5"/>
    </row>
    <row r="65" spans="1:5" x14ac:dyDescent="0.55000000000000004">
      <c r="A65" s="59"/>
      <c r="B65" s="5" t="s">
        <v>62</v>
      </c>
      <c r="C65" s="5"/>
      <c r="D65" s="2">
        <v>182</v>
      </c>
    </row>
    <row r="66" spans="1:5" x14ac:dyDescent="0.55000000000000004">
      <c r="A66" s="59"/>
      <c r="B66" s="5" t="s">
        <v>63</v>
      </c>
      <c r="C66" s="5"/>
      <c r="D66" s="2" t="s">
        <v>64</v>
      </c>
    </row>
    <row r="67" spans="1:5" x14ac:dyDescent="0.55000000000000004">
      <c r="A67" s="59" t="s">
        <v>65</v>
      </c>
      <c r="B67" s="59"/>
      <c r="C67" s="5"/>
    </row>
    <row r="68" spans="1:5" x14ac:dyDescent="0.55000000000000004">
      <c r="A68" s="3" t="s">
        <v>67</v>
      </c>
    </row>
    <row r="69" spans="1:5" x14ac:dyDescent="0.55000000000000004">
      <c r="A69" s="1" t="s">
        <v>68</v>
      </c>
      <c r="C69" s="1">
        <v>16</v>
      </c>
      <c r="D69" s="2">
        <v>20</v>
      </c>
    </row>
    <row r="70" spans="1:5" x14ac:dyDescent="0.55000000000000004">
      <c r="B70" s="1" t="s">
        <v>94</v>
      </c>
    </row>
    <row r="71" spans="1:5" x14ac:dyDescent="0.55000000000000004">
      <c r="C71" s="5" t="s">
        <v>95</v>
      </c>
      <c r="D71" s="2">
        <v>0.13</v>
      </c>
      <c r="E71" s="1">
        <v>0.42</v>
      </c>
    </row>
    <row r="72" spans="1:5" x14ac:dyDescent="0.55000000000000004">
      <c r="C72" s="5" t="s">
        <v>96</v>
      </c>
      <c r="D72" s="2">
        <v>0.59</v>
      </c>
      <c r="E72" s="1">
        <v>1.1000000000000001</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AMJ69"/>
  <sheetViews>
    <sheetView topLeftCell="A15" zoomScale="90" zoomScaleNormal="90" workbookViewId="0">
      <selection activeCell="D46" sqref="D46"/>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9.15625" style="1" customWidth="1"/>
    <col min="6" max="1024" width="11.41796875" style="1"/>
  </cols>
  <sheetData>
    <row r="1" spans="1:4" x14ac:dyDescent="0.55000000000000004">
      <c r="A1" s="3" t="s">
        <v>0</v>
      </c>
      <c r="D1" s="2" t="s">
        <v>269</v>
      </c>
    </row>
    <row r="2" spans="1:4" x14ac:dyDescent="0.55000000000000004">
      <c r="A2" s="58" t="s">
        <v>2</v>
      </c>
      <c r="B2" s="58"/>
      <c r="D2" s="2" t="s">
        <v>517</v>
      </c>
    </row>
    <row r="3" spans="1:4" x14ac:dyDescent="0.55000000000000004">
      <c r="A3" s="58"/>
      <c r="B3" s="58"/>
      <c r="C3" s="5" t="s">
        <v>4</v>
      </c>
      <c r="D3" s="2" t="s">
        <v>518</v>
      </c>
    </row>
    <row r="4" spans="1:4" x14ac:dyDescent="0.55000000000000004">
      <c r="A4" s="58"/>
      <c r="B4" s="58"/>
      <c r="C4" s="5" t="s">
        <v>6</v>
      </c>
      <c r="D4" s="2">
        <v>2012</v>
      </c>
    </row>
    <row r="5" spans="1:4" ht="26.1" x14ac:dyDescent="0.55000000000000004">
      <c r="A5" s="58"/>
      <c r="B5" s="58"/>
      <c r="C5" s="5" t="s">
        <v>7</v>
      </c>
      <c r="D5" s="2" t="s">
        <v>519</v>
      </c>
    </row>
    <row r="6" spans="1:4" x14ac:dyDescent="0.55000000000000004">
      <c r="A6" s="58"/>
      <c r="B6" s="58"/>
      <c r="C6" s="5" t="s">
        <v>9</v>
      </c>
      <c r="D6" s="2" t="s">
        <v>520</v>
      </c>
    </row>
    <row r="7" spans="1:4" x14ac:dyDescent="0.55000000000000004">
      <c r="A7" s="58"/>
      <c r="B7" s="58"/>
      <c r="C7" s="5" t="s">
        <v>11</v>
      </c>
      <c r="D7" s="2" t="s">
        <v>12</v>
      </c>
    </row>
    <row r="8" spans="1:4" x14ac:dyDescent="0.55000000000000004">
      <c r="A8" s="59" t="s">
        <v>13</v>
      </c>
      <c r="B8" s="59"/>
      <c r="C8" s="5"/>
    </row>
    <row r="9" spans="1:4" ht="26.1" x14ac:dyDescent="0.55000000000000004">
      <c r="A9" s="58"/>
      <c r="B9" s="58"/>
      <c r="C9" s="5" t="s">
        <v>14</v>
      </c>
      <c r="D9" s="2" t="s">
        <v>521</v>
      </c>
    </row>
    <row r="10" spans="1:4" x14ac:dyDescent="0.55000000000000004">
      <c r="A10" s="58"/>
      <c r="B10" s="58"/>
      <c r="C10" s="5" t="s">
        <v>16</v>
      </c>
      <c r="D10" s="2" t="s">
        <v>17</v>
      </c>
    </row>
    <row r="11" spans="1:4" x14ac:dyDescent="0.55000000000000004">
      <c r="A11" s="58"/>
      <c r="B11" s="58"/>
      <c r="C11" s="5" t="s">
        <v>19</v>
      </c>
      <c r="D11" s="2" t="s">
        <v>20</v>
      </c>
    </row>
    <row r="12" spans="1:4" x14ac:dyDescent="0.55000000000000004">
      <c r="A12" s="58"/>
      <c r="B12" s="58"/>
      <c r="C12" s="5" t="s">
        <v>21</v>
      </c>
      <c r="D12" s="2" t="s">
        <v>20</v>
      </c>
    </row>
    <row r="13" spans="1:4" ht="39" x14ac:dyDescent="0.55000000000000004">
      <c r="A13" s="58"/>
      <c r="B13" s="58"/>
      <c r="C13" s="5" t="s">
        <v>22</v>
      </c>
      <c r="D13" s="2" t="s">
        <v>522</v>
      </c>
    </row>
    <row r="14" spans="1:4" x14ac:dyDescent="0.55000000000000004">
      <c r="A14" s="59" t="s">
        <v>24</v>
      </c>
      <c r="B14" s="59"/>
      <c r="C14" s="5"/>
    </row>
    <row r="15" spans="1:4" x14ac:dyDescent="0.55000000000000004">
      <c r="A15" s="58"/>
      <c r="B15" s="58"/>
      <c r="C15" s="5" t="s">
        <v>25</v>
      </c>
      <c r="D15" s="2" t="s">
        <v>523</v>
      </c>
    </row>
    <row r="16" spans="1:4" x14ac:dyDescent="0.55000000000000004">
      <c r="A16" s="58"/>
      <c r="B16" s="58"/>
      <c r="C16" s="5" t="s">
        <v>27</v>
      </c>
      <c r="D16" s="2" t="s">
        <v>524</v>
      </c>
    </row>
    <row r="17" spans="1:4" x14ac:dyDescent="0.55000000000000004">
      <c r="A17" s="59" t="s">
        <v>29</v>
      </c>
      <c r="B17" s="59"/>
      <c r="C17" s="5"/>
    </row>
    <row r="18" spans="1:4" x14ac:dyDescent="0.55000000000000004">
      <c r="A18" s="58"/>
      <c r="B18" s="58"/>
      <c r="C18" s="5" t="s">
        <v>30</v>
      </c>
      <c r="D18" s="2" t="s">
        <v>31</v>
      </c>
    </row>
    <row r="19" spans="1:4" ht="26.1" x14ac:dyDescent="0.55000000000000004">
      <c r="A19" s="58"/>
      <c r="B19" s="58"/>
      <c r="C19" s="5" t="s">
        <v>32</v>
      </c>
      <c r="D19" s="2" t="s">
        <v>525</v>
      </c>
    </row>
    <row r="20" spans="1:4" x14ac:dyDescent="0.55000000000000004">
      <c r="A20" s="59" t="s">
        <v>34</v>
      </c>
      <c r="B20" s="59"/>
      <c r="C20" s="5"/>
      <c r="D20" s="2" t="s">
        <v>35</v>
      </c>
    </row>
    <row r="21" spans="1:4" x14ac:dyDescent="0.55000000000000004">
      <c r="A21" s="58"/>
      <c r="B21" s="58"/>
      <c r="C21" s="5" t="s">
        <v>36</v>
      </c>
      <c r="D21" s="2">
        <v>17</v>
      </c>
    </row>
    <row r="22" spans="1:4" x14ac:dyDescent="0.55000000000000004">
      <c r="A22" s="58"/>
      <c r="B22" s="58"/>
      <c r="C22" s="5" t="s">
        <v>37</v>
      </c>
      <c r="D22" s="2">
        <v>17</v>
      </c>
    </row>
    <row r="23" spans="1:4" x14ac:dyDescent="0.55000000000000004">
      <c r="A23" s="58"/>
      <c r="B23" s="58"/>
      <c r="C23" s="5" t="s">
        <v>38</v>
      </c>
      <c r="D23" s="2">
        <v>17</v>
      </c>
    </row>
    <row r="24" spans="1:4" x14ac:dyDescent="0.55000000000000004">
      <c r="A24" s="58"/>
      <c r="B24" s="58"/>
      <c r="C24" s="5" t="s">
        <v>39</v>
      </c>
      <c r="D24" s="2" t="s">
        <v>20</v>
      </c>
    </row>
    <row r="25" spans="1:4" x14ac:dyDescent="0.55000000000000004">
      <c r="A25" s="58"/>
      <c r="B25" s="58"/>
      <c r="C25" s="5" t="s">
        <v>40</v>
      </c>
      <c r="D25" s="2" t="s">
        <v>20</v>
      </c>
    </row>
    <row r="26" spans="1:4" x14ac:dyDescent="0.55000000000000004">
      <c r="A26" s="58"/>
      <c r="B26" s="58"/>
      <c r="C26" s="5" t="s">
        <v>41</v>
      </c>
      <c r="D26" s="2" t="s">
        <v>20</v>
      </c>
    </row>
    <row r="27" spans="1:4" x14ac:dyDescent="0.55000000000000004">
      <c r="A27" s="58"/>
      <c r="B27" s="58"/>
      <c r="C27" s="5" t="s">
        <v>42</v>
      </c>
      <c r="D27" s="2" t="s">
        <v>20</v>
      </c>
    </row>
    <row r="28" spans="1:4" x14ac:dyDescent="0.55000000000000004">
      <c r="A28" s="58"/>
      <c r="B28" s="58"/>
      <c r="C28" s="5" t="s">
        <v>43</v>
      </c>
      <c r="D28" s="2" t="s">
        <v>20</v>
      </c>
    </row>
    <row r="29" spans="1:4" x14ac:dyDescent="0.55000000000000004">
      <c r="A29" s="58"/>
      <c r="B29" s="58"/>
      <c r="C29" s="5" t="s">
        <v>44</v>
      </c>
      <c r="D29" s="2" t="s">
        <v>20</v>
      </c>
    </row>
    <row r="30" spans="1:4" x14ac:dyDescent="0.55000000000000004">
      <c r="A30" s="58"/>
      <c r="B30" s="58"/>
      <c r="C30" s="5" t="s">
        <v>45</v>
      </c>
      <c r="D30" s="2" t="s">
        <v>20</v>
      </c>
    </row>
    <row r="31" spans="1:4" x14ac:dyDescent="0.55000000000000004">
      <c r="A31" s="58"/>
      <c r="B31" s="58"/>
      <c r="C31" s="5" t="s">
        <v>46</v>
      </c>
      <c r="D31" s="2" t="s">
        <v>20</v>
      </c>
    </row>
    <row r="32" spans="1:4" x14ac:dyDescent="0.55000000000000004">
      <c r="A32" s="59" t="s">
        <v>47</v>
      </c>
      <c r="B32" s="59"/>
      <c r="C32" s="5"/>
    </row>
    <row r="33" spans="1:11" ht="77.7" x14ac:dyDescent="0.55000000000000004">
      <c r="A33" s="58"/>
      <c r="B33" s="58"/>
      <c r="C33" s="5" t="s">
        <v>48</v>
      </c>
      <c r="D33" s="2" t="s">
        <v>526</v>
      </c>
    </row>
    <row r="34" spans="1:11" x14ac:dyDescent="0.55000000000000004">
      <c r="A34" s="59" t="s">
        <v>50</v>
      </c>
      <c r="B34" s="59"/>
      <c r="C34" s="5"/>
    </row>
    <row r="35" spans="1:11" x14ac:dyDescent="0.55000000000000004">
      <c r="A35" s="8"/>
      <c r="B35" s="8"/>
      <c r="C35" s="5"/>
    </row>
    <row r="36" spans="1:11" x14ac:dyDescent="0.55000000000000004">
      <c r="A36" s="59"/>
      <c r="B36" s="5" t="s">
        <v>59</v>
      </c>
      <c r="C36" s="5"/>
      <c r="D36" s="2" t="s">
        <v>51</v>
      </c>
      <c r="E36" s="1" t="s">
        <v>52</v>
      </c>
      <c r="F36" s="1" t="s">
        <v>53</v>
      </c>
      <c r="G36" s="1" t="s">
        <v>54</v>
      </c>
      <c r="H36" s="1" t="s">
        <v>55</v>
      </c>
      <c r="I36" s="1" t="s">
        <v>56</v>
      </c>
      <c r="J36" s="1" t="s">
        <v>57</v>
      </c>
      <c r="K36" s="1" t="s">
        <v>58</v>
      </c>
    </row>
    <row r="37" spans="1:11" x14ac:dyDescent="0.55000000000000004">
      <c r="A37" s="59"/>
      <c r="B37" s="5"/>
    </row>
    <row r="38" spans="1:11" x14ac:dyDescent="0.55000000000000004">
      <c r="A38" s="59"/>
      <c r="B38" s="5"/>
    </row>
    <row r="39" spans="1:11" x14ac:dyDescent="0.55000000000000004">
      <c r="A39" s="59"/>
      <c r="B39" s="5"/>
      <c r="C39" s="5"/>
    </row>
    <row r="40" spans="1:11" x14ac:dyDescent="0.55000000000000004">
      <c r="A40" s="59"/>
      <c r="B40" s="5"/>
      <c r="C40" s="5"/>
    </row>
    <row r="41" spans="1:11" x14ac:dyDescent="0.55000000000000004">
      <c r="A41" s="59"/>
      <c r="B41" s="5"/>
      <c r="C41" s="5"/>
    </row>
    <row r="42" spans="1:11" x14ac:dyDescent="0.55000000000000004">
      <c r="A42" s="59"/>
      <c r="B42" s="5"/>
      <c r="C42" s="5"/>
    </row>
    <row r="43" spans="1:11" x14ac:dyDescent="0.55000000000000004">
      <c r="A43" s="59"/>
      <c r="B43" s="5"/>
      <c r="C43" s="5"/>
    </row>
    <row r="44" spans="1:11" x14ac:dyDescent="0.55000000000000004">
      <c r="A44" s="59"/>
      <c r="B44" s="5"/>
      <c r="C44" s="5"/>
    </row>
    <row r="45" spans="1:11" x14ac:dyDescent="0.55000000000000004">
      <c r="A45" s="59"/>
      <c r="B45" s="5" t="s">
        <v>61</v>
      </c>
      <c r="C45" s="5"/>
    </row>
    <row r="46" spans="1:11" x14ac:dyDescent="0.55000000000000004">
      <c r="A46" s="59"/>
      <c r="B46" s="5"/>
      <c r="C46" s="5" t="s">
        <v>527</v>
      </c>
      <c r="D46" s="7">
        <v>2.47058823529412</v>
      </c>
      <c r="E46" s="10">
        <v>0.60562530241099999</v>
      </c>
    </row>
    <row r="47" spans="1:11" x14ac:dyDescent="0.55000000000000004">
      <c r="A47" s="59"/>
      <c r="B47" s="5"/>
      <c r="C47" s="5" t="s">
        <v>528</v>
      </c>
      <c r="D47" s="7">
        <v>1.6470588235294099</v>
      </c>
      <c r="E47" s="10">
        <v>0.90366420563160099</v>
      </c>
    </row>
    <row r="48" spans="1:11" x14ac:dyDescent="0.55000000000000004">
      <c r="A48" s="59"/>
      <c r="B48" s="5"/>
      <c r="C48" s="5"/>
    </row>
    <row r="49" spans="1:3" x14ac:dyDescent="0.55000000000000004">
      <c r="A49" s="59"/>
      <c r="B49" s="5"/>
      <c r="C49" s="5"/>
    </row>
    <row r="50" spans="1:3" x14ac:dyDescent="0.55000000000000004">
      <c r="A50" s="59"/>
      <c r="B50" s="5"/>
      <c r="C50" s="5"/>
    </row>
    <row r="51" spans="1:3" x14ac:dyDescent="0.55000000000000004">
      <c r="A51" s="59"/>
      <c r="B51" s="5"/>
      <c r="C51" s="5"/>
    </row>
    <row r="52" spans="1:3" x14ac:dyDescent="0.55000000000000004">
      <c r="A52" s="59"/>
      <c r="B52" s="5"/>
      <c r="C52" s="5"/>
    </row>
    <row r="53" spans="1:3" x14ac:dyDescent="0.55000000000000004">
      <c r="A53" s="59"/>
      <c r="B53" s="5"/>
      <c r="C53" s="5"/>
    </row>
    <row r="54" spans="1:3" x14ac:dyDescent="0.55000000000000004">
      <c r="A54" s="59"/>
      <c r="B54" s="5"/>
      <c r="C54" s="5"/>
    </row>
    <row r="55" spans="1:3" x14ac:dyDescent="0.55000000000000004">
      <c r="A55" s="59"/>
      <c r="B55" s="5"/>
      <c r="C55" s="5"/>
    </row>
    <row r="56" spans="1:3" x14ac:dyDescent="0.55000000000000004">
      <c r="A56" s="59"/>
      <c r="B56" s="5"/>
      <c r="C56" s="5"/>
    </row>
    <row r="57" spans="1:3" x14ac:dyDescent="0.55000000000000004">
      <c r="A57" s="59"/>
      <c r="B57" s="5"/>
      <c r="C57" s="5"/>
    </row>
    <row r="58" spans="1:3" x14ac:dyDescent="0.55000000000000004">
      <c r="A58" s="59"/>
      <c r="B58" s="5"/>
      <c r="C58" s="5"/>
    </row>
    <row r="59" spans="1:3" x14ac:dyDescent="0.55000000000000004">
      <c r="A59" s="59"/>
      <c r="B59" s="5"/>
      <c r="C59" s="5"/>
    </row>
    <row r="60" spans="1:3" x14ac:dyDescent="0.55000000000000004">
      <c r="A60" s="59"/>
      <c r="B60" s="5"/>
      <c r="C60" s="5"/>
    </row>
    <row r="61" spans="1:3" x14ac:dyDescent="0.55000000000000004">
      <c r="A61" s="59"/>
      <c r="B61" s="5"/>
      <c r="C61" s="5"/>
    </row>
    <row r="62" spans="1:3" x14ac:dyDescent="0.55000000000000004">
      <c r="A62" s="59"/>
      <c r="B62" s="5"/>
      <c r="C62" s="5"/>
    </row>
    <row r="63" spans="1:3" x14ac:dyDescent="0.55000000000000004">
      <c r="A63" s="59"/>
      <c r="B63" s="5"/>
      <c r="C63" s="5"/>
    </row>
    <row r="64" spans="1:3" x14ac:dyDescent="0.55000000000000004">
      <c r="A64" s="59"/>
      <c r="B64" s="5"/>
      <c r="C64" s="5"/>
    </row>
    <row r="65" spans="1:4" x14ac:dyDescent="0.55000000000000004">
      <c r="A65" s="59"/>
      <c r="B65" s="5" t="s">
        <v>62</v>
      </c>
      <c r="C65" s="5"/>
      <c r="D65" s="2">
        <v>48</v>
      </c>
    </row>
    <row r="66" spans="1:4" x14ac:dyDescent="0.55000000000000004">
      <c r="A66" s="59"/>
      <c r="B66" s="5" t="s">
        <v>63</v>
      </c>
      <c r="C66" s="5"/>
      <c r="D66" s="2" t="s">
        <v>529</v>
      </c>
    </row>
    <row r="67" spans="1:4" x14ac:dyDescent="0.55000000000000004">
      <c r="A67" s="59" t="s">
        <v>65</v>
      </c>
      <c r="B67" s="59"/>
      <c r="C67" s="5"/>
      <c r="D67" s="2" t="s">
        <v>530</v>
      </c>
    </row>
    <row r="68" spans="1:4" x14ac:dyDescent="0.55000000000000004">
      <c r="A68" s="3" t="s">
        <v>67</v>
      </c>
    </row>
    <row r="69" spans="1:4" x14ac:dyDescent="0.55000000000000004">
      <c r="A69" s="1" t="s">
        <v>68</v>
      </c>
      <c r="C69" s="1">
        <v>9</v>
      </c>
      <c r="D69" s="2">
        <v>18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MJ69"/>
  <sheetViews>
    <sheetView zoomScale="90" zoomScaleNormal="90" workbookViewId="0">
      <selection activeCell="E46" sqref="E46"/>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1024" width="11.41796875" style="1"/>
  </cols>
  <sheetData>
    <row r="1" spans="1:4" x14ac:dyDescent="0.55000000000000004">
      <c r="A1" s="3" t="s">
        <v>0</v>
      </c>
      <c r="D1" s="2" t="s">
        <v>531</v>
      </c>
    </row>
    <row r="2" spans="1:4" x14ac:dyDescent="0.55000000000000004">
      <c r="A2" s="58" t="s">
        <v>2</v>
      </c>
      <c r="B2" s="58"/>
      <c r="D2" s="2" t="s">
        <v>532</v>
      </c>
    </row>
    <row r="3" spans="1:4" x14ac:dyDescent="0.55000000000000004">
      <c r="A3" s="58"/>
      <c r="B3" s="58"/>
      <c r="C3" s="5" t="s">
        <v>4</v>
      </c>
      <c r="D3" s="2" t="s">
        <v>533</v>
      </c>
    </row>
    <row r="4" spans="1:4" x14ac:dyDescent="0.55000000000000004">
      <c r="A4" s="58"/>
      <c r="B4" s="58"/>
      <c r="C4" s="5" t="s">
        <v>6</v>
      </c>
      <c r="D4" s="2">
        <v>1990</v>
      </c>
    </row>
    <row r="5" spans="1:4" x14ac:dyDescent="0.55000000000000004">
      <c r="A5" s="58"/>
      <c r="B5" s="58"/>
      <c r="C5" s="5" t="s">
        <v>7</v>
      </c>
      <c r="D5" s="2" t="s">
        <v>534</v>
      </c>
    </row>
    <row r="6" spans="1:4" x14ac:dyDescent="0.55000000000000004">
      <c r="A6" s="58"/>
      <c r="B6" s="58"/>
      <c r="C6" s="5" t="s">
        <v>9</v>
      </c>
      <c r="D6" s="2" t="s">
        <v>535</v>
      </c>
    </row>
    <row r="7" spans="1:4" x14ac:dyDescent="0.55000000000000004">
      <c r="A7" s="58"/>
      <c r="B7" s="58"/>
      <c r="C7" s="5" t="s">
        <v>11</v>
      </c>
      <c r="D7" s="2" t="s">
        <v>12</v>
      </c>
    </row>
    <row r="8" spans="1:4" x14ac:dyDescent="0.55000000000000004">
      <c r="A8" s="59" t="s">
        <v>13</v>
      </c>
      <c r="B8" s="59"/>
      <c r="C8" s="5"/>
    </row>
    <row r="9" spans="1:4" ht="26.1" x14ac:dyDescent="0.55000000000000004">
      <c r="A9" s="58"/>
      <c r="B9" s="58"/>
      <c r="C9" s="5" t="s">
        <v>14</v>
      </c>
      <c r="D9" s="2" t="s">
        <v>536</v>
      </c>
    </row>
    <row r="10" spans="1:4" x14ac:dyDescent="0.55000000000000004">
      <c r="A10" s="58"/>
      <c r="B10" s="58"/>
      <c r="C10" s="5" t="s">
        <v>16</v>
      </c>
      <c r="D10" s="2" t="s">
        <v>86</v>
      </c>
    </row>
    <row r="11" spans="1:4" x14ac:dyDescent="0.55000000000000004">
      <c r="A11" s="58"/>
      <c r="B11" s="58"/>
      <c r="C11" s="5" t="s">
        <v>19</v>
      </c>
      <c r="D11" s="2" t="s">
        <v>20</v>
      </c>
    </row>
    <row r="12" spans="1:4" x14ac:dyDescent="0.55000000000000004">
      <c r="A12" s="58"/>
      <c r="B12" s="58"/>
      <c r="C12" s="5" t="s">
        <v>21</v>
      </c>
      <c r="D12" s="2" t="s">
        <v>20</v>
      </c>
    </row>
    <row r="13" spans="1:4" x14ac:dyDescent="0.55000000000000004">
      <c r="A13" s="58"/>
      <c r="B13" s="58"/>
      <c r="C13" s="5" t="s">
        <v>22</v>
      </c>
      <c r="D13" s="2" t="s">
        <v>20</v>
      </c>
    </row>
    <row r="14" spans="1:4" x14ac:dyDescent="0.55000000000000004">
      <c r="A14" s="59" t="s">
        <v>24</v>
      </c>
      <c r="B14" s="59"/>
      <c r="C14" s="5"/>
    </row>
    <row r="15" spans="1:4" x14ac:dyDescent="0.55000000000000004">
      <c r="A15" s="58"/>
      <c r="B15" s="58"/>
      <c r="C15" s="5" t="s">
        <v>25</v>
      </c>
      <c r="D15" s="2" t="s">
        <v>537</v>
      </c>
    </row>
    <row r="16" spans="1:4" x14ac:dyDescent="0.55000000000000004">
      <c r="A16" s="58"/>
      <c r="B16" s="58"/>
      <c r="C16" s="5" t="s">
        <v>27</v>
      </c>
      <c r="D16" s="2" t="s">
        <v>538</v>
      </c>
    </row>
    <row r="17" spans="1:4" x14ac:dyDescent="0.55000000000000004">
      <c r="A17" s="59" t="s">
        <v>29</v>
      </c>
      <c r="B17" s="59"/>
      <c r="C17" s="5"/>
    </row>
    <row r="18" spans="1:4" x14ac:dyDescent="0.55000000000000004">
      <c r="A18" s="58"/>
      <c r="B18" s="58"/>
      <c r="C18" s="5" t="s">
        <v>30</v>
      </c>
      <c r="D18" s="2" t="s">
        <v>539</v>
      </c>
    </row>
    <row r="19" spans="1:4" x14ac:dyDescent="0.55000000000000004">
      <c r="A19" s="58"/>
      <c r="B19" s="58"/>
      <c r="C19" s="5" t="s">
        <v>32</v>
      </c>
      <c r="D19" s="2" t="s">
        <v>20</v>
      </c>
    </row>
    <row r="20" spans="1:4" x14ac:dyDescent="0.55000000000000004">
      <c r="A20" s="59" t="s">
        <v>34</v>
      </c>
      <c r="B20" s="59"/>
      <c r="C20" s="5"/>
      <c r="D20" s="2" t="s">
        <v>35</v>
      </c>
    </row>
    <row r="21" spans="1:4" x14ac:dyDescent="0.55000000000000004">
      <c r="A21" s="58"/>
      <c r="B21" s="58"/>
      <c r="C21" s="5" t="s">
        <v>36</v>
      </c>
      <c r="D21" s="2" t="s">
        <v>20</v>
      </c>
    </row>
    <row r="22" spans="1:4" x14ac:dyDescent="0.55000000000000004">
      <c r="A22" s="58"/>
      <c r="B22" s="58"/>
      <c r="C22" s="5" t="s">
        <v>37</v>
      </c>
      <c r="D22" s="2">
        <v>20</v>
      </c>
    </row>
    <row r="23" spans="1:4" x14ac:dyDescent="0.55000000000000004">
      <c r="A23" s="58"/>
      <c r="B23" s="58"/>
      <c r="C23" s="5" t="s">
        <v>38</v>
      </c>
      <c r="D23" s="2">
        <v>20</v>
      </c>
    </row>
    <row r="24" spans="1:4" x14ac:dyDescent="0.55000000000000004">
      <c r="A24" s="58"/>
      <c r="B24" s="58"/>
      <c r="C24" s="5" t="s">
        <v>39</v>
      </c>
      <c r="D24" s="2">
        <v>0</v>
      </c>
    </row>
    <row r="25" spans="1:4" x14ac:dyDescent="0.55000000000000004">
      <c r="A25" s="58"/>
      <c r="B25" s="58"/>
      <c r="C25" s="5" t="s">
        <v>40</v>
      </c>
      <c r="D25" s="2">
        <v>25</v>
      </c>
    </row>
    <row r="26" spans="1:4" x14ac:dyDescent="0.55000000000000004">
      <c r="A26" s="58"/>
      <c r="B26" s="58"/>
      <c r="C26" s="5" t="s">
        <v>41</v>
      </c>
      <c r="D26" s="2">
        <v>63</v>
      </c>
    </row>
    <row r="27" spans="1:4" x14ac:dyDescent="0.55000000000000004">
      <c r="A27" s="58"/>
      <c r="B27" s="58"/>
      <c r="C27" s="5" t="s">
        <v>42</v>
      </c>
      <c r="D27" s="2">
        <v>20</v>
      </c>
    </row>
    <row r="28" spans="1:4" x14ac:dyDescent="0.55000000000000004">
      <c r="A28" s="58"/>
      <c r="B28" s="58"/>
      <c r="C28" s="5" t="s">
        <v>43</v>
      </c>
      <c r="D28" s="2" t="s">
        <v>20</v>
      </c>
    </row>
    <row r="29" spans="1:4" x14ac:dyDescent="0.55000000000000004">
      <c r="A29" s="58"/>
      <c r="B29" s="58"/>
      <c r="C29" s="5" t="s">
        <v>44</v>
      </c>
      <c r="D29" s="2">
        <v>3.5</v>
      </c>
    </row>
    <row r="30" spans="1:4" x14ac:dyDescent="0.55000000000000004">
      <c r="A30" s="58"/>
      <c r="B30" s="58"/>
      <c r="C30" s="5" t="s">
        <v>45</v>
      </c>
      <c r="D30" s="2" t="s">
        <v>20</v>
      </c>
    </row>
    <row r="31" spans="1:4" x14ac:dyDescent="0.55000000000000004">
      <c r="A31" s="58"/>
      <c r="B31" s="58"/>
      <c r="C31" s="5" t="s">
        <v>46</v>
      </c>
      <c r="D31" s="2" t="s">
        <v>20</v>
      </c>
    </row>
    <row r="32" spans="1:4" x14ac:dyDescent="0.55000000000000004">
      <c r="A32" s="59" t="s">
        <v>47</v>
      </c>
      <c r="B32" s="59"/>
      <c r="C32" s="5"/>
    </row>
    <row r="33" spans="1:11" ht="64.8" x14ac:dyDescent="0.55000000000000004">
      <c r="A33" s="58"/>
      <c r="B33" s="58"/>
      <c r="C33" s="5" t="s">
        <v>48</v>
      </c>
      <c r="D33" s="2" t="s">
        <v>540</v>
      </c>
    </row>
    <row r="34" spans="1:11" x14ac:dyDescent="0.55000000000000004">
      <c r="A34" s="59" t="s">
        <v>50</v>
      </c>
      <c r="B34" s="59"/>
      <c r="C34" s="5"/>
    </row>
    <row r="35" spans="1:11" x14ac:dyDescent="0.55000000000000004">
      <c r="A35" s="8"/>
      <c r="B35" s="8"/>
      <c r="C35" s="5"/>
    </row>
    <row r="36" spans="1:11" x14ac:dyDescent="0.55000000000000004">
      <c r="A36" s="8"/>
      <c r="B36" s="5" t="s">
        <v>59</v>
      </c>
      <c r="C36" s="5"/>
      <c r="D36" s="2" t="s">
        <v>51</v>
      </c>
      <c r="E36" s="1" t="s">
        <v>52</v>
      </c>
      <c r="F36" s="1" t="s">
        <v>53</v>
      </c>
      <c r="G36" s="1" t="s">
        <v>54</v>
      </c>
      <c r="H36" s="1" t="s">
        <v>55</v>
      </c>
      <c r="I36" s="1" t="s">
        <v>56</v>
      </c>
      <c r="J36" s="1" t="s">
        <v>57</v>
      </c>
      <c r="K36" s="1" t="s">
        <v>58</v>
      </c>
    </row>
    <row r="37" spans="1:11" x14ac:dyDescent="0.55000000000000004">
      <c r="A37" s="8"/>
      <c r="B37" s="5"/>
    </row>
    <row r="38" spans="1:11" x14ac:dyDescent="0.55000000000000004">
      <c r="A38" s="8"/>
      <c r="B38" s="5"/>
    </row>
    <row r="39" spans="1:11" x14ac:dyDescent="0.55000000000000004">
      <c r="A39" s="8"/>
      <c r="B39" s="5"/>
    </row>
    <row r="40" spans="1:11" x14ac:dyDescent="0.55000000000000004">
      <c r="A40" s="59"/>
    </row>
    <row r="41" spans="1:11" x14ac:dyDescent="0.55000000000000004">
      <c r="A41" s="59"/>
    </row>
    <row r="42" spans="1:11" x14ac:dyDescent="0.55000000000000004">
      <c r="A42" s="59"/>
    </row>
    <row r="43" spans="1:11" x14ac:dyDescent="0.55000000000000004">
      <c r="A43" s="59"/>
    </row>
    <row r="44" spans="1:11" x14ac:dyDescent="0.55000000000000004">
      <c r="A44" s="59"/>
    </row>
    <row r="45" spans="1:11" x14ac:dyDescent="0.55000000000000004">
      <c r="A45" s="59"/>
      <c r="B45" s="5" t="s">
        <v>61</v>
      </c>
      <c r="C45" s="5"/>
    </row>
    <row r="46" spans="1:11" x14ac:dyDescent="0.55000000000000004">
      <c r="A46" s="59"/>
      <c r="B46" s="5"/>
      <c r="C46" s="5" t="s">
        <v>541</v>
      </c>
      <c r="D46" s="2">
        <v>1.9</v>
      </c>
    </row>
    <row r="47" spans="1:11" x14ac:dyDescent="0.55000000000000004">
      <c r="A47" s="59"/>
      <c r="B47" s="5"/>
      <c r="C47" s="5" t="s">
        <v>542</v>
      </c>
      <c r="D47" s="2">
        <v>5.6</v>
      </c>
    </row>
    <row r="48" spans="1:11" x14ac:dyDescent="0.55000000000000004">
      <c r="A48" s="59"/>
      <c r="B48" s="5"/>
      <c r="C48" s="5" t="s">
        <v>543</v>
      </c>
      <c r="D48" s="2">
        <v>2.2999999999999998</v>
      </c>
    </row>
    <row r="49" spans="1:4" x14ac:dyDescent="0.55000000000000004">
      <c r="A49" s="59"/>
      <c r="B49" s="5"/>
      <c r="C49" s="5" t="s">
        <v>544</v>
      </c>
      <c r="D49" s="2">
        <v>0.95</v>
      </c>
    </row>
    <row r="50" spans="1:4" x14ac:dyDescent="0.55000000000000004">
      <c r="A50" s="59"/>
      <c r="B50" s="5"/>
      <c r="C50" s="2" t="s">
        <v>545</v>
      </c>
      <c r="D50" s="2">
        <f>11/20</f>
        <v>0.55000000000000004</v>
      </c>
    </row>
    <row r="51" spans="1:4" x14ac:dyDescent="0.55000000000000004">
      <c r="A51" s="59"/>
      <c r="B51" s="5"/>
      <c r="C51" s="5"/>
    </row>
    <row r="52" spans="1:4" x14ac:dyDescent="0.55000000000000004">
      <c r="A52" s="59"/>
      <c r="B52" s="5"/>
      <c r="C52" s="5"/>
    </row>
    <row r="53" spans="1:4" x14ac:dyDescent="0.55000000000000004">
      <c r="A53" s="59"/>
      <c r="B53" s="5"/>
      <c r="C53" s="5"/>
    </row>
    <row r="54" spans="1:4" x14ac:dyDescent="0.55000000000000004">
      <c r="A54" s="59"/>
      <c r="B54" s="5"/>
      <c r="C54" s="5"/>
    </row>
    <row r="55" spans="1:4" x14ac:dyDescent="0.55000000000000004">
      <c r="A55" s="59"/>
      <c r="B55" s="5"/>
      <c r="C55" s="5"/>
    </row>
    <row r="56" spans="1:4" x14ac:dyDescent="0.55000000000000004">
      <c r="A56" s="59"/>
      <c r="B56" s="5"/>
      <c r="C56" s="5"/>
    </row>
    <row r="57" spans="1:4" x14ac:dyDescent="0.55000000000000004">
      <c r="A57" s="59"/>
      <c r="B57" s="5"/>
      <c r="C57" s="5"/>
    </row>
    <row r="58" spans="1:4" x14ac:dyDescent="0.55000000000000004">
      <c r="A58" s="59"/>
      <c r="B58" s="5"/>
      <c r="C58" s="5"/>
    </row>
    <row r="59" spans="1:4" x14ac:dyDescent="0.55000000000000004">
      <c r="A59" s="59"/>
      <c r="B59" s="5"/>
      <c r="C59" s="5"/>
    </row>
    <row r="60" spans="1:4" x14ac:dyDescent="0.55000000000000004">
      <c r="A60" s="59"/>
      <c r="B60" s="5"/>
      <c r="C60" s="5"/>
    </row>
    <row r="61" spans="1:4" x14ac:dyDescent="0.55000000000000004">
      <c r="A61" s="59"/>
      <c r="B61" s="5"/>
      <c r="C61" s="5"/>
    </row>
    <row r="62" spans="1:4" x14ac:dyDescent="0.55000000000000004">
      <c r="A62" s="59"/>
      <c r="B62" s="5"/>
      <c r="C62" s="5"/>
    </row>
    <row r="63" spans="1:4" x14ac:dyDescent="0.55000000000000004">
      <c r="A63" s="59"/>
      <c r="B63" s="5"/>
      <c r="C63" s="5"/>
    </row>
    <row r="64" spans="1:4" x14ac:dyDescent="0.55000000000000004">
      <c r="A64" s="59"/>
      <c r="B64" s="5"/>
      <c r="C64" s="5"/>
    </row>
    <row r="65" spans="1:5" x14ac:dyDescent="0.55000000000000004">
      <c r="A65" s="59"/>
      <c r="B65" s="5" t="s">
        <v>62</v>
      </c>
      <c r="C65" s="5"/>
      <c r="D65" s="2">
        <f>1/1440*30</f>
        <v>2.0833333333333336E-2</v>
      </c>
      <c r="E65" s="1" t="s">
        <v>546</v>
      </c>
    </row>
    <row r="66" spans="1:5" x14ac:dyDescent="0.55000000000000004">
      <c r="A66" s="59"/>
      <c r="B66" s="5" t="s">
        <v>63</v>
      </c>
      <c r="C66" s="5"/>
      <c r="D66" s="2" t="s">
        <v>20</v>
      </c>
    </row>
    <row r="67" spans="1:5" x14ac:dyDescent="0.55000000000000004">
      <c r="A67" s="59" t="s">
        <v>65</v>
      </c>
      <c r="B67" s="59"/>
      <c r="C67" s="5"/>
    </row>
    <row r="68" spans="1:5" x14ac:dyDescent="0.55000000000000004">
      <c r="A68" s="3" t="s">
        <v>67</v>
      </c>
      <c r="D68" s="2" t="s">
        <v>20</v>
      </c>
    </row>
    <row r="69" spans="1:5" x14ac:dyDescent="0.55000000000000004">
      <c r="A69" s="1" t="s">
        <v>68</v>
      </c>
      <c r="C69" s="1">
        <v>12</v>
      </c>
      <c r="D69" s="2">
        <v>16</v>
      </c>
    </row>
  </sheetData>
  <mergeCells count="15">
    <mergeCell ref="A32:B32"/>
    <mergeCell ref="A33:B33"/>
    <mergeCell ref="A34:B34"/>
    <mergeCell ref="A40: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AMJ69"/>
  <sheetViews>
    <sheetView topLeftCell="A7" zoomScale="90" zoomScaleNormal="90" workbookViewId="0">
      <selection activeCell="D9" sqref="D9"/>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4.15625" style="1" customWidth="1"/>
    <col min="6" max="1024" width="11.41796875" style="1"/>
  </cols>
  <sheetData>
    <row r="1" spans="1:4" x14ac:dyDescent="0.55000000000000004">
      <c r="A1" s="3" t="s">
        <v>0</v>
      </c>
      <c r="D1" s="2" t="s">
        <v>547</v>
      </c>
    </row>
    <row r="2" spans="1:4" x14ac:dyDescent="0.55000000000000004">
      <c r="A2" s="58" t="s">
        <v>2</v>
      </c>
      <c r="B2" s="58"/>
      <c r="D2" s="2" t="s">
        <v>548</v>
      </c>
    </row>
    <row r="3" spans="1:4" x14ac:dyDescent="0.55000000000000004">
      <c r="A3" s="58"/>
      <c r="B3" s="58"/>
      <c r="C3" s="5" t="s">
        <v>4</v>
      </c>
      <c r="D3" s="2" t="s">
        <v>549</v>
      </c>
    </row>
    <row r="4" spans="1:4" x14ac:dyDescent="0.55000000000000004">
      <c r="A4" s="58"/>
      <c r="B4" s="58"/>
      <c r="C4" s="5" t="s">
        <v>6</v>
      </c>
      <c r="D4" s="2">
        <v>2015</v>
      </c>
    </row>
    <row r="5" spans="1:4" ht="26.1" x14ac:dyDescent="0.55000000000000004">
      <c r="A5" s="58"/>
      <c r="B5" s="58"/>
      <c r="C5" s="5" t="s">
        <v>7</v>
      </c>
      <c r="D5" s="2" t="s">
        <v>550</v>
      </c>
    </row>
    <row r="6" spans="1:4" x14ac:dyDescent="0.55000000000000004">
      <c r="A6" s="58"/>
      <c r="B6" s="58"/>
      <c r="C6" s="5" t="s">
        <v>9</v>
      </c>
      <c r="D6" s="2" t="s">
        <v>551</v>
      </c>
    </row>
    <row r="7" spans="1:4" x14ac:dyDescent="0.55000000000000004">
      <c r="A7" s="58"/>
      <c r="B7" s="58"/>
      <c r="C7" s="5" t="s">
        <v>11</v>
      </c>
      <c r="D7" s="2" t="s">
        <v>12</v>
      </c>
    </row>
    <row r="8" spans="1:4" x14ac:dyDescent="0.55000000000000004">
      <c r="A8" s="59" t="s">
        <v>13</v>
      </c>
      <c r="B8" s="59"/>
      <c r="C8" s="5"/>
    </row>
    <row r="9" spans="1:4" ht="26.1" x14ac:dyDescent="0.55000000000000004">
      <c r="A9" s="58"/>
      <c r="B9" s="58"/>
      <c r="C9" s="5" t="s">
        <v>14</v>
      </c>
      <c r="D9" s="2" t="s">
        <v>552</v>
      </c>
    </row>
    <row r="10" spans="1:4" x14ac:dyDescent="0.55000000000000004">
      <c r="A10" s="58"/>
      <c r="B10" s="58"/>
      <c r="C10" s="5" t="s">
        <v>16</v>
      </c>
      <c r="D10" s="2" t="s">
        <v>86</v>
      </c>
    </row>
    <row r="11" spans="1:4" x14ac:dyDescent="0.55000000000000004">
      <c r="A11" s="58"/>
      <c r="B11" s="58"/>
      <c r="C11" s="5" t="s">
        <v>19</v>
      </c>
      <c r="D11" s="2" t="s">
        <v>20</v>
      </c>
    </row>
    <row r="12" spans="1:4" x14ac:dyDescent="0.55000000000000004">
      <c r="A12" s="58"/>
      <c r="B12" s="58"/>
      <c r="C12" s="5" t="s">
        <v>21</v>
      </c>
      <c r="D12" s="2" t="s">
        <v>20</v>
      </c>
    </row>
    <row r="13" spans="1:4" x14ac:dyDescent="0.55000000000000004">
      <c r="A13" s="58"/>
      <c r="B13" s="58"/>
      <c r="C13" s="5" t="s">
        <v>22</v>
      </c>
      <c r="D13" s="2" t="s">
        <v>20</v>
      </c>
    </row>
    <row r="14" spans="1:4" x14ac:dyDescent="0.55000000000000004">
      <c r="A14" s="59" t="s">
        <v>24</v>
      </c>
      <c r="B14" s="59"/>
      <c r="C14" s="5"/>
    </row>
    <row r="15" spans="1:4" x14ac:dyDescent="0.55000000000000004">
      <c r="A15" s="58"/>
      <c r="B15" s="58"/>
      <c r="C15" s="5" t="s">
        <v>25</v>
      </c>
      <c r="D15" s="2" t="s">
        <v>553</v>
      </c>
    </row>
    <row r="16" spans="1:4" x14ac:dyDescent="0.55000000000000004">
      <c r="A16" s="58"/>
      <c r="B16" s="58"/>
      <c r="C16" s="5" t="s">
        <v>27</v>
      </c>
      <c r="D16" s="2" t="s">
        <v>554</v>
      </c>
    </row>
    <row r="17" spans="1:4" x14ac:dyDescent="0.55000000000000004">
      <c r="A17" s="59" t="s">
        <v>29</v>
      </c>
      <c r="B17" s="59"/>
      <c r="C17" s="5"/>
    </row>
    <row r="18" spans="1:4" ht="26.1" x14ac:dyDescent="0.55000000000000004">
      <c r="A18" s="58"/>
      <c r="B18" s="58"/>
      <c r="C18" s="5" t="s">
        <v>30</v>
      </c>
      <c r="D18" s="2" t="s">
        <v>555</v>
      </c>
    </row>
    <row r="19" spans="1:4" x14ac:dyDescent="0.55000000000000004">
      <c r="A19" s="58"/>
      <c r="B19" s="58"/>
      <c r="C19" s="5" t="s">
        <v>32</v>
      </c>
      <c r="D19" s="2" t="s">
        <v>20</v>
      </c>
    </row>
    <row r="20" spans="1:4" x14ac:dyDescent="0.55000000000000004">
      <c r="A20" s="59" t="s">
        <v>34</v>
      </c>
      <c r="B20" s="59"/>
      <c r="C20" s="5"/>
      <c r="D20" s="2" t="s">
        <v>35</v>
      </c>
    </row>
    <row r="21" spans="1:4" x14ac:dyDescent="0.55000000000000004">
      <c r="A21" s="58"/>
      <c r="B21" s="58"/>
      <c r="C21" s="5" t="s">
        <v>36</v>
      </c>
    </row>
    <row r="22" spans="1:4" x14ac:dyDescent="0.55000000000000004">
      <c r="A22" s="58"/>
      <c r="B22" s="58"/>
      <c r="C22" s="5" t="s">
        <v>37</v>
      </c>
      <c r="D22" s="2">
        <v>10</v>
      </c>
    </row>
    <row r="23" spans="1:4" x14ac:dyDescent="0.55000000000000004">
      <c r="A23" s="58"/>
      <c r="B23" s="58"/>
      <c r="C23" s="5" t="s">
        <v>38</v>
      </c>
      <c r="D23" s="2">
        <v>10</v>
      </c>
    </row>
    <row r="24" spans="1:4" x14ac:dyDescent="0.55000000000000004">
      <c r="A24" s="58"/>
      <c r="B24" s="58"/>
      <c r="C24" s="5" t="s">
        <v>39</v>
      </c>
      <c r="D24" s="2">
        <v>0</v>
      </c>
    </row>
    <row r="25" spans="1:4" x14ac:dyDescent="0.55000000000000004">
      <c r="A25" s="58"/>
      <c r="B25" s="58"/>
      <c r="C25" s="5" t="s">
        <v>40</v>
      </c>
      <c r="D25" s="7">
        <f>3/10</f>
        <v>0.3</v>
      </c>
    </row>
    <row r="26" spans="1:4" x14ac:dyDescent="0.55000000000000004">
      <c r="A26" s="58"/>
      <c r="B26" s="58"/>
      <c r="C26" s="5" t="s">
        <v>41</v>
      </c>
      <c r="D26" s="7">
        <v>70.599999999999994</v>
      </c>
    </row>
    <row r="27" spans="1:4" x14ac:dyDescent="0.55000000000000004">
      <c r="A27" s="58"/>
      <c r="B27" s="58"/>
      <c r="C27" s="5" t="s">
        <v>42</v>
      </c>
      <c r="D27" s="7">
        <v>6.5</v>
      </c>
    </row>
    <row r="28" spans="1:4" x14ac:dyDescent="0.55000000000000004">
      <c r="A28" s="58"/>
      <c r="B28" s="58"/>
      <c r="C28" s="5" t="s">
        <v>43</v>
      </c>
    </row>
    <row r="29" spans="1:4" x14ac:dyDescent="0.55000000000000004">
      <c r="A29" s="58"/>
      <c r="B29" s="58"/>
      <c r="C29" s="5" t="s">
        <v>44</v>
      </c>
      <c r="D29" s="2">
        <f>MEDIAN(1,1,1,2,2,2,2,2,2,2)</f>
        <v>2</v>
      </c>
    </row>
    <row r="30" spans="1:4" x14ac:dyDescent="0.55000000000000004">
      <c r="A30" s="58"/>
      <c r="B30" s="58"/>
      <c r="C30" s="5" t="s">
        <v>45</v>
      </c>
      <c r="D30" s="7">
        <v>10.9</v>
      </c>
    </row>
    <row r="31" spans="1:4" x14ac:dyDescent="0.55000000000000004">
      <c r="A31" s="58"/>
      <c r="B31" s="58"/>
      <c r="C31" s="5" t="s">
        <v>46</v>
      </c>
      <c r="D31" s="7">
        <v>4.4000000000000004</v>
      </c>
    </row>
    <row r="32" spans="1:4" x14ac:dyDescent="0.55000000000000004">
      <c r="A32" s="59" t="s">
        <v>47</v>
      </c>
      <c r="B32" s="59"/>
      <c r="C32" s="5"/>
    </row>
    <row r="33" spans="1:11" ht="39" x14ac:dyDescent="0.55000000000000004">
      <c r="A33" s="58"/>
      <c r="B33" s="58"/>
      <c r="C33" s="5" t="s">
        <v>48</v>
      </c>
      <c r="D33" s="2" t="s">
        <v>556</v>
      </c>
    </row>
    <row r="34" spans="1:11" x14ac:dyDescent="0.55000000000000004">
      <c r="A34" s="59" t="s">
        <v>50</v>
      </c>
      <c r="B34" s="59"/>
      <c r="C34" s="5"/>
    </row>
    <row r="35" spans="1:11" x14ac:dyDescent="0.55000000000000004">
      <c r="A35" s="8"/>
      <c r="B35" s="8"/>
      <c r="C35" s="5"/>
    </row>
    <row r="36" spans="1:11" x14ac:dyDescent="0.55000000000000004">
      <c r="A36" s="59"/>
      <c r="B36" s="5" t="s">
        <v>59</v>
      </c>
      <c r="C36" s="5"/>
      <c r="D36" s="2" t="s">
        <v>51</v>
      </c>
      <c r="E36" s="1" t="s">
        <v>52</v>
      </c>
      <c r="F36" s="1" t="s">
        <v>53</v>
      </c>
      <c r="G36" s="1" t="s">
        <v>54</v>
      </c>
      <c r="H36" s="1" t="s">
        <v>55</v>
      </c>
      <c r="I36" s="1" t="s">
        <v>56</v>
      </c>
      <c r="J36" s="1" t="s">
        <v>57</v>
      </c>
      <c r="K36" s="1" t="s">
        <v>58</v>
      </c>
    </row>
    <row r="37" spans="1:11" x14ac:dyDescent="0.55000000000000004">
      <c r="A37" s="59"/>
      <c r="B37" s="5"/>
      <c r="C37" s="5" t="s">
        <v>557</v>
      </c>
      <c r="D37" s="7">
        <v>5.6</v>
      </c>
      <c r="E37" s="10">
        <v>1.8</v>
      </c>
    </row>
    <row r="38" spans="1:11" x14ac:dyDescent="0.55000000000000004">
      <c r="A38" s="59"/>
      <c r="B38" s="5"/>
      <c r="C38" s="5" t="s">
        <v>558</v>
      </c>
      <c r="D38" s="7">
        <v>3</v>
      </c>
      <c r="E38" s="10">
        <v>1.3</v>
      </c>
    </row>
    <row r="39" spans="1:11" x14ac:dyDescent="0.55000000000000004">
      <c r="A39" s="59"/>
      <c r="B39" s="5"/>
      <c r="C39" s="5"/>
    </row>
    <row r="40" spans="1:11" x14ac:dyDescent="0.55000000000000004">
      <c r="A40" s="59"/>
      <c r="B40" s="5"/>
      <c r="C40" s="5"/>
    </row>
    <row r="41" spans="1:11" x14ac:dyDescent="0.55000000000000004">
      <c r="A41" s="59"/>
      <c r="B41" s="5"/>
      <c r="C41" s="5"/>
    </row>
    <row r="42" spans="1:11" x14ac:dyDescent="0.55000000000000004">
      <c r="A42" s="59"/>
      <c r="B42" s="5"/>
      <c r="C42" s="5"/>
    </row>
    <row r="43" spans="1:11" x14ac:dyDescent="0.55000000000000004">
      <c r="A43" s="59"/>
      <c r="B43" s="5"/>
      <c r="C43" s="5"/>
    </row>
    <row r="44" spans="1:11" x14ac:dyDescent="0.55000000000000004">
      <c r="A44" s="59"/>
      <c r="B44" s="5"/>
      <c r="C44" s="5"/>
    </row>
    <row r="45" spans="1:11" x14ac:dyDescent="0.55000000000000004">
      <c r="A45" s="59"/>
      <c r="B45" s="5" t="s">
        <v>61</v>
      </c>
      <c r="C45" s="5"/>
    </row>
    <row r="46" spans="1:11" x14ac:dyDescent="0.55000000000000004">
      <c r="A46" s="59"/>
      <c r="B46" s="5"/>
      <c r="C46" s="5" t="s">
        <v>79</v>
      </c>
      <c r="D46" s="2">
        <v>1</v>
      </c>
    </row>
    <row r="47" spans="1:11" x14ac:dyDescent="0.55000000000000004">
      <c r="A47" s="59"/>
      <c r="B47" s="5"/>
      <c r="C47" s="5"/>
    </row>
    <row r="48" spans="1:11" x14ac:dyDescent="0.55000000000000004">
      <c r="A48" s="59"/>
      <c r="B48" s="5"/>
      <c r="C48" s="5"/>
    </row>
    <row r="49" spans="1:3" x14ac:dyDescent="0.55000000000000004">
      <c r="A49" s="59"/>
      <c r="B49" s="5"/>
      <c r="C49" s="5"/>
    </row>
    <row r="50" spans="1:3" x14ac:dyDescent="0.55000000000000004">
      <c r="A50" s="59"/>
      <c r="B50" s="5"/>
      <c r="C50" s="5"/>
    </row>
    <row r="51" spans="1:3" x14ac:dyDescent="0.55000000000000004">
      <c r="A51" s="59"/>
      <c r="B51" s="5"/>
      <c r="C51" s="5"/>
    </row>
    <row r="52" spans="1:3" x14ac:dyDescent="0.55000000000000004">
      <c r="A52" s="59"/>
      <c r="B52" s="5"/>
      <c r="C52" s="5"/>
    </row>
    <row r="53" spans="1:3" x14ac:dyDescent="0.55000000000000004">
      <c r="A53" s="59"/>
      <c r="B53" s="5"/>
      <c r="C53" s="5"/>
    </row>
    <row r="54" spans="1:3" x14ac:dyDescent="0.55000000000000004">
      <c r="A54" s="59"/>
      <c r="B54" s="5"/>
      <c r="C54" s="5"/>
    </row>
    <row r="55" spans="1:3" x14ac:dyDescent="0.55000000000000004">
      <c r="A55" s="59"/>
      <c r="B55" s="5"/>
      <c r="C55" s="5"/>
    </row>
    <row r="56" spans="1:3" x14ac:dyDescent="0.55000000000000004">
      <c r="A56" s="59"/>
      <c r="B56" s="5"/>
      <c r="C56" s="5"/>
    </row>
    <row r="57" spans="1:3" x14ac:dyDescent="0.55000000000000004">
      <c r="A57" s="59"/>
      <c r="B57" s="5"/>
      <c r="C57" s="5"/>
    </row>
    <row r="58" spans="1:3" x14ac:dyDescent="0.55000000000000004">
      <c r="A58" s="59"/>
      <c r="B58" s="5"/>
      <c r="C58" s="5"/>
    </row>
    <row r="59" spans="1:3" x14ac:dyDescent="0.55000000000000004">
      <c r="A59" s="59"/>
      <c r="B59" s="5"/>
      <c r="C59" s="5"/>
    </row>
    <row r="60" spans="1:3" x14ac:dyDescent="0.55000000000000004">
      <c r="A60" s="59"/>
      <c r="B60" s="5"/>
      <c r="C60" s="5"/>
    </row>
    <row r="61" spans="1:3" x14ac:dyDescent="0.55000000000000004">
      <c r="A61" s="59"/>
      <c r="B61" s="5"/>
      <c r="C61" s="5"/>
    </row>
    <row r="62" spans="1:3" x14ac:dyDescent="0.55000000000000004">
      <c r="A62" s="59"/>
      <c r="B62" s="5"/>
      <c r="C62" s="5"/>
    </row>
    <row r="63" spans="1:3" x14ac:dyDescent="0.55000000000000004">
      <c r="A63" s="59"/>
      <c r="B63" s="5"/>
      <c r="C63" s="5"/>
    </row>
    <row r="64" spans="1:3" x14ac:dyDescent="0.55000000000000004">
      <c r="A64" s="59"/>
      <c r="B64" s="5"/>
      <c r="C64" s="5"/>
    </row>
    <row r="65" spans="1:4" x14ac:dyDescent="0.55000000000000004">
      <c r="A65" s="59"/>
      <c r="B65" s="5" t="s">
        <v>62</v>
      </c>
      <c r="C65" s="5"/>
      <c r="D65" s="2">
        <v>90</v>
      </c>
    </row>
    <row r="66" spans="1:4" x14ac:dyDescent="0.55000000000000004">
      <c r="A66" s="59"/>
      <c r="B66" s="5" t="s">
        <v>63</v>
      </c>
      <c r="C66" s="5"/>
      <c r="D66" s="2" t="s">
        <v>559</v>
      </c>
    </row>
    <row r="67" spans="1:4" x14ac:dyDescent="0.55000000000000004">
      <c r="A67" s="59" t="s">
        <v>65</v>
      </c>
      <c r="B67" s="59"/>
      <c r="C67" s="5"/>
    </row>
    <row r="68" spans="1:4" x14ac:dyDescent="0.55000000000000004">
      <c r="A68" s="3" t="s">
        <v>67</v>
      </c>
    </row>
    <row r="69" spans="1:4" x14ac:dyDescent="0.55000000000000004">
      <c r="A69" s="1" t="s">
        <v>68</v>
      </c>
      <c r="C69" s="1">
        <v>15</v>
      </c>
      <c r="D69" s="2">
        <v>20</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AMJ69"/>
  <sheetViews>
    <sheetView zoomScale="90" zoomScaleNormal="90" workbookViewId="0">
      <selection activeCell="F21" sqref="F21:F27"/>
    </sheetView>
  </sheetViews>
  <sheetFormatPr baseColWidth="10" defaultColWidth="11.41796875" defaultRowHeight="14.4" x14ac:dyDescent="0.55000000000000004"/>
  <cols>
    <col min="1" max="1" width="10.83984375" style="1" customWidth="1"/>
    <col min="2" max="2" width="18.83984375" style="1" customWidth="1"/>
    <col min="3" max="3" width="47.41796875" style="1" customWidth="1"/>
    <col min="4" max="4" width="56.15625" style="2" customWidth="1"/>
    <col min="5" max="5" width="8.15625" style="1" customWidth="1"/>
    <col min="6" max="6" width="6" style="1" customWidth="1"/>
    <col min="7" max="1024" width="11.41796875" style="1"/>
  </cols>
  <sheetData>
    <row r="1" spans="1:4" x14ac:dyDescent="0.55000000000000004">
      <c r="A1" s="3" t="s">
        <v>0</v>
      </c>
      <c r="D1" s="2" t="s">
        <v>323</v>
      </c>
    </row>
    <row r="2" spans="1:4" x14ac:dyDescent="0.55000000000000004">
      <c r="A2" s="58" t="s">
        <v>2</v>
      </c>
      <c r="B2" s="58"/>
      <c r="D2" s="1" t="s">
        <v>560</v>
      </c>
    </row>
    <row r="3" spans="1:4" x14ac:dyDescent="0.55000000000000004">
      <c r="A3" s="58"/>
      <c r="B3" s="58"/>
      <c r="C3" s="5" t="s">
        <v>4</v>
      </c>
      <c r="D3" s="2" t="s">
        <v>561</v>
      </c>
    </row>
    <row r="4" spans="1:4" x14ac:dyDescent="0.55000000000000004">
      <c r="A4" s="58"/>
      <c r="B4" s="58"/>
      <c r="C4" s="5" t="s">
        <v>6</v>
      </c>
      <c r="D4" s="2">
        <v>2014</v>
      </c>
    </row>
    <row r="5" spans="1:4" ht="26.1" x14ac:dyDescent="0.55000000000000004">
      <c r="A5" s="58"/>
      <c r="B5" s="58"/>
      <c r="C5" s="5" t="s">
        <v>7</v>
      </c>
      <c r="D5" s="2" t="s">
        <v>562</v>
      </c>
    </row>
    <row r="6" spans="1:4" x14ac:dyDescent="0.55000000000000004">
      <c r="A6" s="58"/>
      <c r="B6" s="58"/>
      <c r="C6" s="5" t="s">
        <v>9</v>
      </c>
      <c r="D6" s="2" t="s">
        <v>119</v>
      </c>
    </row>
    <row r="7" spans="1:4" x14ac:dyDescent="0.55000000000000004">
      <c r="A7" s="58"/>
      <c r="B7" s="58"/>
      <c r="C7" s="5" t="s">
        <v>11</v>
      </c>
      <c r="D7" s="2" t="s">
        <v>12</v>
      </c>
    </row>
    <row r="8" spans="1:4" x14ac:dyDescent="0.55000000000000004">
      <c r="A8" s="59" t="s">
        <v>13</v>
      </c>
      <c r="B8" s="59"/>
      <c r="C8" s="5"/>
    </row>
    <row r="9" spans="1:4" x14ac:dyDescent="0.55000000000000004">
      <c r="A9" s="58"/>
      <c r="B9" s="58"/>
      <c r="C9" s="5" t="s">
        <v>14</v>
      </c>
      <c r="D9" s="2" t="s">
        <v>563</v>
      </c>
    </row>
    <row r="10" spans="1:4" x14ac:dyDescent="0.55000000000000004">
      <c r="A10" s="58"/>
      <c r="B10" s="58"/>
      <c r="C10" s="5" t="s">
        <v>16</v>
      </c>
      <c r="D10" s="2" t="s">
        <v>165</v>
      </c>
    </row>
    <row r="11" spans="1:4" x14ac:dyDescent="0.55000000000000004">
      <c r="A11" s="58"/>
      <c r="B11" s="58"/>
      <c r="C11" s="5" t="s">
        <v>19</v>
      </c>
      <c r="D11" s="21">
        <v>38657</v>
      </c>
    </row>
    <row r="12" spans="1:4" x14ac:dyDescent="0.55000000000000004">
      <c r="A12" s="58"/>
      <c r="B12" s="58"/>
      <c r="C12" s="5" t="s">
        <v>21</v>
      </c>
      <c r="D12" s="21">
        <v>39965</v>
      </c>
    </row>
    <row r="13" spans="1:4" x14ac:dyDescent="0.55000000000000004">
      <c r="A13" s="58"/>
      <c r="B13" s="58"/>
      <c r="C13" s="5" t="s">
        <v>22</v>
      </c>
    </row>
    <row r="14" spans="1:4" x14ac:dyDescent="0.55000000000000004">
      <c r="A14" s="59" t="s">
        <v>24</v>
      </c>
      <c r="B14" s="59"/>
      <c r="C14" s="5"/>
    </row>
    <row r="15" spans="1:4" x14ac:dyDescent="0.55000000000000004">
      <c r="A15" s="58"/>
      <c r="B15" s="58"/>
      <c r="C15" s="5" t="s">
        <v>25</v>
      </c>
      <c r="D15" s="2" t="s">
        <v>181</v>
      </c>
    </row>
    <row r="16" spans="1:4" x14ac:dyDescent="0.55000000000000004">
      <c r="A16" s="58"/>
      <c r="B16" s="58"/>
      <c r="C16" s="5" t="s">
        <v>27</v>
      </c>
      <c r="D16" s="2" t="s">
        <v>88</v>
      </c>
    </row>
    <row r="17" spans="1:6" x14ac:dyDescent="0.55000000000000004">
      <c r="A17" s="59" t="s">
        <v>29</v>
      </c>
      <c r="B17" s="59"/>
      <c r="C17" s="5"/>
    </row>
    <row r="18" spans="1:6" ht="64.8" x14ac:dyDescent="0.55000000000000004">
      <c r="A18" s="58"/>
      <c r="B18" s="58"/>
      <c r="C18" s="5" t="s">
        <v>30</v>
      </c>
      <c r="D18" s="2" t="s">
        <v>564</v>
      </c>
    </row>
    <row r="19" spans="1:6" ht="335.7" x14ac:dyDescent="0.55000000000000004">
      <c r="A19" s="58"/>
      <c r="B19" s="58"/>
      <c r="C19" s="5" t="s">
        <v>32</v>
      </c>
      <c r="D19" s="2" t="s">
        <v>565</v>
      </c>
    </row>
    <row r="20" spans="1:6" x14ac:dyDescent="0.55000000000000004">
      <c r="A20" s="59" t="s">
        <v>34</v>
      </c>
      <c r="B20" s="59"/>
      <c r="C20" s="5"/>
      <c r="D20" s="2" t="s">
        <v>323</v>
      </c>
      <c r="E20" s="1" t="s">
        <v>109</v>
      </c>
      <c r="F20" s="1" t="s">
        <v>35</v>
      </c>
    </row>
    <row r="21" spans="1:6" x14ac:dyDescent="0.55000000000000004">
      <c r="A21" s="58"/>
      <c r="B21" s="58"/>
      <c r="C21" s="5" t="s">
        <v>36</v>
      </c>
      <c r="D21" s="26" t="s">
        <v>20</v>
      </c>
      <c r="E21" s="27" t="s">
        <v>20</v>
      </c>
      <c r="F21" s="27">
        <v>1176</v>
      </c>
    </row>
    <row r="22" spans="1:6" x14ac:dyDescent="0.55000000000000004">
      <c r="A22" s="58"/>
      <c r="B22" s="58"/>
      <c r="C22" s="5" t="s">
        <v>37</v>
      </c>
      <c r="D22" s="26">
        <v>288</v>
      </c>
      <c r="E22" s="27">
        <v>595</v>
      </c>
      <c r="F22" s="27">
        <f>SUM(D22:E22)</f>
        <v>883</v>
      </c>
    </row>
    <row r="23" spans="1:6" x14ac:dyDescent="0.55000000000000004">
      <c r="A23" s="58"/>
      <c r="B23" s="58"/>
      <c r="C23" s="5" t="s">
        <v>38</v>
      </c>
      <c r="D23" s="26">
        <v>221</v>
      </c>
      <c r="E23" s="27">
        <v>392</v>
      </c>
      <c r="F23" s="27">
        <f>SUM(D23:E23)</f>
        <v>613</v>
      </c>
    </row>
    <row r="24" spans="1:6" x14ac:dyDescent="0.55000000000000004">
      <c r="A24" s="58"/>
      <c r="B24" s="58"/>
      <c r="C24" s="5" t="s">
        <v>39</v>
      </c>
      <c r="D24" s="26">
        <f>D22-D23</f>
        <v>67</v>
      </c>
      <c r="E24" s="27">
        <f>E22-E23</f>
        <v>203</v>
      </c>
      <c r="F24" s="27">
        <f>F22-F23</f>
        <v>270</v>
      </c>
    </row>
    <row r="25" spans="1:6" x14ac:dyDescent="0.55000000000000004">
      <c r="A25" s="58"/>
      <c r="B25" s="58"/>
      <c r="C25" s="5" t="s">
        <v>40</v>
      </c>
      <c r="D25" s="28">
        <v>0.39800000000000002</v>
      </c>
      <c r="E25" s="10">
        <f>((0.38*300)+(295*0.383))/(595)</f>
        <v>0.38148739495798323</v>
      </c>
      <c r="F25" s="10">
        <f>((D25*D22)+(E25*E22))/F22</f>
        <v>0.38687315968289926</v>
      </c>
    </row>
    <row r="26" spans="1:6" x14ac:dyDescent="0.55000000000000004">
      <c r="A26" s="58"/>
      <c r="B26" s="58"/>
      <c r="C26" s="5" t="s">
        <v>41</v>
      </c>
      <c r="D26" s="28">
        <v>62.4</v>
      </c>
      <c r="E26" s="10">
        <f>((61.9*300)+(295*62.4))/(595)</f>
        <v>62.147899159663865</v>
      </c>
      <c r="F26" s="10">
        <f>((D26*D22)+(E26*E22))/F22</f>
        <v>62.230124575311436</v>
      </c>
    </row>
    <row r="27" spans="1:6" x14ac:dyDescent="0.55000000000000004">
      <c r="A27" s="58"/>
      <c r="B27" s="58"/>
      <c r="C27" s="5" t="s">
        <v>42</v>
      </c>
      <c r="D27" s="28">
        <v>9.6999999999999993</v>
      </c>
      <c r="E27" s="10">
        <f>SQRT((300*(9.7^2+(61.9-F$26)^2)+295*(9.7^2+(62.4-F$26)^2))/(595))</f>
        <v>9.7035692714303998</v>
      </c>
      <c r="F27" s="10">
        <f>SQRT((D23*(D27^2+(D26-F$26)^2)+E23*(E27^2+(E26-F$26)^2))/(D23+E23))</f>
        <v>9.7030415550291895</v>
      </c>
    </row>
    <row r="28" spans="1:6" x14ac:dyDescent="0.55000000000000004">
      <c r="A28" s="58"/>
      <c r="B28" s="58"/>
      <c r="C28" s="5" t="s">
        <v>43</v>
      </c>
      <c r="D28" s="29"/>
      <c r="E28" s="10"/>
      <c r="F28" s="10"/>
    </row>
    <row r="29" spans="1:6" x14ac:dyDescent="0.55000000000000004">
      <c r="A29" s="58"/>
      <c r="B29" s="58"/>
      <c r="C29" s="5" t="s">
        <v>168</v>
      </c>
      <c r="D29" s="29">
        <v>1.53</v>
      </c>
      <c r="E29" s="10">
        <f>SQRT((300*(1.51^2+(1.51-1.49)^2)+295*(1.46^2+(1.46-1.49)^2))/(595))</f>
        <v>1.4856385323286065</v>
      </c>
      <c r="F29" s="10"/>
    </row>
    <row r="30" spans="1:6" x14ac:dyDescent="0.55000000000000004">
      <c r="A30" s="58"/>
      <c r="B30" s="58"/>
      <c r="C30" s="5" t="s">
        <v>45</v>
      </c>
    </row>
    <row r="31" spans="1:6" x14ac:dyDescent="0.55000000000000004">
      <c r="A31" s="58"/>
      <c r="B31" s="58"/>
      <c r="C31" s="5" t="s">
        <v>46</v>
      </c>
      <c r="D31" s="29"/>
    </row>
    <row r="32" spans="1:6" x14ac:dyDescent="0.55000000000000004">
      <c r="A32" s="59" t="s">
        <v>47</v>
      </c>
      <c r="B32" s="59"/>
      <c r="C32" s="5"/>
    </row>
    <row r="33" spans="1:11" ht="39" x14ac:dyDescent="0.55000000000000004">
      <c r="A33" s="58"/>
      <c r="B33" s="58"/>
      <c r="C33" s="5" t="s">
        <v>48</v>
      </c>
      <c r="D33" s="2" t="s">
        <v>566</v>
      </c>
    </row>
    <row r="34" spans="1:11" x14ac:dyDescent="0.55000000000000004">
      <c r="A34" s="59" t="s">
        <v>50</v>
      </c>
      <c r="B34" s="59"/>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9"/>
      <c r="B36" s="5" t="s">
        <v>59</v>
      </c>
      <c r="C36" s="5"/>
    </row>
    <row r="37" spans="1:11" x14ac:dyDescent="0.55000000000000004">
      <c r="A37" s="59"/>
      <c r="B37" s="5"/>
      <c r="C37" s="1" t="s">
        <v>334</v>
      </c>
      <c r="D37" s="2">
        <v>0.06</v>
      </c>
      <c r="E37" s="10">
        <f>F37*SQRT(E23)</f>
        <v>1.9287576850667747</v>
      </c>
      <c r="F37" s="7">
        <v>9.7416974169741696E-2</v>
      </c>
    </row>
    <row r="38" spans="1:11" x14ac:dyDescent="0.55000000000000004">
      <c r="A38" s="59"/>
      <c r="B38" s="5"/>
      <c r="C38" s="1" t="s">
        <v>335</v>
      </c>
      <c r="D38" s="2">
        <v>0.54</v>
      </c>
      <c r="E38" s="10">
        <f>F38*SQRT(D23)</f>
        <v>1.0203279656831246</v>
      </c>
      <c r="F38" s="7">
        <v>6.8634686346864093E-2</v>
      </c>
    </row>
    <row r="39" spans="1:11" x14ac:dyDescent="0.55000000000000004">
      <c r="A39" s="59"/>
      <c r="B39" s="5"/>
    </row>
    <row r="40" spans="1:11" x14ac:dyDescent="0.55000000000000004">
      <c r="A40" s="59"/>
      <c r="B40" s="5"/>
      <c r="C40" s="5"/>
    </row>
    <row r="41" spans="1:11" x14ac:dyDescent="0.55000000000000004">
      <c r="A41" s="59"/>
      <c r="B41" s="5"/>
      <c r="C41" s="5"/>
    </row>
    <row r="42" spans="1:11" x14ac:dyDescent="0.55000000000000004">
      <c r="A42" s="59"/>
      <c r="B42" s="5"/>
      <c r="C42" s="5"/>
    </row>
    <row r="43" spans="1:11" x14ac:dyDescent="0.55000000000000004">
      <c r="A43" s="59"/>
      <c r="B43" s="5"/>
      <c r="C43" s="5"/>
    </row>
    <row r="44" spans="1:11" x14ac:dyDescent="0.55000000000000004">
      <c r="A44" s="59"/>
      <c r="B44" s="5"/>
      <c r="C44" s="5"/>
    </row>
    <row r="45" spans="1:11" x14ac:dyDescent="0.55000000000000004">
      <c r="A45" s="59"/>
      <c r="B45" s="5" t="s">
        <v>61</v>
      </c>
      <c r="C45" s="5"/>
    </row>
    <row r="46" spans="1:11" x14ac:dyDescent="0.55000000000000004">
      <c r="A46" s="59"/>
      <c r="B46" s="5"/>
      <c r="C46" s="5" t="s">
        <v>79</v>
      </c>
      <c r="D46" s="2">
        <v>1</v>
      </c>
    </row>
    <row r="47" spans="1:11" x14ac:dyDescent="0.55000000000000004">
      <c r="A47" s="59"/>
      <c r="B47" s="5"/>
      <c r="C47" s="5"/>
    </row>
    <row r="48" spans="1:11" x14ac:dyDescent="0.55000000000000004">
      <c r="A48" s="59"/>
      <c r="B48" s="5"/>
      <c r="C48" s="5"/>
    </row>
    <row r="49" spans="1:3" x14ac:dyDescent="0.55000000000000004">
      <c r="A49" s="59"/>
      <c r="B49" s="5"/>
      <c r="C49" s="5"/>
    </row>
    <row r="50" spans="1:3" x14ac:dyDescent="0.55000000000000004">
      <c r="A50" s="59"/>
      <c r="B50" s="5"/>
      <c r="C50" s="5"/>
    </row>
    <row r="51" spans="1:3" x14ac:dyDescent="0.55000000000000004">
      <c r="A51" s="59"/>
      <c r="B51" s="5"/>
      <c r="C51" s="5"/>
    </row>
    <row r="52" spans="1:3" x14ac:dyDescent="0.55000000000000004">
      <c r="A52" s="59"/>
      <c r="B52" s="5"/>
      <c r="C52" s="5"/>
    </row>
    <row r="53" spans="1:3" x14ac:dyDescent="0.55000000000000004">
      <c r="A53" s="59"/>
      <c r="B53" s="5"/>
      <c r="C53" s="5"/>
    </row>
    <row r="54" spans="1:3" x14ac:dyDescent="0.55000000000000004">
      <c r="A54" s="59"/>
      <c r="B54" s="5"/>
      <c r="C54" s="5"/>
    </row>
    <row r="55" spans="1:3" x14ac:dyDescent="0.55000000000000004">
      <c r="A55" s="59"/>
      <c r="B55" s="5"/>
      <c r="C55" s="5"/>
    </row>
    <row r="56" spans="1:3" x14ac:dyDescent="0.55000000000000004">
      <c r="A56" s="59"/>
      <c r="B56" s="5"/>
      <c r="C56" s="5"/>
    </row>
    <row r="57" spans="1:3" x14ac:dyDescent="0.55000000000000004">
      <c r="A57" s="59"/>
      <c r="B57" s="5"/>
      <c r="C57" s="5"/>
    </row>
    <row r="58" spans="1:3" x14ac:dyDescent="0.55000000000000004">
      <c r="A58" s="59"/>
      <c r="B58" s="5"/>
      <c r="C58" s="5"/>
    </row>
    <row r="59" spans="1:3" x14ac:dyDescent="0.55000000000000004">
      <c r="A59" s="59"/>
      <c r="B59" s="5"/>
      <c r="C59" s="5"/>
    </row>
    <row r="60" spans="1:3" x14ac:dyDescent="0.55000000000000004">
      <c r="A60" s="59"/>
      <c r="B60" s="5"/>
      <c r="C60" s="5"/>
    </row>
    <row r="61" spans="1:3" x14ac:dyDescent="0.55000000000000004">
      <c r="A61" s="59"/>
      <c r="B61" s="5"/>
      <c r="C61" s="5"/>
    </row>
    <row r="62" spans="1:3" x14ac:dyDescent="0.55000000000000004">
      <c r="A62" s="59"/>
      <c r="B62" s="5"/>
      <c r="C62" s="5"/>
    </row>
    <row r="63" spans="1:3" x14ac:dyDescent="0.55000000000000004">
      <c r="A63" s="59"/>
      <c r="B63" s="5"/>
      <c r="C63" s="5"/>
    </row>
    <row r="64" spans="1:3" x14ac:dyDescent="0.55000000000000004">
      <c r="A64" s="59"/>
      <c r="B64" s="5"/>
      <c r="C64" s="5"/>
    </row>
    <row r="65" spans="1:4" x14ac:dyDescent="0.55000000000000004">
      <c r="A65" s="59"/>
      <c r="B65" s="5" t="s">
        <v>62</v>
      </c>
      <c r="C65" s="5"/>
      <c r="D65" s="2">
        <f>72*7</f>
        <v>504</v>
      </c>
    </row>
    <row r="66" spans="1:4" x14ac:dyDescent="0.55000000000000004">
      <c r="A66" s="59"/>
      <c r="B66" s="5" t="s">
        <v>63</v>
      </c>
      <c r="C66" s="5"/>
      <c r="D66" s="2" t="s">
        <v>567</v>
      </c>
    </row>
    <row r="67" spans="1:4" x14ac:dyDescent="0.55000000000000004">
      <c r="A67" s="59" t="s">
        <v>65</v>
      </c>
      <c r="B67" s="59"/>
      <c r="C67" s="5"/>
    </row>
    <row r="68" spans="1:4" x14ac:dyDescent="0.55000000000000004">
      <c r="A68" s="3" t="s">
        <v>67</v>
      </c>
    </row>
    <row r="69" spans="1:4" x14ac:dyDescent="0.55000000000000004">
      <c r="A69" s="1" t="s">
        <v>68</v>
      </c>
      <c r="C69" s="1">
        <v>28</v>
      </c>
      <c r="D69" s="2">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AMJ69"/>
  <sheetViews>
    <sheetView topLeftCell="C7" zoomScale="96" zoomScaleNormal="96" workbookViewId="0">
      <selection activeCell="D34" sqref="D34"/>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5.15625" style="1" customWidth="1"/>
    <col min="6" max="1024" width="11.41796875" style="1"/>
  </cols>
  <sheetData>
    <row r="1" spans="1:4" x14ac:dyDescent="0.55000000000000004">
      <c r="A1" s="3" t="s">
        <v>0</v>
      </c>
      <c r="D1" s="2" t="s">
        <v>160</v>
      </c>
    </row>
    <row r="2" spans="1:4" x14ac:dyDescent="0.55000000000000004">
      <c r="A2" s="58" t="s">
        <v>2</v>
      </c>
      <c r="B2" s="58"/>
      <c r="D2" s="2" t="s">
        <v>568</v>
      </c>
    </row>
    <row r="3" spans="1:4" x14ac:dyDescent="0.55000000000000004">
      <c r="A3" s="58"/>
      <c r="B3" s="58"/>
      <c r="C3" s="5" t="s">
        <v>4</v>
      </c>
      <c r="D3" s="2" t="s">
        <v>569</v>
      </c>
    </row>
    <row r="4" spans="1:4" x14ac:dyDescent="0.55000000000000004">
      <c r="A4" s="58"/>
      <c r="B4" s="58"/>
      <c r="C4" s="5" t="s">
        <v>6</v>
      </c>
      <c r="D4" s="2">
        <v>1994</v>
      </c>
    </row>
    <row r="5" spans="1:4" x14ac:dyDescent="0.55000000000000004">
      <c r="A5" s="58"/>
      <c r="B5" s="58"/>
      <c r="C5" s="5" t="s">
        <v>7</v>
      </c>
      <c r="D5" s="2" t="s">
        <v>570</v>
      </c>
    </row>
    <row r="6" spans="1:4" x14ac:dyDescent="0.55000000000000004">
      <c r="A6" s="58"/>
      <c r="B6" s="58"/>
      <c r="C6" s="5" t="s">
        <v>9</v>
      </c>
      <c r="D6" s="2" t="s">
        <v>494</v>
      </c>
    </row>
    <row r="7" spans="1:4" x14ac:dyDescent="0.55000000000000004">
      <c r="A7" s="58"/>
      <c r="B7" s="58"/>
      <c r="C7" s="5" t="s">
        <v>11</v>
      </c>
      <c r="D7" s="2" t="s">
        <v>12</v>
      </c>
    </row>
    <row r="8" spans="1:4" x14ac:dyDescent="0.55000000000000004">
      <c r="A8" s="59" t="s">
        <v>13</v>
      </c>
      <c r="B8" s="59"/>
      <c r="C8" s="5"/>
    </row>
    <row r="9" spans="1:4" x14ac:dyDescent="0.55000000000000004">
      <c r="A9" s="58"/>
      <c r="B9" s="58"/>
      <c r="C9" s="5" t="s">
        <v>14</v>
      </c>
      <c r="D9" s="2" t="s">
        <v>571</v>
      </c>
    </row>
    <row r="10" spans="1:4" x14ac:dyDescent="0.55000000000000004">
      <c r="A10" s="58"/>
      <c r="B10" s="58"/>
      <c r="C10" s="5" t="s">
        <v>16</v>
      </c>
      <c r="D10" s="2" t="s">
        <v>86</v>
      </c>
    </row>
    <row r="11" spans="1:4" x14ac:dyDescent="0.55000000000000004">
      <c r="A11" s="58"/>
      <c r="B11" s="58"/>
      <c r="C11" s="5" t="s">
        <v>19</v>
      </c>
      <c r="D11" s="2" t="s">
        <v>20</v>
      </c>
    </row>
    <row r="12" spans="1:4" x14ac:dyDescent="0.55000000000000004">
      <c r="A12" s="58"/>
      <c r="B12" s="58"/>
      <c r="C12" s="5" t="s">
        <v>21</v>
      </c>
      <c r="D12" s="2" t="s">
        <v>20</v>
      </c>
    </row>
    <row r="13" spans="1:4" x14ac:dyDescent="0.55000000000000004">
      <c r="A13" s="58"/>
      <c r="B13" s="58"/>
      <c r="C13" s="5" t="s">
        <v>22</v>
      </c>
      <c r="D13" s="2" t="s">
        <v>20</v>
      </c>
    </row>
    <row r="14" spans="1:4" x14ac:dyDescent="0.55000000000000004">
      <c r="A14" s="59" t="s">
        <v>24</v>
      </c>
      <c r="B14" s="59"/>
      <c r="C14" s="5"/>
    </row>
    <row r="15" spans="1:4" x14ac:dyDescent="0.55000000000000004">
      <c r="A15" s="58"/>
      <c r="B15" s="58"/>
      <c r="C15" s="5" t="s">
        <v>25</v>
      </c>
      <c r="D15" s="2" t="s">
        <v>293</v>
      </c>
    </row>
    <row r="16" spans="1:4" x14ac:dyDescent="0.55000000000000004">
      <c r="A16" s="58"/>
      <c r="B16" s="58"/>
      <c r="C16" s="5" t="s">
        <v>27</v>
      </c>
      <c r="D16" s="2" t="s">
        <v>572</v>
      </c>
    </row>
    <row r="17" spans="1:4" x14ac:dyDescent="0.55000000000000004">
      <c r="A17" s="59" t="s">
        <v>29</v>
      </c>
      <c r="B17" s="59"/>
      <c r="C17" s="5"/>
    </row>
    <row r="18" spans="1:4" ht="26.1" x14ac:dyDescent="0.55000000000000004">
      <c r="A18" s="58"/>
      <c r="B18" s="58"/>
      <c r="C18" s="5" t="s">
        <v>30</v>
      </c>
      <c r="D18" s="2" t="s">
        <v>573</v>
      </c>
    </row>
    <row r="19" spans="1:4" ht="26.1" x14ac:dyDescent="0.55000000000000004">
      <c r="A19" s="58"/>
      <c r="B19" s="58"/>
      <c r="C19" s="5" t="s">
        <v>32</v>
      </c>
      <c r="D19" s="2" t="s">
        <v>574</v>
      </c>
    </row>
    <row r="20" spans="1:4" x14ac:dyDescent="0.55000000000000004">
      <c r="A20" s="59" t="s">
        <v>34</v>
      </c>
      <c r="B20" s="59"/>
      <c r="C20" s="5"/>
      <c r="D20" s="2" t="s">
        <v>35</v>
      </c>
    </row>
    <row r="21" spans="1:4" x14ac:dyDescent="0.55000000000000004">
      <c r="A21" s="58"/>
      <c r="B21" s="58"/>
      <c r="C21" s="5" t="s">
        <v>36</v>
      </c>
      <c r="D21" s="2">
        <v>23</v>
      </c>
    </row>
    <row r="22" spans="1:4" x14ac:dyDescent="0.55000000000000004">
      <c r="A22" s="58"/>
      <c r="B22" s="58"/>
      <c r="C22" s="5" t="s">
        <v>37</v>
      </c>
      <c r="D22" s="2">
        <v>23</v>
      </c>
    </row>
    <row r="23" spans="1:4" x14ac:dyDescent="0.55000000000000004">
      <c r="A23" s="58"/>
      <c r="B23" s="58"/>
      <c r="C23" s="5" t="s">
        <v>38</v>
      </c>
      <c r="D23" s="2">
        <v>23</v>
      </c>
    </row>
    <row r="24" spans="1:4" x14ac:dyDescent="0.55000000000000004">
      <c r="A24" s="58"/>
      <c r="B24" s="58"/>
      <c r="C24" s="5" t="s">
        <v>39</v>
      </c>
      <c r="D24" s="2">
        <v>1</v>
      </c>
    </row>
    <row r="25" spans="1:4" x14ac:dyDescent="0.55000000000000004">
      <c r="A25" s="58"/>
      <c r="B25" s="58"/>
      <c r="C25" s="5" t="s">
        <v>40</v>
      </c>
      <c r="D25" s="7">
        <f>10/23</f>
        <v>0.43478260869565216</v>
      </c>
    </row>
    <row r="26" spans="1:4" x14ac:dyDescent="0.55000000000000004">
      <c r="A26" s="58"/>
      <c r="B26" s="58"/>
      <c r="C26" s="5" t="s">
        <v>41</v>
      </c>
      <c r="D26" s="7">
        <v>63.521739130434803</v>
      </c>
    </row>
    <row r="27" spans="1:4" x14ac:dyDescent="0.55000000000000004">
      <c r="A27" s="58"/>
      <c r="B27" s="58"/>
      <c r="C27" s="5" t="s">
        <v>42</v>
      </c>
      <c r="D27" s="7">
        <v>10.458487567178</v>
      </c>
    </row>
    <row r="28" spans="1:4" x14ac:dyDescent="0.55000000000000004">
      <c r="A28" s="58"/>
      <c r="B28" s="58"/>
      <c r="C28" s="5" t="s">
        <v>43</v>
      </c>
    </row>
    <row r="29" spans="1:4" x14ac:dyDescent="0.55000000000000004">
      <c r="A29" s="58"/>
      <c r="B29" s="58"/>
      <c r="C29" s="5" t="s">
        <v>44</v>
      </c>
      <c r="D29" s="2">
        <v>3</v>
      </c>
    </row>
    <row r="30" spans="1:4" x14ac:dyDescent="0.55000000000000004">
      <c r="A30" s="58"/>
      <c r="B30" s="58"/>
      <c r="C30" s="5" t="s">
        <v>45</v>
      </c>
      <c r="D30" s="7">
        <v>45</v>
      </c>
    </row>
    <row r="31" spans="1:4" x14ac:dyDescent="0.55000000000000004">
      <c r="A31" s="58"/>
      <c r="B31" s="58"/>
      <c r="C31" s="5" t="s">
        <v>46</v>
      </c>
      <c r="D31" s="7">
        <v>16.68</v>
      </c>
    </row>
    <row r="32" spans="1:4" x14ac:dyDescent="0.55000000000000004">
      <c r="A32" s="59" t="s">
        <v>47</v>
      </c>
      <c r="B32" s="59"/>
      <c r="C32" s="5"/>
    </row>
    <row r="33" spans="1:11" ht="64.8" x14ac:dyDescent="0.55000000000000004">
      <c r="A33" s="58"/>
      <c r="B33" s="58"/>
      <c r="C33" s="5" t="s">
        <v>48</v>
      </c>
      <c r="D33" s="2" t="s">
        <v>575</v>
      </c>
    </row>
    <row r="34" spans="1:11" x14ac:dyDescent="0.55000000000000004">
      <c r="A34" s="59" t="s">
        <v>50</v>
      </c>
      <c r="B34" s="59"/>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9"/>
      <c r="B36" s="5" t="s">
        <v>59</v>
      </c>
      <c r="C36" s="5"/>
    </row>
    <row r="37" spans="1:11" x14ac:dyDescent="0.55000000000000004">
      <c r="A37" s="59"/>
      <c r="B37" s="5"/>
      <c r="C37" s="5" t="s">
        <v>576</v>
      </c>
      <c r="D37" s="7">
        <v>14.61</v>
      </c>
      <c r="E37" s="10">
        <v>6.83</v>
      </c>
    </row>
    <row r="38" spans="1:11" x14ac:dyDescent="0.55000000000000004">
      <c r="A38" s="59"/>
      <c r="B38" s="5"/>
      <c r="C38" s="5" t="s">
        <v>577</v>
      </c>
      <c r="D38" s="7">
        <v>10.43</v>
      </c>
      <c r="E38" s="10">
        <v>6.05</v>
      </c>
    </row>
    <row r="39" spans="1:11" x14ac:dyDescent="0.55000000000000004">
      <c r="A39" s="59"/>
      <c r="B39" s="5"/>
      <c r="C39" s="5"/>
    </row>
    <row r="40" spans="1:11" x14ac:dyDescent="0.55000000000000004">
      <c r="A40" s="59"/>
      <c r="B40" s="5"/>
      <c r="C40" s="5"/>
    </row>
    <row r="41" spans="1:11" x14ac:dyDescent="0.55000000000000004">
      <c r="A41" s="59"/>
      <c r="B41" s="5"/>
      <c r="C41" s="5"/>
    </row>
    <row r="42" spans="1:11" x14ac:dyDescent="0.55000000000000004">
      <c r="A42" s="59"/>
      <c r="B42" s="5"/>
      <c r="C42" s="5"/>
    </row>
    <row r="43" spans="1:11" x14ac:dyDescent="0.55000000000000004">
      <c r="A43" s="59"/>
      <c r="B43" s="5"/>
      <c r="C43" s="5"/>
    </row>
    <row r="44" spans="1:11" x14ac:dyDescent="0.55000000000000004">
      <c r="A44" s="59"/>
      <c r="B44" s="5"/>
      <c r="C44" s="5"/>
    </row>
    <row r="45" spans="1:11" x14ac:dyDescent="0.55000000000000004">
      <c r="A45" s="59"/>
      <c r="B45" s="5" t="s">
        <v>61</v>
      </c>
      <c r="C45" s="5"/>
    </row>
    <row r="46" spans="1:11" x14ac:dyDescent="0.55000000000000004">
      <c r="A46" s="59"/>
      <c r="B46" s="5"/>
      <c r="C46" s="5" t="s">
        <v>79</v>
      </c>
      <c r="D46" s="2">
        <v>1</v>
      </c>
    </row>
    <row r="47" spans="1:11" x14ac:dyDescent="0.55000000000000004">
      <c r="A47" s="59"/>
      <c r="B47" s="5"/>
      <c r="C47" s="5"/>
    </row>
    <row r="48" spans="1:11" x14ac:dyDescent="0.55000000000000004">
      <c r="A48" s="59"/>
      <c r="B48" s="5"/>
      <c r="C48" s="5"/>
    </row>
    <row r="49" spans="1:3" x14ac:dyDescent="0.55000000000000004">
      <c r="A49" s="59"/>
      <c r="B49" s="5"/>
      <c r="C49" s="5"/>
    </row>
    <row r="50" spans="1:3" x14ac:dyDescent="0.55000000000000004">
      <c r="A50" s="59"/>
      <c r="B50" s="5"/>
      <c r="C50" s="5"/>
    </row>
    <row r="51" spans="1:3" x14ac:dyDescent="0.55000000000000004">
      <c r="A51" s="59"/>
      <c r="B51" s="5"/>
      <c r="C51" s="5"/>
    </row>
    <row r="52" spans="1:3" x14ac:dyDescent="0.55000000000000004">
      <c r="A52" s="59"/>
      <c r="B52" s="5"/>
      <c r="C52" s="5"/>
    </row>
    <row r="53" spans="1:3" x14ac:dyDescent="0.55000000000000004">
      <c r="A53" s="59"/>
      <c r="B53" s="5"/>
      <c r="C53" s="5"/>
    </row>
    <row r="54" spans="1:3" x14ac:dyDescent="0.55000000000000004">
      <c r="A54" s="59"/>
      <c r="B54" s="5"/>
      <c r="C54" s="5"/>
    </row>
    <row r="55" spans="1:3" x14ac:dyDescent="0.55000000000000004">
      <c r="A55" s="59"/>
      <c r="B55" s="5"/>
      <c r="C55" s="5"/>
    </row>
    <row r="56" spans="1:3" x14ac:dyDescent="0.55000000000000004">
      <c r="A56" s="59"/>
      <c r="B56" s="5"/>
      <c r="C56" s="5"/>
    </row>
    <row r="57" spans="1:3" x14ac:dyDescent="0.55000000000000004">
      <c r="A57" s="59"/>
      <c r="B57" s="5"/>
      <c r="C57" s="5"/>
    </row>
    <row r="58" spans="1:3" x14ac:dyDescent="0.55000000000000004">
      <c r="A58" s="59"/>
      <c r="B58" s="5"/>
      <c r="C58" s="5"/>
    </row>
    <row r="59" spans="1:3" x14ac:dyDescent="0.55000000000000004">
      <c r="A59" s="59"/>
      <c r="B59" s="5"/>
      <c r="C59" s="5"/>
    </row>
    <row r="60" spans="1:3" x14ac:dyDescent="0.55000000000000004">
      <c r="A60" s="59"/>
      <c r="B60" s="5"/>
      <c r="C60" s="5"/>
    </row>
    <row r="61" spans="1:3" x14ac:dyDescent="0.55000000000000004">
      <c r="A61" s="59"/>
      <c r="B61" s="5"/>
      <c r="C61" s="5"/>
    </row>
    <row r="62" spans="1:3" x14ac:dyDescent="0.55000000000000004">
      <c r="A62" s="59"/>
      <c r="B62" s="5"/>
      <c r="C62" s="5"/>
    </row>
    <row r="63" spans="1:3" x14ac:dyDescent="0.55000000000000004">
      <c r="A63" s="59"/>
      <c r="B63" s="5"/>
      <c r="C63" s="5"/>
    </row>
    <row r="64" spans="1:3" x14ac:dyDescent="0.55000000000000004">
      <c r="A64" s="59"/>
      <c r="B64" s="5"/>
      <c r="C64" s="5"/>
    </row>
    <row r="65" spans="1:4" x14ac:dyDescent="0.55000000000000004">
      <c r="A65" s="59"/>
      <c r="B65" s="5" t="s">
        <v>62</v>
      </c>
      <c r="C65" s="5"/>
      <c r="D65" s="2">
        <f>6*30</f>
        <v>180</v>
      </c>
    </row>
    <row r="66" spans="1:4" x14ac:dyDescent="0.55000000000000004">
      <c r="A66" s="59"/>
      <c r="B66" s="5" t="s">
        <v>63</v>
      </c>
      <c r="C66" s="5"/>
      <c r="D66" s="2" t="s">
        <v>191</v>
      </c>
    </row>
    <row r="67" spans="1:4" x14ac:dyDescent="0.55000000000000004">
      <c r="A67" s="59" t="s">
        <v>65</v>
      </c>
      <c r="B67" s="59"/>
      <c r="C67" s="5"/>
    </row>
    <row r="68" spans="1:4" x14ac:dyDescent="0.55000000000000004">
      <c r="A68" s="3" t="s">
        <v>67</v>
      </c>
    </row>
    <row r="69" spans="1:4" x14ac:dyDescent="0.55000000000000004">
      <c r="A69" s="1" t="s">
        <v>68</v>
      </c>
      <c r="C69" s="1">
        <v>20</v>
      </c>
      <c r="D69" s="2">
        <v>20</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AMJ72"/>
  <sheetViews>
    <sheetView zoomScaleNormal="100" workbookViewId="0"/>
  </sheetViews>
  <sheetFormatPr baseColWidth="10" defaultColWidth="11" defaultRowHeight="14.4" x14ac:dyDescent="0.55000000000000004"/>
  <cols>
    <col min="1" max="1" width="11" style="1"/>
    <col min="2" max="2" width="15.41796875" style="1" customWidth="1"/>
    <col min="3" max="3" width="37.83984375" style="1" customWidth="1"/>
    <col min="4" max="4" width="54.15625" style="1" customWidth="1"/>
    <col min="5" max="1024" width="11" style="1"/>
  </cols>
  <sheetData>
    <row r="1" spans="1:5" x14ac:dyDescent="0.55000000000000004">
      <c r="A1" s="3" t="s">
        <v>0</v>
      </c>
      <c r="D1" s="2" t="s">
        <v>269</v>
      </c>
    </row>
    <row r="2" spans="1:5" x14ac:dyDescent="0.55000000000000004">
      <c r="A2" s="58" t="s">
        <v>2</v>
      </c>
      <c r="B2" s="58"/>
      <c r="D2" s="2" t="s">
        <v>578</v>
      </c>
    </row>
    <row r="3" spans="1:5" x14ac:dyDescent="0.55000000000000004">
      <c r="A3" s="58"/>
      <c r="B3" s="58"/>
      <c r="C3" s="5" t="s">
        <v>4</v>
      </c>
      <c r="D3" s="2" t="s">
        <v>579</v>
      </c>
    </row>
    <row r="4" spans="1:5" x14ac:dyDescent="0.55000000000000004">
      <c r="A4" s="58"/>
      <c r="B4" s="58"/>
      <c r="C4" s="5" t="s">
        <v>6</v>
      </c>
      <c r="D4" s="2">
        <v>2015</v>
      </c>
    </row>
    <row r="5" spans="1:5" ht="26.1" x14ac:dyDescent="0.55000000000000004">
      <c r="A5" s="58"/>
      <c r="B5" s="58"/>
      <c r="C5" s="5" t="s">
        <v>7</v>
      </c>
      <c r="D5" s="2" t="s">
        <v>580</v>
      </c>
    </row>
    <row r="6" spans="1:5" x14ac:dyDescent="0.55000000000000004">
      <c r="A6" s="58"/>
      <c r="B6" s="58"/>
      <c r="C6" s="5" t="s">
        <v>9</v>
      </c>
      <c r="D6" s="2" t="s">
        <v>239</v>
      </c>
    </row>
    <row r="7" spans="1:5" x14ac:dyDescent="0.55000000000000004">
      <c r="A7" s="58"/>
      <c r="B7" s="58"/>
      <c r="C7" s="5" t="s">
        <v>11</v>
      </c>
      <c r="D7" s="2" t="s">
        <v>12</v>
      </c>
    </row>
    <row r="8" spans="1:5" x14ac:dyDescent="0.55000000000000004">
      <c r="A8" s="59" t="s">
        <v>13</v>
      </c>
      <c r="B8" s="59"/>
      <c r="C8" s="5"/>
      <c r="D8" s="2"/>
    </row>
    <row r="9" spans="1:5" ht="26.1" x14ac:dyDescent="0.55000000000000004">
      <c r="A9" s="58"/>
      <c r="B9" s="58"/>
      <c r="C9" s="5" t="s">
        <v>14</v>
      </c>
      <c r="D9" s="2" t="s">
        <v>581</v>
      </c>
    </row>
    <row r="10" spans="1:5" x14ac:dyDescent="0.55000000000000004">
      <c r="A10" s="58"/>
      <c r="B10" s="58"/>
      <c r="C10" s="5" t="s">
        <v>16</v>
      </c>
      <c r="D10" s="2" t="s">
        <v>17</v>
      </c>
      <c r="E10" s="1" t="s">
        <v>18</v>
      </c>
    </row>
    <row r="11" spans="1:5" x14ac:dyDescent="0.55000000000000004">
      <c r="A11" s="58"/>
      <c r="B11" s="58"/>
      <c r="C11" s="5" t="s">
        <v>19</v>
      </c>
      <c r="D11" s="21">
        <v>41883</v>
      </c>
    </row>
    <row r="12" spans="1:5" x14ac:dyDescent="0.55000000000000004">
      <c r="A12" s="58"/>
      <c r="B12" s="58"/>
      <c r="C12" s="5" t="s">
        <v>21</v>
      </c>
      <c r="D12" s="21">
        <v>41974</v>
      </c>
    </row>
    <row r="13" spans="1:5" ht="26.1" x14ac:dyDescent="0.55000000000000004">
      <c r="A13" s="58"/>
      <c r="B13" s="58"/>
      <c r="C13" s="5" t="s">
        <v>22</v>
      </c>
      <c r="D13" s="2" t="s">
        <v>582</v>
      </c>
    </row>
    <row r="14" spans="1:5" x14ac:dyDescent="0.55000000000000004">
      <c r="A14" s="59" t="s">
        <v>24</v>
      </c>
      <c r="B14" s="59"/>
      <c r="C14" s="5"/>
      <c r="D14" s="2"/>
    </row>
    <row r="15" spans="1:5" x14ac:dyDescent="0.55000000000000004">
      <c r="A15" s="58"/>
      <c r="B15" s="58"/>
      <c r="C15" s="5" t="s">
        <v>25</v>
      </c>
      <c r="D15" s="2" t="s">
        <v>583</v>
      </c>
    </row>
    <row r="16" spans="1:5" ht="51.9" x14ac:dyDescent="0.55000000000000004">
      <c r="A16" s="58"/>
      <c r="B16" s="58"/>
      <c r="C16" s="5" t="s">
        <v>27</v>
      </c>
      <c r="D16" s="2" t="s">
        <v>584</v>
      </c>
    </row>
    <row r="17" spans="1:6" x14ac:dyDescent="0.55000000000000004">
      <c r="A17" s="59" t="s">
        <v>29</v>
      </c>
      <c r="B17" s="59"/>
      <c r="C17" s="5"/>
      <c r="D17" s="2"/>
    </row>
    <row r="18" spans="1:6" ht="39" x14ac:dyDescent="0.55000000000000004">
      <c r="A18" s="58"/>
      <c r="B18" s="58"/>
      <c r="C18" s="5" t="s">
        <v>30</v>
      </c>
      <c r="D18" s="2" t="s">
        <v>585</v>
      </c>
    </row>
    <row r="19" spans="1:6" ht="64.8" x14ac:dyDescent="0.55000000000000004">
      <c r="A19" s="58"/>
      <c r="B19" s="58"/>
      <c r="C19" s="5" t="s">
        <v>32</v>
      </c>
      <c r="D19" s="2" t="s">
        <v>586</v>
      </c>
    </row>
    <row r="20" spans="1:6" x14ac:dyDescent="0.55000000000000004">
      <c r="A20" s="59" t="s">
        <v>34</v>
      </c>
      <c r="B20" s="59"/>
      <c r="C20" s="5"/>
      <c r="D20" s="2" t="s">
        <v>35</v>
      </c>
    </row>
    <row r="21" spans="1:6" x14ac:dyDescent="0.55000000000000004">
      <c r="A21" s="58"/>
      <c r="B21" s="58"/>
      <c r="C21" s="5" t="s">
        <v>36</v>
      </c>
      <c r="D21" s="2">
        <v>34</v>
      </c>
    </row>
    <row r="22" spans="1:6" x14ac:dyDescent="0.55000000000000004">
      <c r="A22" s="58"/>
      <c r="B22" s="58"/>
      <c r="C22" s="5" t="s">
        <v>37</v>
      </c>
      <c r="D22" s="2">
        <v>34</v>
      </c>
    </row>
    <row r="23" spans="1:6" x14ac:dyDescent="0.55000000000000004">
      <c r="A23" s="58"/>
      <c r="B23" s="58"/>
      <c r="C23" s="5" t="s">
        <v>38</v>
      </c>
      <c r="D23" s="2">
        <v>34</v>
      </c>
    </row>
    <row r="24" spans="1:6" x14ac:dyDescent="0.55000000000000004">
      <c r="A24" s="58"/>
      <c r="B24" s="58"/>
      <c r="C24" s="5" t="s">
        <v>39</v>
      </c>
      <c r="D24" s="2">
        <v>0</v>
      </c>
    </row>
    <row r="25" spans="1:6" x14ac:dyDescent="0.55000000000000004">
      <c r="A25" s="58"/>
      <c r="B25" s="58"/>
      <c r="C25" s="5" t="s">
        <v>40</v>
      </c>
      <c r="D25" s="7">
        <f>16/34</f>
        <v>0.47058823529411764</v>
      </c>
      <c r="F25" s="10"/>
    </row>
    <row r="26" spans="1:6" x14ac:dyDescent="0.55000000000000004">
      <c r="A26" s="58"/>
      <c r="B26" s="58"/>
      <c r="C26" s="5" t="s">
        <v>41</v>
      </c>
      <c r="D26" s="2">
        <v>65.290000000000006</v>
      </c>
      <c r="F26" s="10"/>
    </row>
    <row r="27" spans="1:6" x14ac:dyDescent="0.55000000000000004">
      <c r="A27" s="58"/>
      <c r="B27" s="58"/>
      <c r="C27" s="5" t="s">
        <v>42</v>
      </c>
      <c r="D27" s="2">
        <v>8.7200000000000006</v>
      </c>
      <c r="F27" s="10"/>
    </row>
    <row r="28" spans="1:6" x14ac:dyDescent="0.55000000000000004">
      <c r="A28" s="58"/>
      <c r="B28" s="58"/>
      <c r="C28" s="5" t="s">
        <v>43</v>
      </c>
      <c r="D28" s="2" t="s">
        <v>20</v>
      </c>
      <c r="F28" s="10"/>
    </row>
    <row r="29" spans="1:6" x14ac:dyDescent="0.55000000000000004">
      <c r="A29" s="58"/>
      <c r="B29" s="58"/>
      <c r="C29" s="5" t="s">
        <v>44</v>
      </c>
      <c r="D29" s="2">
        <v>2.67</v>
      </c>
      <c r="E29" s="1" t="s">
        <v>51</v>
      </c>
      <c r="F29" s="10"/>
    </row>
    <row r="30" spans="1:6" x14ac:dyDescent="0.55000000000000004">
      <c r="A30" s="58"/>
      <c r="B30" s="58"/>
      <c r="C30" s="5" t="s">
        <v>45</v>
      </c>
      <c r="D30" s="2">
        <v>27.29</v>
      </c>
      <c r="F30" s="10"/>
    </row>
    <row r="31" spans="1:6" x14ac:dyDescent="0.55000000000000004">
      <c r="A31" s="58"/>
      <c r="B31" s="58"/>
      <c r="C31" s="5" t="s">
        <v>46</v>
      </c>
      <c r="D31" s="2">
        <v>7.56</v>
      </c>
      <c r="F31" s="10"/>
    </row>
    <row r="32" spans="1:6" x14ac:dyDescent="0.55000000000000004">
      <c r="A32" s="59" t="s">
        <v>47</v>
      </c>
      <c r="B32" s="59"/>
      <c r="C32" s="5"/>
      <c r="D32" s="2" t="s">
        <v>35</v>
      </c>
    </row>
    <row r="33" spans="1:11" ht="90.6" x14ac:dyDescent="0.55000000000000004">
      <c r="A33" s="58"/>
      <c r="B33" s="58"/>
      <c r="C33" s="5" t="s">
        <v>48</v>
      </c>
      <c r="D33" s="2" t="s">
        <v>587</v>
      </c>
    </row>
    <row r="34" spans="1:11" x14ac:dyDescent="0.55000000000000004">
      <c r="A34" s="59" t="s">
        <v>50</v>
      </c>
      <c r="B34" s="59"/>
      <c r="C34" s="5"/>
      <c r="D34" s="2"/>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9"/>
      <c r="B36" s="5" t="s">
        <v>59</v>
      </c>
      <c r="C36" s="5"/>
      <c r="D36" s="2"/>
    </row>
    <row r="37" spans="1:11" x14ac:dyDescent="0.55000000000000004">
      <c r="A37" s="59"/>
      <c r="B37" s="5"/>
      <c r="C37" s="5" t="s">
        <v>588</v>
      </c>
      <c r="D37" s="2">
        <v>10.59</v>
      </c>
      <c r="E37" s="1">
        <v>1.74</v>
      </c>
    </row>
    <row r="38" spans="1:11" x14ac:dyDescent="0.55000000000000004">
      <c r="A38" s="59"/>
      <c r="B38" s="5"/>
      <c r="C38" s="5" t="s">
        <v>589</v>
      </c>
      <c r="D38" s="2">
        <v>8.85</v>
      </c>
      <c r="E38" s="1">
        <v>2.19</v>
      </c>
    </row>
    <row r="39" spans="1:11" x14ac:dyDescent="0.55000000000000004">
      <c r="A39" s="59"/>
      <c r="B39" s="5"/>
      <c r="C39" s="5"/>
      <c r="D39" s="2"/>
    </row>
    <row r="40" spans="1:11" x14ac:dyDescent="0.55000000000000004">
      <c r="A40" s="59"/>
      <c r="B40" s="5"/>
      <c r="C40" s="5"/>
      <c r="D40" s="2"/>
    </row>
    <row r="41" spans="1:11" x14ac:dyDescent="0.55000000000000004">
      <c r="A41" s="59"/>
      <c r="B41" s="5"/>
      <c r="C41" s="5"/>
      <c r="D41" s="2"/>
    </row>
    <row r="42" spans="1:11" x14ac:dyDescent="0.55000000000000004">
      <c r="A42" s="59"/>
      <c r="B42" s="5"/>
      <c r="C42" s="5"/>
      <c r="D42" s="2"/>
    </row>
    <row r="43" spans="1:11" x14ac:dyDescent="0.55000000000000004">
      <c r="A43" s="59"/>
      <c r="B43" s="5"/>
      <c r="C43" s="5"/>
      <c r="D43" s="2"/>
    </row>
    <row r="44" spans="1:11" x14ac:dyDescent="0.55000000000000004">
      <c r="A44" s="59"/>
      <c r="B44" s="5"/>
      <c r="C44" s="5"/>
      <c r="D44" s="2"/>
    </row>
    <row r="45" spans="1:11" x14ac:dyDescent="0.55000000000000004">
      <c r="A45" s="59"/>
      <c r="B45" s="5" t="s">
        <v>61</v>
      </c>
      <c r="C45" s="5"/>
      <c r="D45" s="2"/>
    </row>
    <row r="46" spans="1:11" x14ac:dyDescent="0.55000000000000004">
      <c r="A46" s="59"/>
      <c r="B46" s="5"/>
    </row>
    <row r="47" spans="1:11" x14ac:dyDescent="0.55000000000000004">
      <c r="A47" s="59"/>
      <c r="B47" s="5"/>
    </row>
    <row r="48" spans="1:11" x14ac:dyDescent="0.55000000000000004">
      <c r="A48" s="59"/>
      <c r="B48" s="5"/>
      <c r="C48" s="5"/>
      <c r="D48" s="2"/>
    </row>
    <row r="49" spans="1:4" x14ac:dyDescent="0.55000000000000004">
      <c r="A49" s="59"/>
      <c r="B49" s="5"/>
      <c r="C49" s="5"/>
      <c r="D49" s="2"/>
    </row>
    <row r="50" spans="1:4" x14ac:dyDescent="0.55000000000000004">
      <c r="A50" s="59"/>
      <c r="B50" s="5"/>
      <c r="C50" s="5"/>
      <c r="D50" s="2"/>
    </row>
    <row r="51" spans="1:4" x14ac:dyDescent="0.55000000000000004">
      <c r="A51" s="59"/>
      <c r="B51" s="5"/>
      <c r="C51" s="5"/>
      <c r="D51" s="2"/>
    </row>
    <row r="52" spans="1:4" x14ac:dyDescent="0.55000000000000004">
      <c r="A52" s="59"/>
      <c r="B52" s="5"/>
      <c r="C52" s="5"/>
      <c r="D52" s="2"/>
    </row>
    <row r="53" spans="1:4" x14ac:dyDescent="0.55000000000000004">
      <c r="A53" s="59"/>
      <c r="B53" s="5"/>
      <c r="C53" s="5"/>
      <c r="D53" s="2"/>
    </row>
    <row r="54" spans="1:4" x14ac:dyDescent="0.55000000000000004">
      <c r="A54" s="59"/>
      <c r="B54" s="5"/>
      <c r="C54" s="5"/>
      <c r="D54" s="2"/>
    </row>
    <row r="55" spans="1:4" x14ac:dyDescent="0.55000000000000004">
      <c r="A55" s="59"/>
      <c r="B55" s="5"/>
      <c r="C55" s="5"/>
      <c r="D55" s="2"/>
    </row>
    <row r="56" spans="1:4" x14ac:dyDescent="0.55000000000000004">
      <c r="A56" s="59"/>
      <c r="B56" s="5"/>
      <c r="C56" s="5"/>
      <c r="D56" s="2"/>
    </row>
    <row r="57" spans="1:4" x14ac:dyDescent="0.55000000000000004">
      <c r="A57" s="59"/>
      <c r="B57" s="5"/>
      <c r="C57" s="5"/>
      <c r="D57" s="2"/>
    </row>
    <row r="58" spans="1:4" x14ac:dyDescent="0.55000000000000004">
      <c r="A58" s="59"/>
      <c r="B58" s="5"/>
      <c r="C58" s="5"/>
      <c r="D58" s="2"/>
    </row>
    <row r="59" spans="1:4" x14ac:dyDescent="0.55000000000000004">
      <c r="A59" s="59"/>
      <c r="B59" s="5"/>
      <c r="C59" s="5"/>
      <c r="D59" s="2"/>
    </row>
    <row r="60" spans="1:4" x14ac:dyDescent="0.55000000000000004">
      <c r="A60" s="59"/>
      <c r="B60" s="5"/>
      <c r="C60" s="5"/>
      <c r="D60" s="2"/>
    </row>
    <row r="61" spans="1:4" x14ac:dyDescent="0.55000000000000004">
      <c r="A61" s="59"/>
      <c r="B61" s="5"/>
      <c r="C61" s="5"/>
      <c r="D61" s="2"/>
    </row>
    <row r="62" spans="1:4" x14ac:dyDescent="0.55000000000000004">
      <c r="A62" s="59"/>
      <c r="B62" s="5"/>
    </row>
    <row r="63" spans="1:4" x14ac:dyDescent="0.55000000000000004">
      <c r="A63" s="59"/>
      <c r="B63" s="5"/>
      <c r="C63" s="5"/>
      <c r="D63" s="2"/>
    </row>
    <row r="64" spans="1:4" x14ac:dyDescent="0.55000000000000004">
      <c r="A64" s="59"/>
      <c r="B64" s="5"/>
      <c r="C64" s="5"/>
      <c r="D64" s="2"/>
    </row>
    <row r="65" spans="1:5" x14ac:dyDescent="0.55000000000000004">
      <c r="A65" s="59"/>
      <c r="B65" s="5" t="s">
        <v>62</v>
      </c>
      <c r="C65" s="5"/>
      <c r="D65" s="2" t="s">
        <v>20</v>
      </c>
    </row>
    <row r="66" spans="1:5" x14ac:dyDescent="0.55000000000000004">
      <c r="A66" s="59"/>
      <c r="B66" s="5" t="s">
        <v>63</v>
      </c>
      <c r="C66" s="5"/>
      <c r="D66" s="2" t="s">
        <v>247</v>
      </c>
    </row>
    <row r="67" spans="1:5" x14ac:dyDescent="0.55000000000000004">
      <c r="A67" s="59" t="s">
        <v>65</v>
      </c>
      <c r="B67" s="59"/>
      <c r="C67" s="5"/>
      <c r="D67" s="2"/>
    </row>
    <row r="68" spans="1:5" x14ac:dyDescent="0.55000000000000004">
      <c r="A68" s="3" t="s">
        <v>67</v>
      </c>
      <c r="D68" s="2"/>
    </row>
    <row r="69" spans="1:5" x14ac:dyDescent="0.55000000000000004">
      <c r="A69" s="3" t="s">
        <v>68</v>
      </c>
      <c r="C69" s="1">
        <v>20</v>
      </c>
      <c r="D69" s="1">
        <v>24</v>
      </c>
    </row>
    <row r="70" spans="1:5" x14ac:dyDescent="0.55000000000000004">
      <c r="B70" s="1" t="s">
        <v>94</v>
      </c>
    </row>
    <row r="71" spans="1:5" x14ac:dyDescent="0.55000000000000004">
      <c r="C71" s="5" t="s">
        <v>590</v>
      </c>
      <c r="D71" s="2">
        <v>34.96</v>
      </c>
      <c r="E71" s="1">
        <v>34.270000000000003</v>
      </c>
    </row>
    <row r="72" spans="1:5" x14ac:dyDescent="0.55000000000000004">
      <c r="C72" s="5" t="s">
        <v>590</v>
      </c>
      <c r="D72" s="1">
        <v>18.77</v>
      </c>
      <c r="E72" s="1">
        <v>22.61</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AMJ72"/>
  <sheetViews>
    <sheetView topLeftCell="A30" zoomScale="90" zoomScaleNormal="90" workbookViewId="0">
      <selection activeCell="E47" sqref="E47"/>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1024" width="11.41796875" style="1"/>
  </cols>
  <sheetData>
    <row r="1" spans="1:5" x14ac:dyDescent="0.55000000000000004">
      <c r="A1" s="3" t="s">
        <v>0</v>
      </c>
      <c r="D1" s="2" t="s">
        <v>323</v>
      </c>
    </row>
    <row r="2" spans="1:5" x14ac:dyDescent="0.55000000000000004">
      <c r="A2" s="58" t="s">
        <v>2</v>
      </c>
      <c r="B2" s="58"/>
      <c r="D2" s="1" t="s">
        <v>591</v>
      </c>
    </row>
    <row r="3" spans="1:5" x14ac:dyDescent="0.55000000000000004">
      <c r="A3" s="58"/>
      <c r="B3" s="58"/>
      <c r="C3" s="5" t="s">
        <v>4</v>
      </c>
      <c r="D3" s="2" t="s">
        <v>592</v>
      </c>
    </row>
    <row r="4" spans="1:5" x14ac:dyDescent="0.55000000000000004">
      <c r="A4" s="58"/>
      <c r="B4" s="58"/>
      <c r="C4" s="5" t="s">
        <v>6</v>
      </c>
      <c r="D4" s="2">
        <v>2008</v>
      </c>
    </row>
    <row r="5" spans="1:5" ht="26.1" x14ac:dyDescent="0.55000000000000004">
      <c r="A5" s="58"/>
      <c r="B5" s="58"/>
      <c r="C5" s="5" t="s">
        <v>7</v>
      </c>
      <c r="D5" s="2" t="s">
        <v>593</v>
      </c>
    </row>
    <row r="6" spans="1:5" x14ac:dyDescent="0.55000000000000004">
      <c r="A6" s="58"/>
      <c r="B6" s="58"/>
      <c r="C6" s="5" t="s">
        <v>9</v>
      </c>
      <c r="D6" s="2" t="s">
        <v>594</v>
      </c>
    </row>
    <row r="7" spans="1:5" x14ac:dyDescent="0.55000000000000004">
      <c r="A7" s="58"/>
      <c r="B7" s="58"/>
      <c r="C7" s="5" t="s">
        <v>11</v>
      </c>
      <c r="D7" s="2" t="s">
        <v>431</v>
      </c>
    </row>
    <row r="8" spans="1:5" x14ac:dyDescent="0.55000000000000004">
      <c r="A8" s="59" t="s">
        <v>13</v>
      </c>
      <c r="B8" s="59"/>
      <c r="C8" s="5"/>
    </row>
    <row r="9" spans="1:5" ht="26.1" x14ac:dyDescent="0.55000000000000004">
      <c r="A9" s="58"/>
      <c r="B9" s="58"/>
      <c r="C9" s="5" t="s">
        <v>14</v>
      </c>
      <c r="D9" s="2" t="s">
        <v>595</v>
      </c>
    </row>
    <row r="10" spans="1:5" x14ac:dyDescent="0.55000000000000004">
      <c r="A10" s="58"/>
      <c r="B10" s="58"/>
      <c r="C10" s="5" t="s">
        <v>16</v>
      </c>
      <c r="D10" s="2" t="s">
        <v>17</v>
      </c>
      <c r="E10" s="1" t="s">
        <v>18</v>
      </c>
    </row>
    <row r="11" spans="1:5" x14ac:dyDescent="0.55000000000000004">
      <c r="A11" s="58"/>
      <c r="B11" s="58"/>
      <c r="C11" s="5" t="s">
        <v>19</v>
      </c>
      <c r="D11" s="2" t="s">
        <v>20</v>
      </c>
    </row>
    <row r="12" spans="1:5" x14ac:dyDescent="0.55000000000000004">
      <c r="A12" s="58"/>
      <c r="B12" s="58"/>
      <c r="C12" s="5" t="s">
        <v>21</v>
      </c>
      <c r="D12" s="2" t="s">
        <v>20</v>
      </c>
    </row>
    <row r="13" spans="1:5" x14ac:dyDescent="0.55000000000000004">
      <c r="A13" s="58"/>
      <c r="B13" s="58"/>
      <c r="C13" s="5" t="s">
        <v>22</v>
      </c>
      <c r="D13" s="2" t="s">
        <v>20</v>
      </c>
    </row>
    <row r="14" spans="1:5" x14ac:dyDescent="0.55000000000000004">
      <c r="A14" s="59" t="s">
        <v>24</v>
      </c>
      <c r="B14" s="59"/>
      <c r="C14" s="5"/>
    </row>
    <row r="15" spans="1:5" x14ac:dyDescent="0.55000000000000004">
      <c r="A15" s="58"/>
      <c r="B15" s="58"/>
      <c r="C15" s="5" t="s">
        <v>25</v>
      </c>
      <c r="D15" s="2" t="s">
        <v>87</v>
      </c>
    </row>
    <row r="16" spans="1:5" x14ac:dyDescent="0.55000000000000004">
      <c r="A16" s="58"/>
      <c r="B16" s="58"/>
      <c r="C16" s="5" t="s">
        <v>27</v>
      </c>
      <c r="D16" s="2" t="s">
        <v>88</v>
      </c>
    </row>
    <row r="17" spans="1:4" x14ac:dyDescent="0.55000000000000004">
      <c r="A17" s="59" t="s">
        <v>29</v>
      </c>
      <c r="B17" s="59"/>
      <c r="C17" s="5"/>
    </row>
    <row r="18" spans="1:4" x14ac:dyDescent="0.55000000000000004">
      <c r="A18" s="58"/>
      <c r="B18" s="58"/>
      <c r="C18" s="5" t="s">
        <v>30</v>
      </c>
      <c r="D18" s="2" t="s">
        <v>20</v>
      </c>
    </row>
    <row r="19" spans="1:4" x14ac:dyDescent="0.55000000000000004">
      <c r="A19" s="58"/>
      <c r="B19" s="58"/>
      <c r="C19" s="5" t="s">
        <v>32</v>
      </c>
      <c r="D19" s="2" t="s">
        <v>20</v>
      </c>
    </row>
    <row r="20" spans="1:4" x14ac:dyDescent="0.55000000000000004">
      <c r="A20" s="59" t="s">
        <v>34</v>
      </c>
      <c r="B20" s="59"/>
      <c r="C20" s="5"/>
      <c r="D20" s="2" t="s">
        <v>35</v>
      </c>
    </row>
    <row r="21" spans="1:4" x14ac:dyDescent="0.55000000000000004">
      <c r="A21" s="58"/>
      <c r="B21" s="58"/>
      <c r="C21" s="5" t="s">
        <v>36</v>
      </c>
      <c r="D21" s="2">
        <v>754</v>
      </c>
    </row>
    <row r="22" spans="1:4" x14ac:dyDescent="0.55000000000000004">
      <c r="A22" s="58"/>
      <c r="B22" s="58"/>
      <c r="C22" s="5" t="s">
        <v>37</v>
      </c>
      <c r="D22" s="2">
        <v>545</v>
      </c>
    </row>
    <row r="23" spans="1:4" x14ac:dyDescent="0.55000000000000004">
      <c r="A23" s="58"/>
      <c r="B23" s="58"/>
      <c r="C23" s="5" t="s">
        <v>38</v>
      </c>
      <c r="D23" s="2">
        <v>545</v>
      </c>
    </row>
    <row r="24" spans="1:4" x14ac:dyDescent="0.55000000000000004">
      <c r="A24" s="58"/>
      <c r="B24" s="58"/>
      <c r="C24" s="5" t="s">
        <v>39</v>
      </c>
    </row>
    <row r="25" spans="1:4" x14ac:dyDescent="0.55000000000000004">
      <c r="A25" s="58"/>
      <c r="B25" s="58"/>
      <c r="C25" s="5" t="s">
        <v>40</v>
      </c>
      <c r="D25" s="2">
        <f>0.37</f>
        <v>0.37</v>
      </c>
    </row>
    <row r="26" spans="1:4" x14ac:dyDescent="0.55000000000000004">
      <c r="A26" s="58"/>
      <c r="B26" s="58"/>
      <c r="C26" s="5" t="s">
        <v>41</v>
      </c>
      <c r="D26" s="2">
        <v>68.400000000000006</v>
      </c>
    </row>
    <row r="27" spans="1:4" x14ac:dyDescent="0.55000000000000004">
      <c r="A27" s="58"/>
      <c r="B27" s="58"/>
      <c r="C27" s="5" t="s">
        <v>42</v>
      </c>
      <c r="D27" s="2">
        <v>9.3000000000000007</v>
      </c>
    </row>
    <row r="28" spans="1:4" x14ac:dyDescent="0.55000000000000004">
      <c r="A28" s="58"/>
      <c r="B28" s="58"/>
      <c r="C28" s="5" t="s">
        <v>43</v>
      </c>
    </row>
    <row r="29" spans="1:4" x14ac:dyDescent="0.55000000000000004">
      <c r="A29" s="58"/>
      <c r="B29" s="58"/>
      <c r="C29" s="5" t="s">
        <v>44</v>
      </c>
      <c r="D29" s="2">
        <v>2</v>
      </c>
    </row>
    <row r="30" spans="1:4" x14ac:dyDescent="0.55000000000000004">
      <c r="A30" s="58"/>
      <c r="B30" s="58"/>
      <c r="C30" s="5" t="s">
        <v>45</v>
      </c>
      <c r="D30" s="2" t="s">
        <v>20</v>
      </c>
    </row>
    <row r="31" spans="1:4" x14ac:dyDescent="0.55000000000000004">
      <c r="A31" s="58"/>
      <c r="B31" s="58"/>
      <c r="C31" s="5" t="s">
        <v>46</v>
      </c>
      <c r="D31" s="2" t="s">
        <v>20</v>
      </c>
    </row>
    <row r="32" spans="1:4" x14ac:dyDescent="0.55000000000000004">
      <c r="A32" s="59" t="s">
        <v>47</v>
      </c>
      <c r="B32" s="59"/>
      <c r="C32" s="5"/>
    </row>
    <row r="33" spans="1:11" ht="39" x14ac:dyDescent="0.55000000000000004">
      <c r="A33" s="58"/>
      <c r="B33" s="58"/>
      <c r="C33" s="5" t="s">
        <v>48</v>
      </c>
      <c r="D33" s="2" t="s">
        <v>596</v>
      </c>
    </row>
    <row r="34" spans="1:11" x14ac:dyDescent="0.55000000000000004">
      <c r="A34" s="59" t="s">
        <v>50</v>
      </c>
      <c r="B34" s="59"/>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9"/>
      <c r="B36" s="5" t="s">
        <v>59</v>
      </c>
      <c r="C36" s="5"/>
    </row>
    <row r="37" spans="1:11" x14ac:dyDescent="0.55000000000000004">
      <c r="A37" s="59"/>
      <c r="B37" s="5"/>
    </row>
    <row r="38" spans="1:11" x14ac:dyDescent="0.55000000000000004">
      <c r="A38" s="59"/>
      <c r="B38" s="5"/>
    </row>
    <row r="39" spans="1:11" x14ac:dyDescent="0.55000000000000004">
      <c r="A39" s="59"/>
      <c r="B39" s="5"/>
      <c r="C39" s="5"/>
      <c r="D39" s="7"/>
      <c r="E39" s="10"/>
    </row>
    <row r="40" spans="1:11" x14ac:dyDescent="0.55000000000000004">
      <c r="A40" s="59"/>
      <c r="B40" s="5"/>
      <c r="C40" s="5"/>
      <c r="D40" s="7"/>
      <c r="E40" s="10"/>
    </row>
    <row r="41" spans="1:11" x14ac:dyDescent="0.55000000000000004">
      <c r="A41" s="59"/>
      <c r="B41" s="5"/>
      <c r="C41" s="5"/>
      <c r="D41" s="7"/>
      <c r="E41" s="10"/>
    </row>
    <row r="42" spans="1:11" x14ac:dyDescent="0.55000000000000004">
      <c r="A42" s="59"/>
      <c r="B42" s="5"/>
      <c r="C42" s="5"/>
      <c r="D42" s="7"/>
      <c r="E42" s="10"/>
    </row>
    <row r="43" spans="1:11" x14ac:dyDescent="0.55000000000000004">
      <c r="A43" s="59"/>
      <c r="B43" s="5"/>
      <c r="C43" s="5"/>
      <c r="D43" s="7"/>
      <c r="E43" s="10"/>
    </row>
    <row r="44" spans="1:11" x14ac:dyDescent="0.55000000000000004">
      <c r="A44" s="59"/>
      <c r="B44" s="5"/>
      <c r="C44" s="5"/>
      <c r="D44" s="7"/>
      <c r="E44" s="10"/>
    </row>
    <row r="45" spans="1:11" x14ac:dyDescent="0.55000000000000004">
      <c r="A45" s="59"/>
      <c r="B45" s="5" t="s">
        <v>61</v>
      </c>
      <c r="C45" s="5"/>
      <c r="D45" s="7"/>
      <c r="E45" s="10"/>
    </row>
    <row r="46" spans="1:11" x14ac:dyDescent="0.55000000000000004">
      <c r="A46" s="59"/>
      <c r="B46" s="5"/>
      <c r="C46" s="5" t="s">
        <v>597</v>
      </c>
      <c r="D46" s="7">
        <v>1.74300932090546</v>
      </c>
      <c r="E46" s="10">
        <v>1.2640449438202199</v>
      </c>
    </row>
    <row r="47" spans="1:11" x14ac:dyDescent="0.55000000000000004">
      <c r="A47" s="59"/>
      <c r="B47" s="5"/>
      <c r="C47" s="5" t="s">
        <v>598</v>
      </c>
      <c r="D47" s="7">
        <v>0.87092198581560298</v>
      </c>
      <c r="E47" s="10">
        <v>0.96886904890965997</v>
      </c>
    </row>
    <row r="48" spans="1:11" x14ac:dyDescent="0.55000000000000004">
      <c r="A48" s="59"/>
      <c r="B48" s="5"/>
      <c r="C48" s="5" t="s">
        <v>79</v>
      </c>
      <c r="D48" s="2">
        <v>1</v>
      </c>
    </row>
    <row r="49" spans="1:3" x14ac:dyDescent="0.55000000000000004">
      <c r="A49" s="59"/>
      <c r="B49" s="5"/>
    </row>
    <row r="50" spans="1:3" x14ac:dyDescent="0.55000000000000004">
      <c r="A50" s="59"/>
      <c r="B50" s="5"/>
    </row>
    <row r="51" spans="1:3" x14ac:dyDescent="0.55000000000000004">
      <c r="A51" s="59"/>
      <c r="B51" s="5"/>
    </row>
    <row r="52" spans="1:3" x14ac:dyDescent="0.55000000000000004">
      <c r="A52" s="59"/>
      <c r="B52" s="5"/>
    </row>
    <row r="53" spans="1:3" x14ac:dyDescent="0.55000000000000004">
      <c r="A53" s="59"/>
      <c r="B53" s="5"/>
    </row>
    <row r="54" spans="1:3" x14ac:dyDescent="0.55000000000000004">
      <c r="A54" s="59"/>
      <c r="B54" s="5"/>
      <c r="C54" s="5"/>
    </row>
    <row r="55" spans="1:3" x14ac:dyDescent="0.55000000000000004">
      <c r="A55" s="59"/>
      <c r="B55" s="5"/>
      <c r="C55" s="5"/>
    </row>
    <row r="56" spans="1:3" x14ac:dyDescent="0.55000000000000004">
      <c r="A56" s="59"/>
      <c r="B56" s="5"/>
      <c r="C56" s="5"/>
    </row>
    <row r="57" spans="1:3" x14ac:dyDescent="0.55000000000000004">
      <c r="A57" s="59"/>
      <c r="B57" s="5"/>
      <c r="C57" s="5"/>
    </row>
    <row r="58" spans="1:3" x14ac:dyDescent="0.55000000000000004">
      <c r="A58" s="59"/>
      <c r="B58" s="5"/>
      <c r="C58" s="5"/>
    </row>
    <row r="59" spans="1:3" x14ac:dyDescent="0.55000000000000004">
      <c r="A59" s="59"/>
      <c r="B59" s="5"/>
      <c r="C59" s="5"/>
    </row>
    <row r="60" spans="1:3" x14ac:dyDescent="0.55000000000000004">
      <c r="A60" s="59"/>
      <c r="B60" s="5"/>
      <c r="C60" s="5"/>
    </row>
    <row r="61" spans="1:3" x14ac:dyDescent="0.55000000000000004">
      <c r="A61" s="59"/>
      <c r="B61" s="5"/>
      <c r="C61" s="5"/>
    </row>
    <row r="62" spans="1:3" x14ac:dyDescent="0.55000000000000004">
      <c r="A62" s="59"/>
      <c r="B62" s="5"/>
      <c r="C62" s="5"/>
    </row>
    <row r="63" spans="1:3" x14ac:dyDescent="0.55000000000000004">
      <c r="A63" s="59"/>
      <c r="B63" s="5"/>
      <c r="C63" s="5"/>
    </row>
    <row r="64" spans="1:3" x14ac:dyDescent="0.55000000000000004">
      <c r="A64" s="59"/>
      <c r="B64" s="5"/>
      <c r="C64" s="5"/>
    </row>
    <row r="65" spans="1:5" x14ac:dyDescent="0.55000000000000004">
      <c r="A65" s="59"/>
      <c r="B65" s="5" t="s">
        <v>62</v>
      </c>
      <c r="C65" s="5"/>
      <c r="D65" s="2">
        <f>4*30</f>
        <v>120</v>
      </c>
    </row>
    <row r="66" spans="1:5" x14ac:dyDescent="0.55000000000000004">
      <c r="A66" s="59"/>
      <c r="B66" s="5" t="s">
        <v>63</v>
      </c>
      <c r="C66" s="5"/>
      <c r="D66" s="2" t="s">
        <v>20</v>
      </c>
    </row>
    <row r="67" spans="1:5" x14ac:dyDescent="0.55000000000000004">
      <c r="A67" s="59" t="s">
        <v>65</v>
      </c>
      <c r="B67" s="59"/>
      <c r="C67" s="5"/>
    </row>
    <row r="68" spans="1:5" x14ac:dyDescent="0.55000000000000004">
      <c r="A68" s="3" t="s">
        <v>67</v>
      </c>
    </row>
    <row r="69" spans="1:5" x14ac:dyDescent="0.55000000000000004">
      <c r="A69" s="1" t="s">
        <v>68</v>
      </c>
      <c r="C69" s="1">
        <v>11</v>
      </c>
      <c r="D69" s="2">
        <v>20</v>
      </c>
    </row>
    <row r="70" spans="1:5" x14ac:dyDescent="0.55000000000000004">
      <c r="B70" s="1" t="s">
        <v>94</v>
      </c>
    </row>
    <row r="71" spans="1:5" x14ac:dyDescent="0.55000000000000004">
      <c r="C71" s="5" t="s">
        <v>599</v>
      </c>
      <c r="D71" s="7">
        <v>18.216180371352799</v>
      </c>
      <c r="E71" s="7">
        <v>9.1467379496003804</v>
      </c>
    </row>
    <row r="72" spans="1:5" x14ac:dyDescent="0.55000000000000004">
      <c r="C72" s="5" t="s">
        <v>600</v>
      </c>
      <c r="D72" s="10">
        <v>13.1498673740053</v>
      </c>
      <c r="E72" s="10">
        <v>8.9871751378582605</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AMJ74"/>
  <sheetViews>
    <sheetView zoomScale="90" zoomScaleNormal="90" workbookViewId="0">
      <selection activeCell="C71" sqref="C71"/>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7.15625" style="1" customWidth="1"/>
    <col min="6" max="6" width="5.15625" style="1" customWidth="1"/>
    <col min="7" max="1024" width="11.41796875" style="1"/>
  </cols>
  <sheetData>
    <row r="1" spans="1:5" x14ac:dyDescent="0.55000000000000004">
      <c r="A1" s="3" t="s">
        <v>0</v>
      </c>
      <c r="D1" s="2" t="s">
        <v>372</v>
      </c>
    </row>
    <row r="2" spans="1:5" ht="26.1" x14ac:dyDescent="0.55000000000000004">
      <c r="A2" s="58" t="s">
        <v>2</v>
      </c>
      <c r="B2" s="58"/>
      <c r="D2" s="2" t="s">
        <v>601</v>
      </c>
    </row>
    <row r="3" spans="1:5" x14ac:dyDescent="0.55000000000000004">
      <c r="A3" s="58"/>
      <c r="B3" s="58"/>
      <c r="C3" s="5" t="s">
        <v>4</v>
      </c>
      <c r="D3" s="2" t="s">
        <v>602</v>
      </c>
    </row>
    <row r="4" spans="1:5" x14ac:dyDescent="0.55000000000000004">
      <c r="A4" s="58"/>
      <c r="B4" s="58"/>
      <c r="C4" s="5" t="s">
        <v>6</v>
      </c>
      <c r="D4" s="2">
        <v>2019</v>
      </c>
    </row>
    <row r="5" spans="1:5" ht="26.1" x14ac:dyDescent="0.55000000000000004">
      <c r="A5" s="58"/>
      <c r="B5" s="58"/>
      <c r="C5" s="5" t="s">
        <v>7</v>
      </c>
      <c r="D5" s="2" t="s">
        <v>603</v>
      </c>
    </row>
    <row r="6" spans="1:5" x14ac:dyDescent="0.55000000000000004">
      <c r="A6" s="58"/>
      <c r="B6" s="58"/>
      <c r="C6" s="5" t="s">
        <v>9</v>
      </c>
      <c r="D6" s="2" t="s">
        <v>604</v>
      </c>
    </row>
    <row r="7" spans="1:5" x14ac:dyDescent="0.55000000000000004">
      <c r="A7" s="58"/>
      <c r="B7" s="58"/>
      <c r="C7" s="5" t="s">
        <v>11</v>
      </c>
      <c r="D7" s="2" t="s">
        <v>12</v>
      </c>
    </row>
    <row r="8" spans="1:5" x14ac:dyDescent="0.55000000000000004">
      <c r="A8" s="59" t="s">
        <v>13</v>
      </c>
      <c r="B8" s="59"/>
      <c r="C8" s="5"/>
    </row>
    <row r="9" spans="1:5" ht="26.1" x14ac:dyDescent="0.55000000000000004">
      <c r="A9" s="58"/>
      <c r="B9" s="58"/>
      <c r="C9" s="5" t="s">
        <v>14</v>
      </c>
      <c r="D9" s="2" t="s">
        <v>605</v>
      </c>
    </row>
    <row r="10" spans="1:5" x14ac:dyDescent="0.55000000000000004">
      <c r="A10" s="58"/>
      <c r="B10" s="58"/>
      <c r="C10" s="5" t="s">
        <v>16</v>
      </c>
      <c r="D10" s="2" t="s">
        <v>165</v>
      </c>
      <c r="E10" s="1" t="s">
        <v>606</v>
      </c>
    </row>
    <row r="11" spans="1:5" x14ac:dyDescent="0.55000000000000004">
      <c r="A11" s="58"/>
      <c r="B11" s="58"/>
      <c r="C11" s="5" t="s">
        <v>19</v>
      </c>
      <c r="D11" s="21">
        <v>42826</v>
      </c>
    </row>
    <row r="12" spans="1:5" x14ac:dyDescent="0.55000000000000004">
      <c r="A12" s="58"/>
      <c r="B12" s="58"/>
      <c r="C12" s="5" t="s">
        <v>21</v>
      </c>
      <c r="D12" s="21">
        <v>43252</v>
      </c>
    </row>
    <row r="13" spans="1:5" x14ac:dyDescent="0.55000000000000004">
      <c r="A13" s="58"/>
      <c r="B13" s="58"/>
      <c r="C13" s="5" t="s">
        <v>22</v>
      </c>
      <c r="D13" s="2" t="s">
        <v>20</v>
      </c>
    </row>
    <row r="14" spans="1:5" x14ac:dyDescent="0.55000000000000004">
      <c r="A14" s="59" t="s">
        <v>24</v>
      </c>
      <c r="B14" s="59"/>
      <c r="C14" s="5"/>
    </row>
    <row r="15" spans="1:5" x14ac:dyDescent="0.55000000000000004">
      <c r="A15" s="58"/>
      <c r="B15" s="58"/>
      <c r="C15" s="5" t="s">
        <v>25</v>
      </c>
      <c r="D15" s="2" t="s">
        <v>607</v>
      </c>
    </row>
    <row r="16" spans="1:5" ht="26.1" x14ac:dyDescent="0.55000000000000004">
      <c r="A16" s="58"/>
      <c r="B16" s="58"/>
      <c r="C16" s="5" t="s">
        <v>27</v>
      </c>
      <c r="D16" s="2" t="s">
        <v>608</v>
      </c>
    </row>
    <row r="17" spans="1:6" x14ac:dyDescent="0.55000000000000004">
      <c r="A17" s="59" t="s">
        <v>29</v>
      </c>
      <c r="B17" s="59"/>
      <c r="C17" s="5"/>
    </row>
    <row r="18" spans="1:6" ht="26.1" x14ac:dyDescent="0.55000000000000004">
      <c r="A18" s="58"/>
      <c r="B18" s="58"/>
      <c r="C18" s="5" t="s">
        <v>30</v>
      </c>
      <c r="D18" s="2" t="s">
        <v>609</v>
      </c>
    </row>
    <row r="19" spans="1:6" ht="26.1" x14ac:dyDescent="0.55000000000000004">
      <c r="A19" s="58"/>
      <c r="B19" s="58"/>
      <c r="C19" s="5" t="s">
        <v>32</v>
      </c>
      <c r="D19" s="2" t="s">
        <v>610</v>
      </c>
    </row>
    <row r="20" spans="1:6" x14ac:dyDescent="0.55000000000000004">
      <c r="A20" s="59" t="s">
        <v>34</v>
      </c>
      <c r="B20" s="59"/>
      <c r="C20" s="5"/>
      <c r="D20" s="2" t="s">
        <v>611</v>
      </c>
      <c r="E20" s="1" t="s">
        <v>612</v>
      </c>
      <c r="F20" s="1" t="s">
        <v>35</v>
      </c>
    </row>
    <row r="21" spans="1:6" x14ac:dyDescent="0.55000000000000004">
      <c r="A21" s="58"/>
      <c r="B21" s="58"/>
      <c r="C21" s="5" t="s">
        <v>36</v>
      </c>
      <c r="D21" s="2">
        <v>15</v>
      </c>
      <c r="E21" s="1">
        <v>12</v>
      </c>
      <c r="F21" s="1">
        <f>SUM(D21:E21)</f>
        <v>27</v>
      </c>
    </row>
    <row r="22" spans="1:6" x14ac:dyDescent="0.55000000000000004">
      <c r="A22" s="58"/>
      <c r="B22" s="58"/>
      <c r="C22" s="5" t="s">
        <v>37</v>
      </c>
      <c r="D22" s="2">
        <v>11</v>
      </c>
      <c r="E22" s="1">
        <v>10</v>
      </c>
      <c r="F22" s="1">
        <f>SUM(D22:E22)</f>
        <v>21</v>
      </c>
    </row>
    <row r="23" spans="1:6" x14ac:dyDescent="0.55000000000000004">
      <c r="A23" s="58"/>
      <c r="B23" s="58"/>
      <c r="C23" s="5" t="s">
        <v>38</v>
      </c>
      <c r="D23" s="2">
        <v>11</v>
      </c>
      <c r="E23" s="1">
        <v>10</v>
      </c>
      <c r="F23" s="1">
        <f>SUM(D23:E23)</f>
        <v>21</v>
      </c>
    </row>
    <row r="24" spans="1:6" x14ac:dyDescent="0.55000000000000004">
      <c r="A24" s="58"/>
      <c r="B24" s="58"/>
      <c r="C24" s="5" t="s">
        <v>39</v>
      </c>
      <c r="D24" s="2">
        <v>4</v>
      </c>
      <c r="E24" s="1">
        <v>2</v>
      </c>
      <c r="F24" s="1">
        <f>SUM(D24:E24)</f>
        <v>6</v>
      </c>
    </row>
    <row r="25" spans="1:6" x14ac:dyDescent="0.55000000000000004">
      <c r="A25" s="58"/>
      <c r="B25" s="58"/>
      <c r="C25" s="5" t="s">
        <v>40</v>
      </c>
      <c r="D25" s="7">
        <f>7/D23</f>
        <v>0.63636363636363635</v>
      </c>
      <c r="E25" s="10">
        <f>2/E23</f>
        <v>0.2</v>
      </c>
      <c r="F25" s="10">
        <f>9/F23</f>
        <v>0.42857142857142855</v>
      </c>
    </row>
    <row r="26" spans="1:6" x14ac:dyDescent="0.55000000000000004">
      <c r="A26" s="58"/>
      <c r="B26" s="58"/>
      <c r="C26" s="5" t="s">
        <v>41</v>
      </c>
      <c r="D26" s="7">
        <v>67.819999999999993</v>
      </c>
      <c r="E26" s="10">
        <v>67.400000000000006</v>
      </c>
      <c r="F26" s="10">
        <f>(D26*D23+E26*E23)/F23</f>
        <v>67.62</v>
      </c>
    </row>
    <row r="27" spans="1:6" x14ac:dyDescent="0.55000000000000004">
      <c r="A27" s="58"/>
      <c r="B27" s="58"/>
      <c r="C27" s="5" t="s">
        <v>42</v>
      </c>
      <c r="D27" s="7">
        <v>9.64</v>
      </c>
      <c r="E27" s="10">
        <v>6.81</v>
      </c>
      <c r="F27" s="10">
        <f>SQRT((D23*(D27^2+(D26-F$26)^2)+E23*(E27^2+(E26-F$26)^2))/(D23+E23))</f>
        <v>8.4145865416351064</v>
      </c>
    </row>
    <row r="28" spans="1:6" x14ac:dyDescent="0.55000000000000004">
      <c r="A28" s="58"/>
      <c r="B28" s="58"/>
      <c r="C28" s="5" t="s">
        <v>43</v>
      </c>
    </row>
    <row r="29" spans="1:6" x14ac:dyDescent="0.55000000000000004">
      <c r="A29" s="58"/>
      <c r="B29" s="58"/>
      <c r="C29" s="5" t="s">
        <v>44</v>
      </c>
      <c r="D29" s="2">
        <v>2</v>
      </c>
      <c r="E29" s="1">
        <v>2</v>
      </c>
      <c r="F29" s="1">
        <v>2</v>
      </c>
    </row>
    <row r="30" spans="1:6" x14ac:dyDescent="0.55000000000000004">
      <c r="A30" s="58"/>
      <c r="B30" s="58"/>
      <c r="C30" s="5" t="s">
        <v>45</v>
      </c>
    </row>
    <row r="31" spans="1:6" x14ac:dyDescent="0.55000000000000004">
      <c r="A31" s="58"/>
      <c r="B31" s="58"/>
      <c r="C31" s="5" t="s">
        <v>46</v>
      </c>
    </row>
    <row r="32" spans="1:6" x14ac:dyDescent="0.55000000000000004">
      <c r="A32" s="59" t="s">
        <v>47</v>
      </c>
      <c r="B32" s="59"/>
      <c r="C32" s="5"/>
    </row>
    <row r="33" spans="1:11" ht="64.8" x14ac:dyDescent="0.55000000000000004">
      <c r="A33" s="58"/>
      <c r="B33" s="58"/>
      <c r="C33" s="5" t="s">
        <v>48</v>
      </c>
      <c r="D33" s="2" t="s">
        <v>613</v>
      </c>
    </row>
    <row r="34" spans="1:11" x14ac:dyDescent="0.55000000000000004">
      <c r="A34" s="59" t="s">
        <v>50</v>
      </c>
      <c r="B34" s="59"/>
      <c r="C34" s="5"/>
    </row>
    <row r="35" spans="1:11" x14ac:dyDescent="0.55000000000000004">
      <c r="A35" s="8"/>
      <c r="B35" s="8"/>
      <c r="C35" s="5"/>
    </row>
    <row r="36" spans="1:11" x14ac:dyDescent="0.55000000000000004">
      <c r="A36" s="59"/>
      <c r="B36" s="5" t="s">
        <v>59</v>
      </c>
      <c r="C36" s="5"/>
      <c r="D36" s="2" t="s">
        <v>51</v>
      </c>
      <c r="E36" s="1" t="s">
        <v>52</v>
      </c>
      <c r="F36" s="1" t="s">
        <v>53</v>
      </c>
      <c r="G36" s="1" t="s">
        <v>54</v>
      </c>
      <c r="H36" s="1" t="s">
        <v>55</v>
      </c>
      <c r="I36" s="1" t="s">
        <v>56</v>
      </c>
      <c r="J36" s="1" t="s">
        <v>57</v>
      </c>
      <c r="K36" s="1" t="s">
        <v>58</v>
      </c>
    </row>
    <row r="37" spans="1:11" x14ac:dyDescent="0.55000000000000004">
      <c r="A37" s="59"/>
      <c r="B37" s="5"/>
    </row>
    <row r="38" spans="1:11" x14ac:dyDescent="0.55000000000000004">
      <c r="A38" s="59"/>
      <c r="B38" s="5"/>
    </row>
    <row r="39" spans="1:11" x14ac:dyDescent="0.55000000000000004">
      <c r="A39" s="59"/>
      <c r="B39" s="5"/>
    </row>
    <row r="40" spans="1:11" x14ac:dyDescent="0.55000000000000004">
      <c r="A40" s="59"/>
      <c r="B40" s="5"/>
    </row>
    <row r="41" spans="1:11" x14ac:dyDescent="0.55000000000000004">
      <c r="A41" s="59"/>
      <c r="B41" s="5"/>
    </row>
    <row r="42" spans="1:11" x14ac:dyDescent="0.55000000000000004">
      <c r="A42" s="59"/>
      <c r="B42" s="5"/>
    </row>
    <row r="43" spans="1:11" x14ac:dyDescent="0.55000000000000004">
      <c r="A43" s="59"/>
      <c r="B43" s="5"/>
    </row>
    <row r="44" spans="1:11" x14ac:dyDescent="0.55000000000000004">
      <c r="A44" s="59"/>
      <c r="B44" s="5"/>
    </row>
    <row r="45" spans="1:11" x14ac:dyDescent="0.55000000000000004">
      <c r="A45" s="59"/>
      <c r="B45" s="5" t="s">
        <v>61</v>
      </c>
      <c r="C45" s="5"/>
    </row>
    <row r="46" spans="1:11" x14ac:dyDescent="0.55000000000000004">
      <c r="A46" s="59"/>
      <c r="B46" s="5"/>
      <c r="C46" s="5" t="s">
        <v>614</v>
      </c>
      <c r="D46" s="7">
        <v>70.7</v>
      </c>
      <c r="E46" s="10">
        <v>88.9</v>
      </c>
    </row>
    <row r="47" spans="1:11" x14ac:dyDescent="0.55000000000000004">
      <c r="A47" s="59"/>
      <c r="B47" s="5"/>
      <c r="C47" s="5" t="s">
        <v>615</v>
      </c>
      <c r="D47" s="7">
        <v>25.7</v>
      </c>
      <c r="E47" s="10">
        <v>32.9</v>
      </c>
    </row>
    <row r="48" spans="1:11" x14ac:dyDescent="0.55000000000000004">
      <c r="A48" s="59"/>
      <c r="B48" s="5"/>
      <c r="C48" s="5" t="s">
        <v>616</v>
      </c>
      <c r="D48" s="7">
        <v>76.599999999999994</v>
      </c>
      <c r="E48" s="10">
        <v>134.6</v>
      </c>
    </row>
    <row r="49" spans="1:5" x14ac:dyDescent="0.55000000000000004">
      <c r="A49" s="59"/>
      <c r="B49" s="5"/>
      <c r="C49" s="5" t="s">
        <v>617</v>
      </c>
      <c r="D49" s="7">
        <v>76.099999999999994</v>
      </c>
      <c r="E49" s="10">
        <v>145.5</v>
      </c>
    </row>
    <row r="50" spans="1:5" x14ac:dyDescent="0.55000000000000004">
      <c r="A50" s="59"/>
      <c r="B50" s="5"/>
    </row>
    <row r="51" spans="1:5" x14ac:dyDescent="0.55000000000000004">
      <c r="A51" s="59"/>
      <c r="B51" s="5"/>
    </row>
    <row r="52" spans="1:5" x14ac:dyDescent="0.55000000000000004">
      <c r="A52" s="59"/>
      <c r="B52" s="5"/>
    </row>
    <row r="53" spans="1:5" x14ac:dyDescent="0.55000000000000004">
      <c r="A53" s="59"/>
      <c r="B53" s="5"/>
    </row>
    <row r="54" spans="1:5" x14ac:dyDescent="0.55000000000000004">
      <c r="A54" s="59"/>
      <c r="B54" s="5"/>
      <c r="C54" s="5"/>
    </row>
    <row r="55" spans="1:5" x14ac:dyDescent="0.55000000000000004">
      <c r="A55" s="59"/>
      <c r="B55" s="5"/>
      <c r="C55" s="5"/>
    </row>
    <row r="56" spans="1:5" x14ac:dyDescent="0.55000000000000004">
      <c r="A56" s="59"/>
      <c r="B56" s="5"/>
      <c r="C56" s="5"/>
    </row>
    <row r="57" spans="1:5" x14ac:dyDescent="0.55000000000000004">
      <c r="A57" s="59"/>
      <c r="B57" s="5"/>
      <c r="C57" s="5"/>
    </row>
    <row r="58" spans="1:5" x14ac:dyDescent="0.55000000000000004">
      <c r="A58" s="59"/>
      <c r="B58" s="5"/>
      <c r="C58" s="5"/>
    </row>
    <row r="59" spans="1:5" x14ac:dyDescent="0.55000000000000004">
      <c r="A59" s="59"/>
      <c r="B59" s="5"/>
      <c r="C59" s="5"/>
    </row>
    <row r="60" spans="1:5" x14ac:dyDescent="0.55000000000000004">
      <c r="A60" s="59"/>
      <c r="B60" s="5"/>
      <c r="C60" s="5"/>
    </row>
    <row r="61" spans="1:5" x14ac:dyDescent="0.55000000000000004">
      <c r="A61" s="59"/>
      <c r="B61" s="5"/>
      <c r="C61" s="5"/>
    </row>
    <row r="62" spans="1:5" x14ac:dyDescent="0.55000000000000004">
      <c r="A62" s="59"/>
      <c r="B62" s="5"/>
      <c r="C62" s="5"/>
    </row>
    <row r="63" spans="1:5" x14ac:dyDescent="0.55000000000000004">
      <c r="A63" s="59"/>
      <c r="B63" s="5"/>
      <c r="C63" s="5"/>
    </row>
    <row r="64" spans="1:5" x14ac:dyDescent="0.55000000000000004">
      <c r="A64" s="59"/>
      <c r="B64" s="5"/>
      <c r="C64" s="5"/>
    </row>
    <row r="65" spans="1:5" x14ac:dyDescent="0.55000000000000004">
      <c r="A65" s="59"/>
      <c r="B65" s="5" t="s">
        <v>62</v>
      </c>
      <c r="C65" s="5"/>
      <c r="D65" s="2">
        <v>42</v>
      </c>
    </row>
    <row r="66" spans="1:5" x14ac:dyDescent="0.55000000000000004">
      <c r="A66" s="59"/>
      <c r="B66" s="5" t="s">
        <v>63</v>
      </c>
      <c r="C66" s="5"/>
      <c r="D66" s="2" t="s">
        <v>618</v>
      </c>
    </row>
    <row r="67" spans="1:5" x14ac:dyDescent="0.55000000000000004">
      <c r="A67" s="59" t="s">
        <v>65</v>
      </c>
      <c r="B67" s="59"/>
      <c r="C67" s="5"/>
    </row>
    <row r="68" spans="1:5" x14ac:dyDescent="0.55000000000000004">
      <c r="A68" s="3" t="s">
        <v>67</v>
      </c>
    </row>
    <row r="69" spans="1:5" x14ac:dyDescent="0.55000000000000004">
      <c r="A69" s="1" t="s">
        <v>68</v>
      </c>
      <c r="C69" s="1">
        <v>21</v>
      </c>
      <c r="D69" s="2">
        <v>22</v>
      </c>
    </row>
    <row r="70" spans="1:5" x14ac:dyDescent="0.55000000000000004">
      <c r="B70" s="1" t="s">
        <v>94</v>
      </c>
    </row>
    <row r="71" spans="1:5" x14ac:dyDescent="0.55000000000000004">
      <c r="C71" s="5" t="s">
        <v>619</v>
      </c>
      <c r="D71" s="7">
        <v>3.97</v>
      </c>
      <c r="E71" s="10">
        <v>3.46</v>
      </c>
    </row>
    <row r="72" spans="1:5" x14ac:dyDescent="0.55000000000000004">
      <c r="C72" s="5" t="s">
        <v>620</v>
      </c>
      <c r="D72" s="7">
        <v>3.37</v>
      </c>
      <c r="E72" s="10">
        <v>1.46</v>
      </c>
    </row>
    <row r="73" spans="1:5" x14ac:dyDescent="0.55000000000000004">
      <c r="C73" s="5" t="s">
        <v>621</v>
      </c>
      <c r="D73" s="7">
        <v>3.38</v>
      </c>
      <c r="E73" s="10">
        <v>1.36</v>
      </c>
    </row>
    <row r="74" spans="1:5" x14ac:dyDescent="0.55000000000000004">
      <c r="C74" s="5" t="s">
        <v>622</v>
      </c>
      <c r="D74" s="7">
        <v>3.14</v>
      </c>
      <c r="E74" s="10">
        <v>1.1200000000000001</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AMJ69"/>
  <sheetViews>
    <sheetView topLeftCell="A15" zoomScale="90" zoomScaleNormal="90" workbookViewId="0">
      <selection activeCell="E37" sqref="E37"/>
    </sheetView>
  </sheetViews>
  <sheetFormatPr baseColWidth="10" defaultColWidth="11.41796875" defaultRowHeight="14.4" x14ac:dyDescent="0.55000000000000004"/>
  <cols>
    <col min="1" max="1" width="9.83984375" style="1" customWidth="1"/>
    <col min="2" max="2" width="17.41796875" style="1" customWidth="1"/>
    <col min="3" max="3" width="42.15625" style="1" customWidth="1"/>
    <col min="4" max="4" width="55.83984375" style="2" customWidth="1"/>
    <col min="5" max="5" width="6.15625" style="1" customWidth="1"/>
    <col min="6" max="6" width="6.41796875" style="1" customWidth="1"/>
    <col min="7" max="1024" width="11.41796875" style="1"/>
  </cols>
  <sheetData>
    <row r="1" spans="1:4" x14ac:dyDescent="0.55000000000000004">
      <c r="A1" s="3" t="s">
        <v>0</v>
      </c>
      <c r="D1" s="2" t="s">
        <v>269</v>
      </c>
    </row>
    <row r="2" spans="1:4" ht="26.1" x14ac:dyDescent="0.55000000000000004">
      <c r="A2" s="58" t="s">
        <v>2</v>
      </c>
      <c r="B2" s="58"/>
      <c r="D2" s="2" t="s">
        <v>623</v>
      </c>
    </row>
    <row r="3" spans="1:4" x14ac:dyDescent="0.55000000000000004">
      <c r="A3" s="58"/>
      <c r="B3" s="58"/>
      <c r="C3" s="5" t="s">
        <v>4</v>
      </c>
      <c r="D3" s="2" t="s">
        <v>624</v>
      </c>
    </row>
    <row r="4" spans="1:4" x14ac:dyDescent="0.55000000000000004">
      <c r="A4" s="58"/>
      <c r="B4" s="58"/>
      <c r="C4" s="5" t="s">
        <v>6</v>
      </c>
      <c r="D4" s="2">
        <v>2011</v>
      </c>
    </row>
    <row r="5" spans="1:4" x14ac:dyDescent="0.55000000000000004">
      <c r="A5" s="58"/>
      <c r="B5" s="58"/>
      <c r="C5" s="5" t="s">
        <v>7</v>
      </c>
      <c r="D5" s="2" t="s">
        <v>625</v>
      </c>
    </row>
    <row r="6" spans="1:4" x14ac:dyDescent="0.55000000000000004">
      <c r="A6" s="58"/>
      <c r="B6" s="58"/>
      <c r="C6" s="5" t="s">
        <v>9</v>
      </c>
      <c r="D6" s="2" t="s">
        <v>468</v>
      </c>
    </row>
    <row r="7" spans="1:4" x14ac:dyDescent="0.55000000000000004">
      <c r="A7" s="58"/>
      <c r="B7" s="58"/>
      <c r="C7" s="5" t="s">
        <v>11</v>
      </c>
      <c r="D7" s="2" t="s">
        <v>12</v>
      </c>
    </row>
    <row r="8" spans="1:4" x14ac:dyDescent="0.55000000000000004">
      <c r="A8" s="59" t="s">
        <v>13</v>
      </c>
      <c r="B8" s="59"/>
      <c r="C8" s="5"/>
    </row>
    <row r="9" spans="1:4" x14ac:dyDescent="0.55000000000000004">
      <c r="A9" s="58"/>
      <c r="B9" s="58"/>
      <c r="C9" s="5" t="s">
        <v>14</v>
      </c>
      <c r="D9" s="2" t="s">
        <v>626</v>
      </c>
    </row>
    <row r="10" spans="1:4" x14ac:dyDescent="0.55000000000000004">
      <c r="A10" s="58"/>
      <c r="B10" s="58"/>
      <c r="C10" s="5" t="s">
        <v>16</v>
      </c>
      <c r="D10" s="2" t="s">
        <v>454</v>
      </c>
    </row>
    <row r="11" spans="1:4" x14ac:dyDescent="0.55000000000000004">
      <c r="A11" s="58"/>
      <c r="B11" s="58"/>
      <c r="C11" s="5" t="s">
        <v>19</v>
      </c>
      <c r="D11" s="2" t="s">
        <v>20</v>
      </c>
    </row>
    <row r="12" spans="1:4" x14ac:dyDescent="0.55000000000000004">
      <c r="A12" s="58"/>
      <c r="B12" s="58"/>
      <c r="C12" s="5" t="s">
        <v>21</v>
      </c>
      <c r="D12" s="2" t="s">
        <v>20</v>
      </c>
    </row>
    <row r="13" spans="1:4" x14ac:dyDescent="0.55000000000000004">
      <c r="A13" s="58"/>
      <c r="B13" s="58"/>
      <c r="C13" s="5" t="s">
        <v>22</v>
      </c>
      <c r="D13" s="2" t="s">
        <v>20</v>
      </c>
    </row>
    <row r="14" spans="1:4" x14ac:dyDescent="0.55000000000000004">
      <c r="A14" s="59" t="s">
        <v>24</v>
      </c>
      <c r="B14" s="59"/>
      <c r="C14" s="5"/>
    </row>
    <row r="15" spans="1:4" x14ac:dyDescent="0.55000000000000004">
      <c r="A15" s="58"/>
      <c r="B15" s="58"/>
      <c r="C15" s="5" t="s">
        <v>25</v>
      </c>
      <c r="D15" s="2" t="s">
        <v>87</v>
      </c>
    </row>
    <row r="16" spans="1:4" x14ac:dyDescent="0.55000000000000004">
      <c r="A16" s="58"/>
      <c r="B16" s="58"/>
      <c r="C16" s="5" t="s">
        <v>27</v>
      </c>
      <c r="D16" s="2" t="s">
        <v>627</v>
      </c>
    </row>
    <row r="17" spans="1:6" x14ac:dyDescent="0.55000000000000004">
      <c r="A17" s="59" t="s">
        <v>29</v>
      </c>
      <c r="B17" s="59"/>
      <c r="C17" s="5"/>
    </row>
    <row r="18" spans="1:6" x14ac:dyDescent="0.55000000000000004">
      <c r="A18" s="58"/>
      <c r="B18" s="58"/>
      <c r="C18" s="5" t="s">
        <v>30</v>
      </c>
      <c r="D18" s="2" t="s">
        <v>31</v>
      </c>
    </row>
    <row r="19" spans="1:6" ht="26.1" x14ac:dyDescent="0.55000000000000004">
      <c r="A19" s="58"/>
      <c r="B19" s="58"/>
      <c r="C19" s="5" t="s">
        <v>32</v>
      </c>
      <c r="D19" s="2" t="s">
        <v>628</v>
      </c>
    </row>
    <row r="20" spans="1:6" x14ac:dyDescent="0.55000000000000004">
      <c r="A20" s="59" t="s">
        <v>34</v>
      </c>
      <c r="B20" s="59"/>
      <c r="C20" s="5"/>
      <c r="D20" s="2" t="s">
        <v>629</v>
      </c>
      <c r="E20" s="1" t="s">
        <v>612</v>
      </c>
      <c r="F20" s="1" t="s">
        <v>35</v>
      </c>
    </row>
    <row r="21" spans="1:6" x14ac:dyDescent="0.55000000000000004">
      <c r="A21" s="58"/>
      <c r="B21" s="58"/>
      <c r="C21" s="5" t="s">
        <v>36</v>
      </c>
      <c r="D21" s="2">
        <v>19</v>
      </c>
      <c r="E21" s="1">
        <v>17</v>
      </c>
      <c r="F21" s="2">
        <v>36</v>
      </c>
    </row>
    <row r="22" spans="1:6" x14ac:dyDescent="0.55000000000000004">
      <c r="A22" s="58"/>
      <c r="B22" s="58"/>
      <c r="C22" s="5" t="s">
        <v>37</v>
      </c>
      <c r="D22" s="2" t="s">
        <v>20</v>
      </c>
      <c r="E22" s="1" t="s">
        <v>20</v>
      </c>
      <c r="F22" s="2">
        <v>36</v>
      </c>
    </row>
    <row r="23" spans="1:6" x14ac:dyDescent="0.55000000000000004">
      <c r="A23" s="58"/>
      <c r="B23" s="58"/>
      <c r="C23" s="5" t="s">
        <v>38</v>
      </c>
      <c r="D23" s="2">
        <v>19</v>
      </c>
      <c r="E23" s="1">
        <v>17</v>
      </c>
      <c r="F23" s="2">
        <v>35</v>
      </c>
    </row>
    <row r="24" spans="1:6" x14ac:dyDescent="0.55000000000000004">
      <c r="A24" s="58"/>
      <c r="B24" s="58"/>
      <c r="C24" s="5" t="s">
        <v>39</v>
      </c>
      <c r="D24" s="2" t="s">
        <v>20</v>
      </c>
      <c r="E24" s="1" t="s">
        <v>20</v>
      </c>
      <c r="F24" s="2">
        <v>1</v>
      </c>
    </row>
    <row r="25" spans="1:6" x14ac:dyDescent="0.55000000000000004">
      <c r="A25" s="58"/>
      <c r="B25" s="58"/>
      <c r="C25" s="5" t="s">
        <v>40</v>
      </c>
      <c r="D25" s="7">
        <f>4/15</f>
        <v>0.26666666666666666</v>
      </c>
      <c r="E25" s="10">
        <f>3/14</f>
        <v>0.21428571428571427</v>
      </c>
      <c r="F25" s="10">
        <f>((3/14)*17+(4/15)*19)/36</f>
        <v>0.24193121693121691</v>
      </c>
    </row>
    <row r="26" spans="1:6" x14ac:dyDescent="0.55000000000000004">
      <c r="A26" s="58"/>
      <c r="B26" s="58"/>
      <c r="C26" s="5" t="s">
        <v>41</v>
      </c>
      <c r="D26" s="7">
        <v>70.099999999999994</v>
      </c>
      <c r="E26" s="10">
        <v>68.599999999999994</v>
      </c>
      <c r="F26" s="10">
        <f>((D26*17)+(E26*19))/F21</f>
        <v>69.308333333333323</v>
      </c>
    </row>
    <row r="27" spans="1:6" x14ac:dyDescent="0.55000000000000004">
      <c r="A27" s="58"/>
      <c r="B27" s="58"/>
      <c r="C27" s="5" t="s">
        <v>42</v>
      </c>
      <c r="D27" s="7">
        <v>4.2699999999999996</v>
      </c>
      <c r="E27" s="10">
        <v>4.04</v>
      </c>
      <c r="F27" s="10">
        <f>SQRT((D23*(D27^2+(D26-F$26)^2)+E23*(E27^2+(E26-F$26)^2))/(D23+E23))</f>
        <v>4.2306087032482687</v>
      </c>
    </row>
    <row r="28" spans="1:6" x14ac:dyDescent="0.55000000000000004">
      <c r="A28" s="58"/>
      <c r="B28" s="58"/>
      <c r="C28" s="5" t="s">
        <v>43</v>
      </c>
    </row>
    <row r="29" spans="1:6" x14ac:dyDescent="0.55000000000000004">
      <c r="A29" s="58"/>
      <c r="B29" s="58"/>
      <c r="C29" s="5" t="s">
        <v>44</v>
      </c>
    </row>
    <row r="30" spans="1:6" x14ac:dyDescent="0.55000000000000004">
      <c r="A30" s="58"/>
      <c r="B30" s="58"/>
      <c r="C30" s="5" t="s">
        <v>45</v>
      </c>
    </row>
    <row r="31" spans="1:6" x14ac:dyDescent="0.55000000000000004">
      <c r="A31" s="58"/>
      <c r="B31" s="58"/>
      <c r="C31" s="5" t="s">
        <v>46</v>
      </c>
    </row>
    <row r="32" spans="1:6" x14ac:dyDescent="0.55000000000000004">
      <c r="A32" s="59" t="s">
        <v>47</v>
      </c>
      <c r="B32" s="59"/>
      <c r="C32" s="5"/>
    </row>
    <row r="33" spans="1:11" ht="64.8" x14ac:dyDescent="0.55000000000000004">
      <c r="A33" s="58"/>
      <c r="B33" s="58"/>
      <c r="C33" s="5" t="s">
        <v>48</v>
      </c>
      <c r="D33" s="2" t="s">
        <v>630</v>
      </c>
    </row>
    <row r="34" spans="1:11" x14ac:dyDescent="0.55000000000000004">
      <c r="A34" s="59" t="s">
        <v>50</v>
      </c>
      <c r="B34" s="59"/>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9"/>
      <c r="B36" s="5" t="s">
        <v>59</v>
      </c>
      <c r="C36" s="5"/>
    </row>
    <row r="37" spans="1:11" x14ac:dyDescent="0.55000000000000004">
      <c r="A37" s="59"/>
      <c r="B37" s="5"/>
      <c r="C37" s="5" t="s">
        <v>474</v>
      </c>
      <c r="D37" s="7">
        <v>3.23404255319149</v>
      </c>
      <c r="E37" s="10">
        <f>F37*SQRT(19)</f>
        <v>4.0806713513997472</v>
      </c>
      <c r="F37" s="10">
        <f>4.17021276595744-3.23404255319149</f>
        <v>0.93617021276594992</v>
      </c>
    </row>
    <row r="38" spans="1:11" x14ac:dyDescent="0.55000000000000004">
      <c r="A38" s="59"/>
      <c r="B38" s="5"/>
      <c r="C38" s="5" t="s">
        <v>475</v>
      </c>
      <c r="D38" s="7">
        <f>1.61702127659574</f>
        <v>1.6170212765957399</v>
      </c>
      <c r="E38" s="10">
        <f>F38*SQRT(19)</f>
        <v>4.451641474254302</v>
      </c>
      <c r="F38" s="10">
        <f>2.63829787234042-1.61702127659574</f>
        <v>1.0212765957446801</v>
      </c>
    </row>
    <row r="39" spans="1:11" x14ac:dyDescent="0.55000000000000004">
      <c r="A39" s="59"/>
      <c r="B39" s="5"/>
      <c r="C39" s="5" t="s">
        <v>631</v>
      </c>
      <c r="D39" s="7">
        <v>2.08426966292134</v>
      </c>
      <c r="E39" s="10">
        <f>F39*SQRT(17)</f>
        <v>5.9993503204211986</v>
      </c>
      <c r="F39" s="10">
        <f>3.53932584269662-2.08426966292134</f>
        <v>1.4550561797752799</v>
      </c>
    </row>
    <row r="40" spans="1:11" x14ac:dyDescent="0.55000000000000004">
      <c r="A40" s="59"/>
      <c r="B40" s="5"/>
      <c r="C40" s="5" t="s">
        <v>632</v>
      </c>
      <c r="D40" s="7">
        <v>2.1629213483146001</v>
      </c>
      <c r="E40" s="10">
        <f>F40*SQRT(17)</f>
        <v>6.3236395269304602</v>
      </c>
      <c r="F40" s="10">
        <f>3.69662921348314-2.1629213483146</f>
        <v>1.5337078651685401</v>
      </c>
    </row>
    <row r="41" spans="1:11" x14ac:dyDescent="0.55000000000000004">
      <c r="A41" s="59"/>
      <c r="B41" s="5"/>
      <c r="C41" s="5"/>
    </row>
    <row r="42" spans="1:11" x14ac:dyDescent="0.55000000000000004">
      <c r="A42" s="59"/>
      <c r="B42" s="5"/>
      <c r="C42" s="5"/>
    </row>
    <row r="43" spans="1:11" x14ac:dyDescent="0.55000000000000004">
      <c r="A43" s="59"/>
      <c r="B43" s="5"/>
      <c r="C43" s="5"/>
    </row>
    <row r="44" spans="1:11" x14ac:dyDescent="0.55000000000000004">
      <c r="A44" s="59"/>
      <c r="B44" s="5"/>
      <c r="C44" s="5"/>
    </row>
    <row r="45" spans="1:11" x14ac:dyDescent="0.55000000000000004">
      <c r="A45" s="59"/>
      <c r="B45" s="5" t="s">
        <v>61</v>
      </c>
      <c r="C45" s="5"/>
    </row>
    <row r="46" spans="1:11" x14ac:dyDescent="0.55000000000000004">
      <c r="A46" s="59"/>
      <c r="B46" s="5"/>
      <c r="C46" s="5"/>
    </row>
    <row r="47" spans="1:11" x14ac:dyDescent="0.55000000000000004">
      <c r="A47" s="59"/>
      <c r="B47" s="5"/>
      <c r="C47" s="5"/>
    </row>
    <row r="48" spans="1:11" x14ac:dyDescent="0.55000000000000004">
      <c r="A48" s="59"/>
      <c r="B48" s="5"/>
      <c r="C48" s="5"/>
    </row>
    <row r="49" spans="1:3" x14ac:dyDescent="0.55000000000000004">
      <c r="A49" s="59"/>
      <c r="B49" s="5"/>
      <c r="C49" s="5"/>
    </row>
    <row r="50" spans="1:3" x14ac:dyDescent="0.55000000000000004">
      <c r="A50" s="59"/>
      <c r="B50" s="5"/>
      <c r="C50" s="5"/>
    </row>
    <row r="51" spans="1:3" x14ac:dyDescent="0.55000000000000004">
      <c r="A51" s="59"/>
      <c r="B51" s="5"/>
      <c r="C51" s="5"/>
    </row>
    <row r="52" spans="1:3" x14ac:dyDescent="0.55000000000000004">
      <c r="A52" s="59"/>
      <c r="B52" s="5"/>
      <c r="C52" s="5"/>
    </row>
    <row r="53" spans="1:3" x14ac:dyDescent="0.55000000000000004">
      <c r="A53" s="59"/>
      <c r="B53" s="5"/>
      <c r="C53" s="5"/>
    </row>
    <row r="54" spans="1:3" x14ac:dyDescent="0.55000000000000004">
      <c r="A54" s="59"/>
      <c r="B54" s="5"/>
      <c r="C54" s="5"/>
    </row>
    <row r="55" spans="1:3" x14ac:dyDescent="0.55000000000000004">
      <c r="A55" s="59"/>
      <c r="B55" s="5"/>
      <c r="C55" s="5"/>
    </row>
    <row r="56" spans="1:3" x14ac:dyDescent="0.55000000000000004">
      <c r="A56" s="59"/>
      <c r="B56" s="5"/>
      <c r="C56" s="5"/>
    </row>
    <row r="57" spans="1:3" x14ac:dyDescent="0.55000000000000004">
      <c r="A57" s="59"/>
      <c r="B57" s="5"/>
      <c r="C57" s="5"/>
    </row>
    <row r="58" spans="1:3" x14ac:dyDescent="0.55000000000000004">
      <c r="A58" s="59"/>
      <c r="B58" s="5"/>
      <c r="C58" s="5"/>
    </row>
    <row r="59" spans="1:3" x14ac:dyDescent="0.55000000000000004">
      <c r="A59" s="59"/>
      <c r="B59" s="5"/>
      <c r="C59" s="5"/>
    </row>
    <row r="60" spans="1:3" x14ac:dyDescent="0.55000000000000004">
      <c r="A60" s="59"/>
      <c r="B60" s="5"/>
      <c r="C60" s="5"/>
    </row>
    <row r="61" spans="1:3" x14ac:dyDescent="0.55000000000000004">
      <c r="A61" s="59"/>
      <c r="B61" s="5"/>
      <c r="C61" s="5"/>
    </row>
    <row r="62" spans="1:3" x14ac:dyDescent="0.55000000000000004">
      <c r="A62" s="59"/>
      <c r="B62" s="5"/>
      <c r="C62" s="5"/>
    </row>
    <row r="63" spans="1:3" x14ac:dyDescent="0.55000000000000004">
      <c r="A63" s="59"/>
      <c r="B63" s="5"/>
      <c r="C63" s="5"/>
    </row>
    <row r="64" spans="1:3" x14ac:dyDescent="0.55000000000000004">
      <c r="A64" s="59"/>
      <c r="B64" s="5"/>
      <c r="C64" s="5"/>
    </row>
    <row r="65" spans="1:4" x14ac:dyDescent="0.55000000000000004">
      <c r="A65" s="59"/>
      <c r="B65" s="5" t="s">
        <v>62</v>
      </c>
      <c r="C65" s="5"/>
      <c r="D65" s="2">
        <v>5</v>
      </c>
    </row>
    <row r="66" spans="1:4" x14ac:dyDescent="0.55000000000000004">
      <c r="A66" s="59"/>
      <c r="B66" s="5" t="s">
        <v>63</v>
      </c>
      <c r="C66" s="5"/>
      <c r="D66" s="2" t="s">
        <v>633</v>
      </c>
    </row>
    <row r="67" spans="1:4" x14ac:dyDescent="0.55000000000000004">
      <c r="A67" s="59" t="s">
        <v>65</v>
      </c>
      <c r="B67" s="59"/>
      <c r="C67" s="5"/>
    </row>
    <row r="68" spans="1:4" x14ac:dyDescent="0.55000000000000004">
      <c r="A68" s="3" t="s">
        <v>67</v>
      </c>
    </row>
    <row r="69" spans="1:4" x14ac:dyDescent="0.55000000000000004">
      <c r="A69" s="1" t="s">
        <v>68</v>
      </c>
      <c r="C69" s="1">
        <v>25</v>
      </c>
      <c r="D69" s="2">
        <v>26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AMJ69"/>
  <sheetViews>
    <sheetView topLeftCell="A16" zoomScale="90" zoomScaleNormal="90" workbookViewId="0">
      <selection activeCell="E37" sqref="E37"/>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23.83984375" style="1" customWidth="1"/>
    <col min="6" max="1024" width="11.41796875" style="1"/>
  </cols>
  <sheetData>
    <row r="1" spans="1:5" x14ac:dyDescent="0.55000000000000004">
      <c r="A1" s="3" t="s">
        <v>0</v>
      </c>
      <c r="D1" s="2" t="s">
        <v>269</v>
      </c>
    </row>
    <row r="2" spans="1:5" x14ac:dyDescent="0.55000000000000004">
      <c r="A2" s="58" t="s">
        <v>2</v>
      </c>
      <c r="B2" s="58"/>
      <c r="D2" s="2" t="s">
        <v>634</v>
      </c>
    </row>
    <row r="3" spans="1:5" x14ac:dyDescent="0.55000000000000004">
      <c r="A3" s="58"/>
      <c r="B3" s="58"/>
      <c r="C3" s="5" t="s">
        <v>4</v>
      </c>
      <c r="D3" s="2" t="s">
        <v>635</v>
      </c>
    </row>
    <row r="4" spans="1:5" x14ac:dyDescent="0.55000000000000004">
      <c r="A4" s="58"/>
      <c r="B4" s="58"/>
      <c r="C4" s="5" t="s">
        <v>6</v>
      </c>
      <c r="D4" s="2">
        <v>2009</v>
      </c>
    </row>
    <row r="5" spans="1:5" ht="26.1" x14ac:dyDescent="0.55000000000000004">
      <c r="A5" s="58"/>
      <c r="B5" s="58"/>
      <c r="C5" s="5" t="s">
        <v>7</v>
      </c>
      <c r="D5" s="2" t="s">
        <v>636</v>
      </c>
    </row>
    <row r="6" spans="1:5" x14ac:dyDescent="0.55000000000000004">
      <c r="A6" s="58"/>
      <c r="B6" s="58"/>
      <c r="C6" s="5" t="s">
        <v>9</v>
      </c>
      <c r="D6" s="2" t="s">
        <v>468</v>
      </c>
    </row>
    <row r="7" spans="1:5" x14ac:dyDescent="0.55000000000000004">
      <c r="A7" s="58"/>
      <c r="B7" s="58"/>
      <c r="C7" s="5" t="s">
        <v>11</v>
      </c>
      <c r="D7" s="2" t="s">
        <v>12</v>
      </c>
    </row>
    <row r="8" spans="1:5" x14ac:dyDescent="0.55000000000000004">
      <c r="A8" s="59" t="s">
        <v>13</v>
      </c>
      <c r="B8" s="59"/>
      <c r="C8" s="5"/>
    </row>
    <row r="9" spans="1:5" ht="26.1" x14ac:dyDescent="0.55000000000000004">
      <c r="A9" s="58"/>
      <c r="B9" s="58"/>
      <c r="C9" s="5" t="s">
        <v>14</v>
      </c>
      <c r="D9" s="2" t="s">
        <v>637</v>
      </c>
    </row>
    <row r="10" spans="1:5" x14ac:dyDescent="0.55000000000000004">
      <c r="A10" s="58"/>
      <c r="B10" s="58"/>
      <c r="C10" s="5" t="s">
        <v>16</v>
      </c>
      <c r="D10" s="2" t="s">
        <v>454</v>
      </c>
      <c r="E10" s="1" t="s">
        <v>496</v>
      </c>
    </row>
    <row r="11" spans="1:5" x14ac:dyDescent="0.55000000000000004">
      <c r="A11" s="58"/>
      <c r="B11" s="58"/>
      <c r="C11" s="5" t="s">
        <v>19</v>
      </c>
      <c r="D11" s="2" t="s">
        <v>20</v>
      </c>
    </row>
    <row r="12" spans="1:5" x14ac:dyDescent="0.55000000000000004">
      <c r="A12" s="58"/>
      <c r="B12" s="58"/>
      <c r="C12" s="5" t="s">
        <v>21</v>
      </c>
      <c r="D12" s="2" t="s">
        <v>20</v>
      </c>
    </row>
    <row r="13" spans="1:5" x14ac:dyDescent="0.55000000000000004">
      <c r="A13" s="58"/>
      <c r="B13" s="58"/>
      <c r="C13" s="5" t="s">
        <v>22</v>
      </c>
      <c r="D13" s="2" t="s">
        <v>20</v>
      </c>
    </row>
    <row r="14" spans="1:5" x14ac:dyDescent="0.55000000000000004">
      <c r="A14" s="59" t="s">
        <v>24</v>
      </c>
      <c r="B14" s="59"/>
      <c r="C14" s="5"/>
    </row>
    <row r="15" spans="1:5" x14ac:dyDescent="0.55000000000000004">
      <c r="A15" s="58"/>
      <c r="B15" s="58"/>
      <c r="C15" s="5" t="s">
        <v>25</v>
      </c>
      <c r="D15" s="2" t="s">
        <v>26</v>
      </c>
    </row>
    <row r="16" spans="1:5" ht="26.1" x14ac:dyDescent="0.55000000000000004">
      <c r="A16" s="58"/>
      <c r="B16" s="58"/>
      <c r="C16" s="5" t="s">
        <v>27</v>
      </c>
      <c r="D16" s="2" t="s">
        <v>638</v>
      </c>
    </row>
    <row r="17" spans="1:4" x14ac:dyDescent="0.55000000000000004">
      <c r="A17" s="59" t="s">
        <v>29</v>
      </c>
      <c r="B17" s="59"/>
      <c r="C17" s="5"/>
    </row>
    <row r="18" spans="1:4" x14ac:dyDescent="0.55000000000000004">
      <c r="A18" s="58"/>
      <c r="B18" s="58"/>
      <c r="C18" s="5" t="s">
        <v>30</v>
      </c>
      <c r="D18" s="2" t="s">
        <v>31</v>
      </c>
    </row>
    <row r="19" spans="1:4" x14ac:dyDescent="0.55000000000000004">
      <c r="A19" s="58"/>
      <c r="B19" s="58"/>
      <c r="C19" s="5" t="s">
        <v>32</v>
      </c>
      <c r="D19" s="2" t="s">
        <v>639</v>
      </c>
    </row>
    <row r="20" spans="1:4" x14ac:dyDescent="0.55000000000000004">
      <c r="A20" s="59" t="s">
        <v>34</v>
      </c>
      <c r="B20" s="59"/>
      <c r="C20" s="5"/>
      <c r="D20" s="2" t="s">
        <v>35</v>
      </c>
    </row>
    <row r="21" spans="1:4" x14ac:dyDescent="0.55000000000000004">
      <c r="A21" s="58"/>
      <c r="B21" s="58"/>
      <c r="C21" s="5" t="s">
        <v>36</v>
      </c>
      <c r="D21" s="2">
        <v>40</v>
      </c>
    </row>
    <row r="22" spans="1:4" x14ac:dyDescent="0.55000000000000004">
      <c r="A22" s="58"/>
      <c r="B22" s="58"/>
      <c r="C22" s="5" t="s">
        <v>37</v>
      </c>
    </row>
    <row r="23" spans="1:4" x14ac:dyDescent="0.55000000000000004">
      <c r="A23" s="58"/>
      <c r="B23" s="58"/>
      <c r="C23" s="5" t="s">
        <v>38</v>
      </c>
    </row>
    <row r="24" spans="1:4" x14ac:dyDescent="0.55000000000000004">
      <c r="A24" s="58"/>
      <c r="B24" s="58"/>
      <c r="C24" s="5" t="s">
        <v>39</v>
      </c>
    </row>
    <row r="25" spans="1:4" x14ac:dyDescent="0.55000000000000004">
      <c r="A25" s="58"/>
      <c r="B25" s="58"/>
      <c r="C25" s="5" t="s">
        <v>40</v>
      </c>
      <c r="D25" s="7">
        <v>37.5</v>
      </c>
    </row>
    <row r="26" spans="1:4" x14ac:dyDescent="0.55000000000000004">
      <c r="A26" s="58"/>
      <c r="B26" s="58"/>
      <c r="C26" s="5" t="s">
        <v>41</v>
      </c>
      <c r="D26" s="7">
        <v>65.400000000000006</v>
      </c>
    </row>
    <row r="27" spans="1:4" x14ac:dyDescent="0.55000000000000004">
      <c r="A27" s="58"/>
      <c r="B27" s="58"/>
      <c r="C27" s="5" t="s">
        <v>42</v>
      </c>
      <c r="D27" s="7">
        <v>9.9</v>
      </c>
    </row>
    <row r="28" spans="1:4" x14ac:dyDescent="0.55000000000000004">
      <c r="A28" s="58"/>
      <c r="B28" s="58"/>
      <c r="C28" s="5" t="s">
        <v>43</v>
      </c>
    </row>
    <row r="29" spans="1:4" x14ac:dyDescent="0.55000000000000004">
      <c r="A29" s="58"/>
      <c r="B29" s="58"/>
      <c r="C29" s="5" t="s">
        <v>44</v>
      </c>
    </row>
    <row r="30" spans="1:4" x14ac:dyDescent="0.55000000000000004">
      <c r="A30" s="58"/>
      <c r="B30" s="58"/>
      <c r="C30" s="5" t="s">
        <v>45</v>
      </c>
    </row>
    <row r="31" spans="1:4" x14ac:dyDescent="0.55000000000000004">
      <c r="A31" s="58"/>
      <c r="B31" s="58"/>
      <c r="C31" s="5" t="s">
        <v>46</v>
      </c>
    </row>
    <row r="32" spans="1:4" x14ac:dyDescent="0.55000000000000004">
      <c r="A32" s="59" t="s">
        <v>47</v>
      </c>
      <c r="B32" s="59"/>
      <c r="C32" s="5"/>
    </row>
    <row r="33" spans="1:11" ht="77.7" x14ac:dyDescent="0.55000000000000004">
      <c r="A33" s="58"/>
      <c r="B33" s="58"/>
      <c r="C33" s="5" t="s">
        <v>48</v>
      </c>
      <c r="D33" s="2" t="s">
        <v>640</v>
      </c>
    </row>
    <row r="34" spans="1:11" x14ac:dyDescent="0.55000000000000004">
      <c r="A34" s="59" t="s">
        <v>50</v>
      </c>
      <c r="B34" s="59"/>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9"/>
      <c r="B36" s="5" t="s">
        <v>59</v>
      </c>
      <c r="C36" s="5"/>
    </row>
    <row r="37" spans="1:11" x14ac:dyDescent="0.55000000000000004">
      <c r="A37" s="59"/>
      <c r="B37" s="5"/>
      <c r="C37" s="5" t="s">
        <v>641</v>
      </c>
      <c r="D37" s="7">
        <v>1.20779816513761</v>
      </c>
      <c r="E37" s="10">
        <v>0.19128440366972099</v>
      </c>
    </row>
    <row r="38" spans="1:11" x14ac:dyDescent="0.55000000000000004">
      <c r="A38" s="59"/>
      <c r="B38" s="5"/>
      <c r="C38" s="5" t="s">
        <v>642</v>
      </c>
      <c r="D38" s="7">
        <v>0.58165137614678897</v>
      </c>
      <c r="E38" s="10">
        <v>0.18577981651376099</v>
      </c>
    </row>
    <row r="39" spans="1:11" x14ac:dyDescent="0.55000000000000004">
      <c r="A39" s="59"/>
      <c r="B39" s="5"/>
      <c r="C39" s="5"/>
    </row>
    <row r="40" spans="1:11" x14ac:dyDescent="0.55000000000000004">
      <c r="A40" s="59"/>
      <c r="B40" s="5"/>
      <c r="C40" s="5"/>
      <c r="E40" s="2"/>
    </row>
    <row r="41" spans="1:11" x14ac:dyDescent="0.55000000000000004">
      <c r="A41" s="59"/>
      <c r="B41" s="5"/>
      <c r="C41" s="5"/>
      <c r="E41" s="2"/>
    </row>
    <row r="42" spans="1:11" x14ac:dyDescent="0.55000000000000004">
      <c r="A42" s="59"/>
      <c r="B42" s="5"/>
      <c r="C42" s="5"/>
      <c r="E42" s="2"/>
    </row>
    <row r="43" spans="1:11" x14ac:dyDescent="0.55000000000000004">
      <c r="A43" s="59"/>
      <c r="B43" s="5"/>
      <c r="C43" s="5"/>
      <c r="E43" s="2"/>
    </row>
    <row r="44" spans="1:11" x14ac:dyDescent="0.55000000000000004">
      <c r="A44" s="59"/>
      <c r="B44" s="5"/>
      <c r="C44" s="5"/>
    </row>
    <row r="45" spans="1:11" x14ac:dyDescent="0.55000000000000004">
      <c r="A45" s="59"/>
      <c r="B45" s="5" t="s">
        <v>61</v>
      </c>
      <c r="C45" s="5"/>
    </row>
    <row r="46" spans="1:11" x14ac:dyDescent="0.55000000000000004">
      <c r="A46" s="59"/>
      <c r="B46" s="5"/>
      <c r="C46" s="5"/>
    </row>
    <row r="47" spans="1:11" x14ac:dyDescent="0.55000000000000004">
      <c r="A47" s="59"/>
      <c r="B47" s="5"/>
      <c r="C47" s="5"/>
    </row>
    <row r="48" spans="1:11" x14ac:dyDescent="0.55000000000000004">
      <c r="A48" s="59"/>
      <c r="B48" s="5"/>
      <c r="C48" s="5"/>
    </row>
    <row r="49" spans="1:3" x14ac:dyDescent="0.55000000000000004">
      <c r="A49" s="59"/>
      <c r="B49" s="5"/>
      <c r="C49" s="5"/>
    </row>
    <row r="50" spans="1:3" x14ac:dyDescent="0.55000000000000004">
      <c r="A50" s="59"/>
      <c r="B50" s="5"/>
      <c r="C50" s="5"/>
    </row>
    <row r="51" spans="1:3" x14ac:dyDescent="0.55000000000000004">
      <c r="A51" s="59"/>
      <c r="B51" s="5"/>
      <c r="C51" s="5"/>
    </row>
    <row r="52" spans="1:3" x14ac:dyDescent="0.55000000000000004">
      <c r="A52" s="59"/>
      <c r="B52" s="5"/>
      <c r="C52" s="5"/>
    </row>
    <row r="53" spans="1:3" x14ac:dyDescent="0.55000000000000004">
      <c r="A53" s="59"/>
      <c r="B53" s="5"/>
      <c r="C53" s="5"/>
    </row>
    <row r="54" spans="1:3" x14ac:dyDescent="0.55000000000000004">
      <c r="A54" s="59"/>
      <c r="B54" s="5"/>
      <c r="C54" s="5"/>
    </row>
    <row r="55" spans="1:3" x14ac:dyDescent="0.55000000000000004">
      <c r="A55" s="59"/>
      <c r="B55" s="5"/>
      <c r="C55" s="5"/>
    </row>
    <row r="56" spans="1:3" x14ac:dyDescent="0.55000000000000004">
      <c r="A56" s="59"/>
      <c r="B56" s="5"/>
      <c r="C56" s="5"/>
    </row>
    <row r="57" spans="1:3" x14ac:dyDescent="0.55000000000000004">
      <c r="A57" s="59"/>
      <c r="B57" s="5"/>
      <c r="C57" s="5"/>
    </row>
    <row r="58" spans="1:3" x14ac:dyDescent="0.55000000000000004">
      <c r="A58" s="59"/>
      <c r="B58" s="5"/>
      <c r="C58" s="5"/>
    </row>
    <row r="59" spans="1:3" x14ac:dyDescent="0.55000000000000004">
      <c r="A59" s="59"/>
      <c r="B59" s="5"/>
      <c r="C59" s="5"/>
    </row>
    <row r="60" spans="1:3" x14ac:dyDescent="0.55000000000000004">
      <c r="A60" s="59"/>
      <c r="B60" s="5"/>
      <c r="C60" s="5"/>
    </row>
    <row r="61" spans="1:3" x14ac:dyDescent="0.55000000000000004">
      <c r="A61" s="59"/>
      <c r="B61" s="5"/>
      <c r="C61" s="5"/>
    </row>
    <row r="62" spans="1:3" x14ac:dyDescent="0.55000000000000004">
      <c r="A62" s="59"/>
      <c r="B62" s="5"/>
      <c r="C62" s="5"/>
    </row>
    <row r="63" spans="1:3" x14ac:dyDescent="0.55000000000000004">
      <c r="A63" s="59"/>
      <c r="B63" s="5"/>
      <c r="C63" s="5"/>
    </row>
    <row r="64" spans="1:3" x14ac:dyDescent="0.55000000000000004">
      <c r="A64" s="59"/>
      <c r="B64" s="5"/>
      <c r="C64" s="5"/>
    </row>
    <row r="65" spans="1:5" x14ac:dyDescent="0.55000000000000004">
      <c r="A65" s="59"/>
      <c r="B65" s="5" t="s">
        <v>62</v>
      </c>
      <c r="C65" s="5"/>
      <c r="D65" s="2">
        <f>1/1440*45</f>
        <v>3.125E-2</v>
      </c>
    </row>
    <row r="66" spans="1:5" x14ac:dyDescent="0.55000000000000004">
      <c r="A66" s="59"/>
      <c r="B66" s="5" t="s">
        <v>63</v>
      </c>
      <c r="C66" s="5"/>
      <c r="D66" s="2" t="s">
        <v>488</v>
      </c>
      <c r="E66" s="1" t="s">
        <v>643</v>
      </c>
    </row>
    <row r="67" spans="1:5" x14ac:dyDescent="0.55000000000000004">
      <c r="A67" s="59" t="s">
        <v>65</v>
      </c>
      <c r="B67" s="59"/>
      <c r="C67" s="5"/>
    </row>
    <row r="68" spans="1:5" x14ac:dyDescent="0.55000000000000004">
      <c r="A68" s="3" t="s">
        <v>67</v>
      </c>
    </row>
    <row r="69" spans="1:5" x14ac:dyDescent="0.55000000000000004">
      <c r="A69" s="1" t="s">
        <v>68</v>
      </c>
      <c r="C69" s="1">
        <v>22</v>
      </c>
      <c r="D69" s="2">
        <v>24</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69"/>
  <sheetViews>
    <sheetView topLeftCell="A18" zoomScale="90" zoomScaleNormal="90" workbookViewId="0">
      <selection activeCell="E39" sqref="E39"/>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8.15625" style="1" customWidth="1"/>
    <col min="6" max="6" width="4.83984375" style="1" customWidth="1"/>
    <col min="7" max="1024" width="11.41796875" style="1"/>
  </cols>
  <sheetData>
    <row r="1" spans="1:4" x14ac:dyDescent="0.55000000000000004">
      <c r="A1" s="3" t="s">
        <v>0</v>
      </c>
      <c r="D1" s="2" t="s">
        <v>97</v>
      </c>
    </row>
    <row r="2" spans="1:4" x14ac:dyDescent="0.55000000000000004">
      <c r="A2" s="58" t="s">
        <v>2</v>
      </c>
      <c r="B2" s="58"/>
      <c r="D2" s="1" t="s">
        <v>98</v>
      </c>
    </row>
    <row r="3" spans="1:4" x14ac:dyDescent="0.55000000000000004">
      <c r="A3" s="58"/>
      <c r="B3" s="58"/>
      <c r="C3" s="5" t="s">
        <v>4</v>
      </c>
      <c r="D3" s="2" t="s">
        <v>99</v>
      </c>
    </row>
    <row r="4" spans="1:4" x14ac:dyDescent="0.55000000000000004">
      <c r="A4" s="58"/>
      <c r="B4" s="58"/>
      <c r="C4" s="5" t="s">
        <v>6</v>
      </c>
      <c r="D4" s="2">
        <v>2003</v>
      </c>
    </row>
    <row r="5" spans="1:4" x14ac:dyDescent="0.55000000000000004">
      <c r="A5" s="58"/>
      <c r="B5" s="58"/>
      <c r="C5" s="5" t="s">
        <v>7</v>
      </c>
      <c r="D5" s="2" t="s">
        <v>100</v>
      </c>
    </row>
    <row r="6" spans="1:4" x14ac:dyDescent="0.55000000000000004">
      <c r="A6" s="58"/>
      <c r="B6" s="58"/>
      <c r="C6" s="5" t="s">
        <v>9</v>
      </c>
      <c r="D6" s="2" t="s">
        <v>101</v>
      </c>
    </row>
    <row r="7" spans="1:4" x14ac:dyDescent="0.55000000000000004">
      <c r="A7" s="58"/>
      <c r="B7" s="58"/>
      <c r="C7" s="5" t="s">
        <v>11</v>
      </c>
      <c r="D7" s="2" t="s">
        <v>12</v>
      </c>
    </row>
    <row r="8" spans="1:4" x14ac:dyDescent="0.55000000000000004">
      <c r="A8" s="59" t="s">
        <v>13</v>
      </c>
      <c r="B8" s="59"/>
      <c r="C8" s="5"/>
    </row>
    <row r="9" spans="1:4" ht="26.1" x14ac:dyDescent="0.55000000000000004">
      <c r="A9" s="58"/>
      <c r="B9" s="58"/>
      <c r="C9" s="5" t="s">
        <v>14</v>
      </c>
      <c r="D9" s="2" t="s">
        <v>102</v>
      </c>
    </row>
    <row r="10" spans="1:4" x14ac:dyDescent="0.55000000000000004">
      <c r="A10" s="58"/>
      <c r="B10" s="58"/>
      <c r="C10" s="5" t="s">
        <v>16</v>
      </c>
      <c r="D10" s="2" t="s">
        <v>103</v>
      </c>
    </row>
    <row r="11" spans="1:4" x14ac:dyDescent="0.55000000000000004">
      <c r="A11" s="58"/>
      <c r="B11" s="58"/>
      <c r="C11" s="5" t="s">
        <v>19</v>
      </c>
      <c r="D11" s="2" t="s">
        <v>20</v>
      </c>
    </row>
    <row r="12" spans="1:4" x14ac:dyDescent="0.55000000000000004">
      <c r="A12" s="58"/>
      <c r="B12" s="58"/>
      <c r="C12" s="5" t="s">
        <v>21</v>
      </c>
      <c r="D12" s="2" t="s">
        <v>20</v>
      </c>
    </row>
    <row r="13" spans="1:4" x14ac:dyDescent="0.55000000000000004">
      <c r="A13" s="58"/>
      <c r="B13" s="58"/>
      <c r="C13" s="5" t="s">
        <v>22</v>
      </c>
      <c r="D13" s="2" t="s">
        <v>20</v>
      </c>
    </row>
    <row r="14" spans="1:4" x14ac:dyDescent="0.55000000000000004">
      <c r="A14" s="59" t="s">
        <v>24</v>
      </c>
      <c r="B14" s="59"/>
      <c r="C14" s="5"/>
    </row>
    <row r="15" spans="1:4" x14ac:dyDescent="0.55000000000000004">
      <c r="A15" s="58"/>
      <c r="B15" s="58"/>
      <c r="C15" s="5" t="s">
        <v>25</v>
      </c>
      <c r="D15" s="2" t="s">
        <v>104</v>
      </c>
    </row>
    <row r="16" spans="1:4" x14ac:dyDescent="0.55000000000000004">
      <c r="A16" s="58"/>
      <c r="B16" s="58"/>
      <c r="C16" s="5" t="s">
        <v>27</v>
      </c>
      <c r="D16" s="2" t="s">
        <v>105</v>
      </c>
    </row>
    <row r="17" spans="1:5" x14ac:dyDescent="0.55000000000000004">
      <c r="A17" s="59" t="s">
        <v>29</v>
      </c>
      <c r="B17" s="59"/>
      <c r="C17" s="5"/>
    </row>
    <row r="18" spans="1:5" ht="39" x14ac:dyDescent="0.55000000000000004">
      <c r="A18" s="58"/>
      <c r="B18" s="58"/>
      <c r="C18" s="5" t="s">
        <v>30</v>
      </c>
      <c r="D18" s="2" t="s">
        <v>106</v>
      </c>
    </row>
    <row r="19" spans="1:5" ht="51.9" x14ac:dyDescent="0.55000000000000004">
      <c r="A19" s="58"/>
      <c r="B19" s="58"/>
      <c r="C19" s="5" t="s">
        <v>32</v>
      </c>
      <c r="D19" s="2" t="s">
        <v>107</v>
      </c>
    </row>
    <row r="20" spans="1:5" x14ac:dyDescent="0.55000000000000004">
      <c r="A20" s="59" t="s">
        <v>34</v>
      </c>
      <c r="B20" s="59"/>
      <c r="C20" s="5"/>
      <c r="D20" s="2" t="s">
        <v>108</v>
      </c>
      <c r="E20" s="1" t="s">
        <v>109</v>
      </c>
    </row>
    <row r="21" spans="1:5" x14ac:dyDescent="0.55000000000000004">
      <c r="A21" s="58"/>
      <c r="B21" s="58"/>
      <c r="C21" s="5" t="s">
        <v>36</v>
      </c>
      <c r="D21" s="2">
        <v>12</v>
      </c>
      <c r="E21" s="1">
        <v>3</v>
      </c>
    </row>
    <row r="22" spans="1:5" x14ac:dyDescent="0.55000000000000004">
      <c r="A22" s="58"/>
      <c r="B22" s="58"/>
      <c r="C22" s="5" t="s">
        <v>37</v>
      </c>
      <c r="D22" s="2">
        <v>12</v>
      </c>
      <c r="E22" s="1">
        <v>3</v>
      </c>
    </row>
    <row r="23" spans="1:5" x14ac:dyDescent="0.55000000000000004">
      <c r="A23" s="58"/>
      <c r="B23" s="58"/>
      <c r="C23" s="5" t="s">
        <v>38</v>
      </c>
      <c r="D23" s="2">
        <v>11</v>
      </c>
      <c r="E23" s="1">
        <v>3</v>
      </c>
    </row>
    <row r="24" spans="1:5" x14ac:dyDescent="0.55000000000000004">
      <c r="A24" s="58"/>
      <c r="B24" s="58"/>
      <c r="C24" s="5" t="s">
        <v>39</v>
      </c>
      <c r="D24" s="2">
        <v>1</v>
      </c>
      <c r="E24" s="1">
        <v>0</v>
      </c>
    </row>
    <row r="25" spans="1:5" x14ac:dyDescent="0.55000000000000004">
      <c r="A25" s="58"/>
      <c r="B25" s="58"/>
      <c r="C25" s="5" t="s">
        <v>40</v>
      </c>
      <c r="D25" s="2">
        <v>46.7</v>
      </c>
      <c r="E25" s="1" t="s">
        <v>20</v>
      </c>
    </row>
    <row r="26" spans="1:5" x14ac:dyDescent="0.55000000000000004">
      <c r="A26" s="58"/>
      <c r="B26" s="58"/>
      <c r="C26" s="5" t="s">
        <v>41</v>
      </c>
      <c r="D26" s="2">
        <v>63</v>
      </c>
      <c r="E26" s="1" t="s">
        <v>20</v>
      </c>
    </row>
    <row r="27" spans="1:5" x14ac:dyDescent="0.55000000000000004">
      <c r="A27" s="58"/>
      <c r="B27" s="58"/>
      <c r="C27" s="5" t="s">
        <v>42</v>
      </c>
      <c r="D27" s="2">
        <v>12</v>
      </c>
      <c r="E27" s="1" t="s">
        <v>20</v>
      </c>
    </row>
    <row r="28" spans="1:5" x14ac:dyDescent="0.55000000000000004">
      <c r="A28" s="58"/>
      <c r="B28" s="58"/>
      <c r="C28" s="5" t="s">
        <v>43</v>
      </c>
    </row>
    <row r="29" spans="1:5" x14ac:dyDescent="0.55000000000000004">
      <c r="A29" s="58"/>
      <c r="B29" s="58"/>
      <c r="C29" s="5" t="s">
        <v>44</v>
      </c>
    </row>
    <row r="30" spans="1:5" x14ac:dyDescent="0.55000000000000004">
      <c r="A30" s="58"/>
      <c r="B30" s="58"/>
      <c r="C30" s="5" t="s">
        <v>45</v>
      </c>
      <c r="D30" s="2">
        <v>37</v>
      </c>
      <c r="E30" s="1">
        <v>39</v>
      </c>
    </row>
    <row r="31" spans="1:5" x14ac:dyDescent="0.55000000000000004">
      <c r="A31" s="58"/>
      <c r="B31" s="58"/>
      <c r="C31" s="5" t="s">
        <v>46</v>
      </c>
      <c r="D31" s="7">
        <f>3.2*SQRT(D21)</f>
        <v>11.085125168440815</v>
      </c>
      <c r="E31" s="10">
        <f>14*SQRT(3)</f>
        <v>24.248711305964282</v>
      </c>
    </row>
    <row r="32" spans="1:5" x14ac:dyDescent="0.55000000000000004">
      <c r="A32" s="59" t="s">
        <v>47</v>
      </c>
      <c r="B32" s="59"/>
      <c r="C32" s="5"/>
    </row>
    <row r="33" spans="1:11" ht="77.7" x14ac:dyDescent="0.55000000000000004">
      <c r="A33" s="58"/>
      <c r="B33" s="58"/>
      <c r="C33" s="5" t="s">
        <v>48</v>
      </c>
      <c r="D33" s="2" t="s">
        <v>110</v>
      </c>
    </row>
    <row r="34" spans="1:11" x14ac:dyDescent="0.55000000000000004">
      <c r="A34" s="59" t="s">
        <v>50</v>
      </c>
      <c r="B34" s="59"/>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9"/>
      <c r="B36" s="5" t="s">
        <v>59</v>
      </c>
      <c r="C36" s="5"/>
    </row>
    <row r="37" spans="1:11" x14ac:dyDescent="0.55000000000000004">
      <c r="A37" s="59"/>
      <c r="B37" s="5"/>
      <c r="C37" s="5" t="s">
        <v>111</v>
      </c>
      <c r="D37" s="7">
        <v>3.6</v>
      </c>
      <c r="E37" s="10">
        <f>F37*SQRT(D21)</f>
        <v>3.8105117766515302</v>
      </c>
      <c r="F37" s="10">
        <v>1.1000000000000001</v>
      </c>
    </row>
    <row r="38" spans="1:11" x14ac:dyDescent="0.55000000000000004">
      <c r="A38" s="59"/>
      <c r="B38" s="5"/>
      <c r="C38" s="5" t="s">
        <v>112</v>
      </c>
      <c r="D38" s="7">
        <v>1</v>
      </c>
      <c r="E38" s="10">
        <f>F38*SQRT(D22)</f>
        <v>1.0392304845413263</v>
      </c>
      <c r="F38" s="10">
        <v>0.3</v>
      </c>
    </row>
    <row r="39" spans="1:11" x14ac:dyDescent="0.55000000000000004">
      <c r="A39" s="59"/>
      <c r="B39" s="5"/>
      <c r="C39" s="5"/>
    </row>
    <row r="40" spans="1:11" x14ac:dyDescent="0.55000000000000004">
      <c r="A40" s="59"/>
      <c r="B40" s="5"/>
      <c r="C40" s="5"/>
    </row>
    <row r="41" spans="1:11" x14ac:dyDescent="0.55000000000000004">
      <c r="A41" s="59"/>
      <c r="B41" s="5"/>
      <c r="C41" s="5"/>
    </row>
    <row r="42" spans="1:11" x14ac:dyDescent="0.55000000000000004">
      <c r="A42" s="59"/>
      <c r="B42" s="5"/>
      <c r="C42" s="5"/>
    </row>
    <row r="43" spans="1:11" x14ac:dyDescent="0.55000000000000004">
      <c r="A43" s="59"/>
      <c r="B43" s="5"/>
      <c r="C43" s="5"/>
    </row>
    <row r="44" spans="1:11" x14ac:dyDescent="0.55000000000000004">
      <c r="A44" s="59"/>
      <c r="B44" s="5"/>
      <c r="C44" s="5"/>
    </row>
    <row r="45" spans="1:11" x14ac:dyDescent="0.55000000000000004">
      <c r="A45" s="59"/>
      <c r="B45" s="5" t="s">
        <v>61</v>
      </c>
      <c r="C45" s="5"/>
    </row>
    <row r="46" spans="1:11" x14ac:dyDescent="0.55000000000000004">
      <c r="A46" s="59"/>
      <c r="B46" s="5"/>
      <c r="C46" s="5" t="s">
        <v>79</v>
      </c>
      <c r="D46" s="2">
        <v>1</v>
      </c>
    </row>
    <row r="47" spans="1:11" x14ac:dyDescent="0.55000000000000004">
      <c r="A47" s="59"/>
      <c r="B47" s="5"/>
      <c r="C47" s="5"/>
    </row>
    <row r="48" spans="1:11" x14ac:dyDescent="0.55000000000000004">
      <c r="A48" s="59"/>
      <c r="B48" s="5"/>
      <c r="C48" s="5"/>
    </row>
    <row r="49" spans="1:3" x14ac:dyDescent="0.55000000000000004">
      <c r="A49" s="59"/>
      <c r="B49" s="5"/>
      <c r="C49" s="5"/>
    </row>
    <row r="50" spans="1:3" x14ac:dyDescent="0.55000000000000004">
      <c r="A50" s="59"/>
      <c r="B50" s="5"/>
      <c r="C50" s="5"/>
    </row>
    <row r="51" spans="1:3" x14ac:dyDescent="0.55000000000000004">
      <c r="A51" s="59"/>
      <c r="B51" s="5"/>
      <c r="C51" s="5"/>
    </row>
    <row r="52" spans="1:3" x14ac:dyDescent="0.55000000000000004">
      <c r="A52" s="59"/>
      <c r="B52" s="5"/>
      <c r="C52" s="5"/>
    </row>
    <row r="53" spans="1:3" x14ac:dyDescent="0.55000000000000004">
      <c r="A53" s="59"/>
      <c r="B53" s="5"/>
      <c r="C53" s="5"/>
    </row>
    <row r="54" spans="1:3" x14ac:dyDescent="0.55000000000000004">
      <c r="A54" s="59"/>
      <c r="B54" s="5"/>
      <c r="C54" s="5"/>
    </row>
    <row r="55" spans="1:3" x14ac:dyDescent="0.55000000000000004">
      <c r="A55" s="59"/>
      <c r="B55" s="5"/>
      <c r="C55" s="5"/>
    </row>
    <row r="56" spans="1:3" x14ac:dyDescent="0.55000000000000004">
      <c r="A56" s="59"/>
      <c r="B56" s="5"/>
      <c r="C56" s="5"/>
    </row>
    <row r="57" spans="1:3" x14ac:dyDescent="0.55000000000000004">
      <c r="A57" s="59"/>
      <c r="B57" s="5"/>
      <c r="C57" s="5"/>
    </row>
    <row r="58" spans="1:3" x14ac:dyDescent="0.55000000000000004">
      <c r="A58" s="59"/>
      <c r="B58" s="5"/>
      <c r="C58" s="5"/>
    </row>
    <row r="59" spans="1:3" x14ac:dyDescent="0.55000000000000004">
      <c r="A59" s="59"/>
      <c r="B59" s="5"/>
      <c r="C59" s="5"/>
    </row>
    <row r="60" spans="1:3" x14ac:dyDescent="0.55000000000000004">
      <c r="A60" s="59"/>
      <c r="B60" s="5"/>
      <c r="C60" s="5"/>
    </row>
    <row r="61" spans="1:3" x14ac:dyDescent="0.55000000000000004">
      <c r="A61" s="59"/>
      <c r="B61" s="5"/>
      <c r="C61" s="5"/>
    </row>
    <row r="62" spans="1:3" x14ac:dyDescent="0.55000000000000004">
      <c r="A62" s="59"/>
      <c r="B62" s="5"/>
      <c r="C62" s="5"/>
    </row>
    <row r="63" spans="1:3" x14ac:dyDescent="0.55000000000000004">
      <c r="A63" s="59"/>
      <c r="B63" s="5"/>
      <c r="C63" s="5"/>
    </row>
    <row r="64" spans="1:3" x14ac:dyDescent="0.55000000000000004">
      <c r="A64" s="59"/>
      <c r="B64" s="5"/>
      <c r="C64" s="5"/>
    </row>
    <row r="65" spans="1:4" x14ac:dyDescent="0.55000000000000004">
      <c r="A65" s="59"/>
      <c r="B65" s="5" t="s">
        <v>62</v>
      </c>
      <c r="C65" s="5"/>
      <c r="D65" s="2">
        <v>42</v>
      </c>
    </row>
    <row r="66" spans="1:4" x14ac:dyDescent="0.55000000000000004">
      <c r="A66" s="59"/>
      <c r="B66" s="5" t="s">
        <v>63</v>
      </c>
      <c r="C66" s="5"/>
      <c r="D66" s="2" t="s">
        <v>113</v>
      </c>
    </row>
    <row r="67" spans="1:4" ht="26.1" x14ac:dyDescent="0.55000000000000004">
      <c r="A67" s="59" t="s">
        <v>65</v>
      </c>
      <c r="B67" s="59"/>
      <c r="C67" s="5"/>
      <c r="D67" s="2" t="s">
        <v>114</v>
      </c>
    </row>
    <row r="68" spans="1:4" x14ac:dyDescent="0.55000000000000004">
      <c r="A68" s="3" t="s">
        <v>67</v>
      </c>
    </row>
    <row r="69" spans="1:4" x14ac:dyDescent="0.55000000000000004">
      <c r="A69" s="1" t="s">
        <v>68</v>
      </c>
      <c r="C69" s="1">
        <v>14</v>
      </c>
      <c r="D69" s="2">
        <v>24</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MJ93"/>
  <sheetViews>
    <sheetView topLeftCell="A39" zoomScale="90" zoomScaleNormal="90" workbookViewId="0">
      <selection activeCell="D47" sqref="D47"/>
    </sheetView>
  </sheetViews>
  <sheetFormatPr baseColWidth="10" defaultColWidth="11.41796875" defaultRowHeight="14.4" x14ac:dyDescent="0.55000000000000004"/>
  <cols>
    <col min="1" max="1" width="10.83984375" style="1" customWidth="1"/>
    <col min="2" max="2" width="18.83984375" style="1" customWidth="1"/>
    <col min="3" max="3" width="51.83984375" style="1" customWidth="1"/>
    <col min="4" max="4" width="56.15625" style="2" customWidth="1"/>
    <col min="5" max="5" width="19.15625" style="1" customWidth="1"/>
    <col min="6" max="1024" width="11.41796875" style="1"/>
  </cols>
  <sheetData>
    <row r="1" spans="1:5" x14ac:dyDescent="0.55000000000000004">
      <c r="A1" s="3" t="s">
        <v>0</v>
      </c>
      <c r="D1" s="2" t="s">
        <v>644</v>
      </c>
    </row>
    <row r="2" spans="1:5" x14ac:dyDescent="0.55000000000000004">
      <c r="A2" s="58" t="s">
        <v>2</v>
      </c>
      <c r="B2" s="58"/>
      <c r="D2" s="2" t="s">
        <v>645</v>
      </c>
    </row>
    <row r="3" spans="1:5" x14ac:dyDescent="0.55000000000000004">
      <c r="A3" s="58"/>
      <c r="B3" s="58"/>
      <c r="C3" s="5" t="s">
        <v>4</v>
      </c>
      <c r="D3" s="2" t="s">
        <v>646</v>
      </c>
    </row>
    <row r="4" spans="1:5" x14ac:dyDescent="0.55000000000000004">
      <c r="A4" s="58"/>
      <c r="B4" s="58"/>
      <c r="C4" s="5" t="s">
        <v>6</v>
      </c>
      <c r="D4" s="2">
        <v>1987</v>
      </c>
    </row>
    <row r="5" spans="1:5" x14ac:dyDescent="0.55000000000000004">
      <c r="A5" s="58"/>
      <c r="B5" s="58"/>
      <c r="C5" s="5" t="s">
        <v>7</v>
      </c>
      <c r="D5" s="2" t="s">
        <v>647</v>
      </c>
    </row>
    <row r="6" spans="1:5" x14ac:dyDescent="0.55000000000000004">
      <c r="A6" s="58"/>
      <c r="B6" s="58"/>
      <c r="C6" s="5" t="s">
        <v>9</v>
      </c>
      <c r="D6" s="2" t="s">
        <v>648</v>
      </c>
    </row>
    <row r="7" spans="1:5" x14ac:dyDescent="0.55000000000000004">
      <c r="A7" s="58"/>
      <c r="B7" s="58"/>
      <c r="C7" s="5" t="s">
        <v>11</v>
      </c>
      <c r="D7" s="2" t="s">
        <v>12</v>
      </c>
    </row>
    <row r="8" spans="1:5" x14ac:dyDescent="0.55000000000000004">
      <c r="A8" s="59" t="s">
        <v>13</v>
      </c>
      <c r="B8" s="59"/>
      <c r="C8" s="5"/>
    </row>
    <row r="9" spans="1:5" ht="26.1" x14ac:dyDescent="0.55000000000000004">
      <c r="A9" s="58"/>
      <c r="B9" s="58"/>
      <c r="C9" s="5" t="s">
        <v>14</v>
      </c>
      <c r="D9" s="2" t="s">
        <v>649</v>
      </c>
    </row>
    <row r="10" spans="1:5" x14ac:dyDescent="0.55000000000000004">
      <c r="A10" s="58"/>
      <c r="B10" s="58"/>
      <c r="C10" s="5" t="s">
        <v>16</v>
      </c>
      <c r="D10" s="2" t="s">
        <v>86</v>
      </c>
      <c r="E10" s="1" t="s">
        <v>650</v>
      </c>
    </row>
    <row r="11" spans="1:5" x14ac:dyDescent="0.55000000000000004">
      <c r="A11" s="58"/>
      <c r="B11" s="58"/>
      <c r="C11" s="5" t="s">
        <v>19</v>
      </c>
      <c r="D11" s="2" t="s">
        <v>20</v>
      </c>
    </row>
    <row r="12" spans="1:5" x14ac:dyDescent="0.55000000000000004">
      <c r="A12" s="58"/>
      <c r="B12" s="58"/>
      <c r="C12" s="5" t="s">
        <v>21</v>
      </c>
      <c r="D12" s="2" t="s">
        <v>20</v>
      </c>
    </row>
    <row r="13" spans="1:5" x14ac:dyDescent="0.55000000000000004">
      <c r="A13" s="58"/>
      <c r="B13" s="58"/>
      <c r="C13" s="5" t="s">
        <v>22</v>
      </c>
      <c r="D13" s="2" t="s">
        <v>20</v>
      </c>
    </row>
    <row r="14" spans="1:5" x14ac:dyDescent="0.55000000000000004">
      <c r="A14" s="59" t="s">
        <v>24</v>
      </c>
      <c r="B14" s="59"/>
      <c r="C14" s="5"/>
    </row>
    <row r="15" spans="1:5" x14ac:dyDescent="0.55000000000000004">
      <c r="A15" s="58"/>
      <c r="B15" s="58"/>
      <c r="C15" s="5" t="s">
        <v>25</v>
      </c>
      <c r="D15" s="2" t="s">
        <v>181</v>
      </c>
    </row>
    <row r="16" spans="1:5" x14ac:dyDescent="0.55000000000000004">
      <c r="A16" s="58"/>
      <c r="B16" s="58"/>
      <c r="C16" s="5" t="s">
        <v>27</v>
      </c>
      <c r="D16" s="2" t="s">
        <v>651</v>
      </c>
    </row>
    <row r="17" spans="1:4" x14ac:dyDescent="0.55000000000000004">
      <c r="A17" s="59" t="s">
        <v>29</v>
      </c>
      <c r="B17" s="59"/>
      <c r="C17" s="5"/>
    </row>
    <row r="18" spans="1:4" x14ac:dyDescent="0.55000000000000004">
      <c r="A18" s="58"/>
      <c r="B18" s="58"/>
      <c r="C18" s="5" t="s">
        <v>30</v>
      </c>
      <c r="D18" s="2" t="s">
        <v>31</v>
      </c>
    </row>
    <row r="19" spans="1:4" x14ac:dyDescent="0.55000000000000004">
      <c r="A19" s="58"/>
      <c r="B19" s="58"/>
      <c r="C19" s="5" t="s">
        <v>32</v>
      </c>
      <c r="D19" s="2" t="s">
        <v>20</v>
      </c>
    </row>
    <row r="20" spans="1:4" x14ac:dyDescent="0.55000000000000004">
      <c r="A20" s="59" t="s">
        <v>34</v>
      </c>
      <c r="B20" s="59"/>
      <c r="C20" s="5"/>
      <c r="D20" s="2" t="s">
        <v>35</v>
      </c>
    </row>
    <row r="21" spans="1:4" x14ac:dyDescent="0.55000000000000004">
      <c r="A21" s="58"/>
      <c r="B21" s="58"/>
      <c r="C21" s="5" t="s">
        <v>36</v>
      </c>
      <c r="D21" s="2">
        <v>10</v>
      </c>
    </row>
    <row r="22" spans="1:4" x14ac:dyDescent="0.55000000000000004">
      <c r="A22" s="58"/>
      <c r="B22" s="58"/>
      <c r="C22" s="5" t="s">
        <v>37</v>
      </c>
      <c r="D22" s="2" t="s">
        <v>20</v>
      </c>
    </row>
    <row r="23" spans="1:4" x14ac:dyDescent="0.55000000000000004">
      <c r="A23" s="58"/>
      <c r="B23" s="58"/>
      <c r="C23" s="5" t="s">
        <v>38</v>
      </c>
      <c r="D23" s="2">
        <v>10</v>
      </c>
    </row>
    <row r="24" spans="1:4" x14ac:dyDescent="0.55000000000000004">
      <c r="A24" s="58"/>
      <c r="B24" s="58"/>
      <c r="C24" s="5" t="s">
        <v>39</v>
      </c>
      <c r="D24" s="2" t="s">
        <v>20</v>
      </c>
    </row>
    <row r="25" spans="1:4" x14ac:dyDescent="0.55000000000000004">
      <c r="A25" s="58"/>
      <c r="B25" s="58"/>
      <c r="C25" s="5" t="s">
        <v>40</v>
      </c>
      <c r="D25" s="2">
        <v>0</v>
      </c>
    </row>
    <row r="26" spans="1:4" x14ac:dyDescent="0.55000000000000004">
      <c r="A26" s="58"/>
      <c r="B26" s="58"/>
      <c r="C26" s="5" t="s">
        <v>41</v>
      </c>
      <c r="D26" s="7">
        <v>62.2</v>
      </c>
    </row>
    <row r="27" spans="1:4" x14ac:dyDescent="0.55000000000000004">
      <c r="A27" s="58"/>
      <c r="B27" s="58"/>
      <c r="C27" s="5" t="s">
        <v>42</v>
      </c>
      <c r="D27" s="7">
        <v>3.8</v>
      </c>
    </row>
    <row r="28" spans="1:4" x14ac:dyDescent="0.55000000000000004">
      <c r="A28" s="58"/>
      <c r="B28" s="58"/>
      <c r="C28" s="5" t="s">
        <v>43</v>
      </c>
      <c r="D28" s="2" t="s">
        <v>20</v>
      </c>
    </row>
    <row r="29" spans="1:4" x14ac:dyDescent="0.55000000000000004">
      <c r="A29" s="58"/>
      <c r="B29" s="58"/>
      <c r="C29" s="5" t="s">
        <v>44</v>
      </c>
      <c r="D29" s="2" t="s">
        <v>20</v>
      </c>
    </row>
    <row r="30" spans="1:4" x14ac:dyDescent="0.55000000000000004">
      <c r="A30" s="58"/>
      <c r="B30" s="58"/>
      <c r="C30" s="5" t="s">
        <v>45</v>
      </c>
      <c r="D30" s="2" t="s">
        <v>20</v>
      </c>
    </row>
    <row r="31" spans="1:4" x14ac:dyDescent="0.55000000000000004">
      <c r="A31" s="58"/>
      <c r="B31" s="58"/>
      <c r="C31" s="5" t="s">
        <v>46</v>
      </c>
      <c r="D31" s="2" t="s">
        <v>20</v>
      </c>
    </row>
    <row r="32" spans="1:4" x14ac:dyDescent="0.55000000000000004">
      <c r="A32" s="59" t="s">
        <v>47</v>
      </c>
      <c r="B32" s="59"/>
      <c r="C32" s="5"/>
    </row>
    <row r="33" spans="1:11" ht="64.8" x14ac:dyDescent="0.55000000000000004">
      <c r="A33" s="58"/>
      <c r="B33" s="58"/>
      <c r="C33" s="5" t="s">
        <v>48</v>
      </c>
      <c r="D33" s="2" t="s">
        <v>652</v>
      </c>
    </row>
    <row r="34" spans="1:11" x14ac:dyDescent="0.55000000000000004">
      <c r="A34" s="59" t="s">
        <v>50</v>
      </c>
      <c r="B34" s="59"/>
      <c r="C34" s="5"/>
    </row>
    <row r="35" spans="1:11" x14ac:dyDescent="0.55000000000000004">
      <c r="A35" s="8"/>
      <c r="B35" s="8"/>
      <c r="C35" s="5"/>
    </row>
    <row r="36" spans="1:11" x14ac:dyDescent="0.55000000000000004">
      <c r="A36" s="59"/>
      <c r="B36" s="5" t="s">
        <v>59</v>
      </c>
      <c r="C36" s="5"/>
      <c r="D36" s="2" t="s">
        <v>51</v>
      </c>
      <c r="E36" s="1" t="s">
        <v>52</v>
      </c>
      <c r="F36" s="1" t="s">
        <v>53</v>
      </c>
      <c r="G36" s="1" t="s">
        <v>54</v>
      </c>
      <c r="H36" s="1" t="s">
        <v>55</v>
      </c>
      <c r="I36" s="1" t="s">
        <v>56</v>
      </c>
      <c r="J36" s="1" t="s">
        <v>57</v>
      </c>
      <c r="K36" s="1" t="s">
        <v>58</v>
      </c>
    </row>
    <row r="37" spans="1:11" x14ac:dyDescent="0.55000000000000004">
      <c r="A37" s="59"/>
      <c r="B37" s="5"/>
    </row>
    <row r="38" spans="1:11" x14ac:dyDescent="0.55000000000000004">
      <c r="A38" s="59"/>
      <c r="B38" s="5"/>
    </row>
    <row r="39" spans="1:11" x14ac:dyDescent="0.55000000000000004">
      <c r="A39" s="59"/>
      <c r="B39" s="5"/>
    </row>
    <row r="40" spans="1:11" x14ac:dyDescent="0.55000000000000004">
      <c r="A40" s="59"/>
      <c r="B40" s="5"/>
    </row>
    <row r="41" spans="1:11" x14ac:dyDescent="0.55000000000000004">
      <c r="A41" s="59"/>
      <c r="B41" s="5"/>
    </row>
    <row r="42" spans="1:11" x14ac:dyDescent="0.55000000000000004">
      <c r="A42" s="59"/>
      <c r="B42" s="5"/>
    </row>
    <row r="43" spans="1:11" x14ac:dyDescent="0.55000000000000004">
      <c r="A43" s="59"/>
      <c r="B43" s="5"/>
    </row>
    <row r="44" spans="1:11" x14ac:dyDescent="0.55000000000000004">
      <c r="A44" s="59"/>
      <c r="B44" s="5"/>
    </row>
    <row r="45" spans="1:11" x14ac:dyDescent="0.55000000000000004">
      <c r="A45" s="59"/>
      <c r="B45" s="1" t="s">
        <v>61</v>
      </c>
    </row>
    <row r="46" spans="1:11" x14ac:dyDescent="0.55000000000000004">
      <c r="A46" s="59"/>
      <c r="B46" s="5"/>
      <c r="C46" s="5" t="s">
        <v>653</v>
      </c>
      <c r="D46" s="7">
        <v>2.3561643835616399</v>
      </c>
      <c r="E46" s="10">
        <v>1.1262906734846201</v>
      </c>
    </row>
    <row r="47" spans="1:11" x14ac:dyDescent="0.55000000000000004">
      <c r="A47" s="59"/>
      <c r="B47" s="5"/>
      <c r="C47" s="5" t="s">
        <v>654</v>
      </c>
      <c r="D47" s="7">
        <v>2</v>
      </c>
      <c r="E47" s="10">
        <v>0.99633405731330904</v>
      </c>
    </row>
    <row r="48" spans="1:11" x14ac:dyDescent="0.55000000000000004">
      <c r="A48" s="59"/>
      <c r="B48" s="5"/>
    </row>
    <row r="49" spans="1:5" x14ac:dyDescent="0.55000000000000004">
      <c r="A49" s="59"/>
      <c r="B49" s="5"/>
    </row>
    <row r="50" spans="1:5" x14ac:dyDescent="0.55000000000000004">
      <c r="A50" s="59"/>
      <c r="B50" s="5"/>
    </row>
    <row r="51" spans="1:5" x14ac:dyDescent="0.55000000000000004">
      <c r="A51" s="59"/>
      <c r="B51" s="5"/>
    </row>
    <row r="52" spans="1:5" x14ac:dyDescent="0.55000000000000004">
      <c r="A52" s="59"/>
      <c r="B52" s="5"/>
    </row>
    <row r="53" spans="1:5" x14ac:dyDescent="0.55000000000000004">
      <c r="A53" s="59"/>
      <c r="B53" s="5"/>
    </row>
    <row r="54" spans="1:5" x14ac:dyDescent="0.55000000000000004">
      <c r="A54" s="59"/>
      <c r="B54" s="5"/>
    </row>
    <row r="55" spans="1:5" x14ac:dyDescent="0.55000000000000004">
      <c r="A55" s="59"/>
      <c r="B55" s="5"/>
    </row>
    <row r="56" spans="1:5" x14ac:dyDescent="0.55000000000000004">
      <c r="A56" s="59"/>
      <c r="B56" s="5"/>
    </row>
    <row r="57" spans="1:5" x14ac:dyDescent="0.55000000000000004">
      <c r="A57" s="59"/>
      <c r="B57" s="5"/>
    </row>
    <row r="58" spans="1:5" x14ac:dyDescent="0.55000000000000004">
      <c r="A58" s="59"/>
      <c r="B58" s="5"/>
      <c r="C58" s="5" t="s">
        <v>79</v>
      </c>
      <c r="D58" s="7">
        <v>1</v>
      </c>
      <c r="E58" s="10"/>
    </row>
    <row r="59" spans="1:5" x14ac:dyDescent="0.55000000000000004">
      <c r="A59" s="59"/>
      <c r="B59" s="5"/>
      <c r="C59" s="5"/>
      <c r="D59" s="7"/>
      <c r="E59" s="10"/>
    </row>
    <row r="60" spans="1:5" x14ac:dyDescent="0.55000000000000004">
      <c r="A60" s="59"/>
      <c r="B60" s="5"/>
      <c r="C60" s="5"/>
      <c r="D60" s="7"/>
      <c r="E60" s="10"/>
    </row>
    <row r="61" spans="1:5" x14ac:dyDescent="0.55000000000000004">
      <c r="A61" s="59"/>
      <c r="B61" s="5"/>
      <c r="C61" s="5"/>
      <c r="D61" s="7"/>
      <c r="E61" s="10"/>
    </row>
    <row r="62" spans="1:5" x14ac:dyDescent="0.55000000000000004">
      <c r="A62" s="59"/>
      <c r="B62" s="5"/>
      <c r="C62" s="5"/>
      <c r="D62" s="7"/>
      <c r="E62" s="10"/>
    </row>
    <row r="63" spans="1:5" x14ac:dyDescent="0.55000000000000004">
      <c r="A63" s="59"/>
    </row>
    <row r="64" spans="1:5" x14ac:dyDescent="0.55000000000000004">
      <c r="A64" s="59"/>
      <c r="B64" s="5"/>
      <c r="C64" s="5"/>
    </row>
    <row r="65" spans="1:5" x14ac:dyDescent="0.55000000000000004">
      <c r="A65" s="59"/>
      <c r="B65" s="5" t="s">
        <v>62</v>
      </c>
      <c r="C65" s="5"/>
    </row>
    <row r="66" spans="1:5" x14ac:dyDescent="0.55000000000000004">
      <c r="A66" s="59"/>
      <c r="B66" s="5" t="s">
        <v>63</v>
      </c>
      <c r="C66" s="5"/>
      <c r="D66" s="2" t="s">
        <v>655</v>
      </c>
    </row>
    <row r="67" spans="1:5" x14ac:dyDescent="0.55000000000000004">
      <c r="A67" s="59" t="s">
        <v>65</v>
      </c>
      <c r="B67" s="59"/>
      <c r="C67" s="5"/>
      <c r="D67" s="2" t="s">
        <v>656</v>
      </c>
    </row>
    <row r="68" spans="1:5" x14ac:dyDescent="0.55000000000000004">
      <c r="A68" s="3" t="s">
        <v>67</v>
      </c>
    </row>
    <row r="69" spans="1:5" x14ac:dyDescent="0.55000000000000004">
      <c r="A69" s="1" t="s">
        <v>68</v>
      </c>
      <c r="C69" s="1">
        <v>12</v>
      </c>
      <c r="D69" s="2">
        <v>26</v>
      </c>
    </row>
    <row r="70" spans="1:5" x14ac:dyDescent="0.55000000000000004">
      <c r="B70" s="1" t="s">
        <v>94</v>
      </c>
    </row>
    <row r="71" spans="1:5" x14ac:dyDescent="0.55000000000000004">
      <c r="C71" s="5" t="s">
        <v>657</v>
      </c>
      <c r="D71" s="7">
        <v>71.829787234042499</v>
      </c>
      <c r="E71" s="10">
        <v>41.984282126491003</v>
      </c>
    </row>
    <row r="72" spans="1:5" x14ac:dyDescent="0.55000000000000004">
      <c r="C72" s="5" t="s">
        <v>658</v>
      </c>
      <c r="D72" s="7">
        <v>30.978723404255302</v>
      </c>
      <c r="E72" s="10">
        <v>27.989521417660399</v>
      </c>
    </row>
    <row r="73" spans="1:5" x14ac:dyDescent="0.55000000000000004">
      <c r="C73" s="5" t="s">
        <v>659</v>
      </c>
      <c r="D73" s="7">
        <v>82.042553191489304</v>
      </c>
      <c r="E73" s="10">
        <v>18.300840926931901</v>
      </c>
    </row>
    <row r="74" spans="1:5" x14ac:dyDescent="0.55000000000000004">
      <c r="C74" s="5" t="s">
        <v>660</v>
      </c>
      <c r="D74" s="7">
        <v>88.170212765957402</v>
      </c>
      <c r="E74" s="10">
        <v>26.913001363134999</v>
      </c>
    </row>
    <row r="75" spans="1:5" x14ac:dyDescent="0.55000000000000004">
      <c r="C75" s="5" t="s">
        <v>661</v>
      </c>
      <c r="D75" s="7">
        <v>46.297872340425499</v>
      </c>
      <c r="E75" s="10">
        <v>38.754721962914402</v>
      </c>
    </row>
    <row r="76" spans="1:5" x14ac:dyDescent="0.55000000000000004">
      <c r="C76" s="5" t="s">
        <v>662</v>
      </c>
      <c r="D76" s="7">
        <v>103.829787234042</v>
      </c>
      <c r="E76" s="10">
        <v>15.071280763357199</v>
      </c>
    </row>
    <row r="77" spans="1:5" x14ac:dyDescent="0.55000000000000004">
      <c r="C77" s="5" t="s">
        <v>663</v>
      </c>
      <c r="D77" s="7">
        <v>94.638297872340402</v>
      </c>
      <c r="E77" s="10">
        <v>21.530401090507201</v>
      </c>
    </row>
    <row r="78" spans="1:5" x14ac:dyDescent="0.55000000000000004">
      <c r="C78" s="5" t="s">
        <v>664</v>
      </c>
      <c r="D78" s="7">
        <v>85.446808510638206</v>
      </c>
      <c r="E78" s="10">
        <v>21.5304010905082</v>
      </c>
    </row>
    <row r="79" spans="1:5" x14ac:dyDescent="0.55000000000000004">
      <c r="C79" s="5" t="s">
        <v>665</v>
      </c>
      <c r="D79" s="7">
        <v>94.297872340425499</v>
      </c>
      <c r="E79" s="10">
        <v>27.989521417658199</v>
      </c>
    </row>
    <row r="80" spans="1:5" x14ac:dyDescent="0.55000000000000004">
      <c r="C80" s="5" t="s">
        <v>666</v>
      </c>
      <c r="D80" s="7">
        <v>2.3561643835616399</v>
      </c>
      <c r="E80" s="10">
        <v>1.1262906734846201</v>
      </c>
    </row>
    <row r="81" spans="3:11" x14ac:dyDescent="0.55000000000000004">
      <c r="C81" s="5" t="s">
        <v>667</v>
      </c>
      <c r="D81" s="7">
        <v>2</v>
      </c>
      <c r="E81" s="10">
        <v>0.99633405731330904</v>
      </c>
    </row>
    <row r="82" spans="3:11" x14ac:dyDescent="0.55000000000000004">
      <c r="C82" s="5" t="s">
        <v>668</v>
      </c>
      <c r="D82" s="7">
        <v>1.20547945205479</v>
      </c>
      <c r="E82" s="10">
        <v>0.82305856908492103</v>
      </c>
    </row>
    <row r="83" spans="3:11" x14ac:dyDescent="0.55000000000000004">
      <c r="C83" s="5" t="s">
        <v>669</v>
      </c>
      <c r="D83" s="7">
        <v>1.8082191780821899</v>
      </c>
      <c r="E83" s="10">
        <v>1.03965292937042</v>
      </c>
    </row>
    <row r="84" spans="3:11" x14ac:dyDescent="0.55000000000000004">
      <c r="C84" s="5" t="s">
        <v>670</v>
      </c>
      <c r="D84" s="7">
        <v>2</v>
      </c>
      <c r="E84" s="10">
        <v>1.2995661617130001</v>
      </c>
    </row>
    <row r="85" spans="3:11" x14ac:dyDescent="0.55000000000000004">
      <c r="C85" s="5" t="s">
        <v>671</v>
      </c>
      <c r="D85" s="7">
        <v>1.7123287671232801</v>
      </c>
      <c r="E85" s="10">
        <v>0.82305856908492103</v>
      </c>
    </row>
    <row r="86" spans="3:11" x14ac:dyDescent="0.55000000000000004">
      <c r="C86" s="5" t="s">
        <v>672</v>
      </c>
      <c r="D86" s="7">
        <v>0.80821917808219101</v>
      </c>
      <c r="E86" s="10">
        <v>0.47650759262811399</v>
      </c>
    </row>
    <row r="87" spans="3:11" x14ac:dyDescent="0.55000000000000004">
      <c r="C87" s="5" t="s">
        <v>673</v>
      </c>
      <c r="D87" s="7">
        <v>1.72602739726027</v>
      </c>
      <c r="E87" s="10">
        <v>0.69310195291361498</v>
      </c>
    </row>
    <row r="88" spans="3:11" x14ac:dyDescent="0.55000000000000004">
      <c r="C88" s="5" t="s">
        <v>674</v>
      </c>
      <c r="D88" s="7">
        <v>1.0136986301369799</v>
      </c>
      <c r="E88" s="10">
        <v>0.60646420879942098</v>
      </c>
    </row>
    <row r="89" spans="3:11" x14ac:dyDescent="0.55000000000000004">
      <c r="C89" s="5" t="s">
        <v>675</v>
      </c>
      <c r="D89" s="7">
        <v>0.80821917808219101</v>
      </c>
      <c r="E89" s="10">
        <v>0.64978308085649905</v>
      </c>
    </row>
    <row r="90" spans="3:11" x14ac:dyDescent="0.55000000000000004">
      <c r="C90" s="5" t="s">
        <v>676</v>
      </c>
      <c r="D90" s="7">
        <v>0.73972602739726001</v>
      </c>
      <c r="E90" s="10">
        <v>0.60646420879941498</v>
      </c>
    </row>
    <row r="91" spans="3:11" x14ac:dyDescent="0.55000000000000004">
      <c r="C91" s="5" t="s">
        <v>677</v>
      </c>
      <c r="D91" s="7">
        <v>0.94520547945205402</v>
      </c>
      <c r="E91" s="10">
        <v>1.4728416499414101</v>
      </c>
    </row>
    <row r="92" spans="3:11" x14ac:dyDescent="0.55000000000000004">
      <c r="C92" s="5" t="s">
        <v>653</v>
      </c>
      <c r="D92" s="7">
        <f>D80+D84+D88</f>
        <v>5.3698630136986196</v>
      </c>
      <c r="E92" s="1">
        <f>SQRT(($D$23*(E80+(D80-AVERAGE(D80,D84,D88))^2)+$D$23*(E84+(D84-AVERAGE(D80,D84,D88))^2)+$D$23*(E88+(D84-AVERAGE(D80,D84,D88))^2))/($D$23+$D$23+$D$23))</f>
        <v>1.0710047027814833</v>
      </c>
      <c r="K92" s="1">
        <f>SQRT(((($D$23-1)*E80^2)+(($D$23-1)*E84^2)+(($D$23-1)*E88^2))/($D$23+$D$23+$D$23-3))</f>
        <v>1.0528060483619646</v>
      </c>
    </row>
    <row r="93" spans="3:11" x14ac:dyDescent="0.55000000000000004">
      <c r="C93" s="5" t="s">
        <v>654</v>
      </c>
      <c r="D93" s="7">
        <f>D81+D85+D89</f>
        <v>4.5205479452054709</v>
      </c>
      <c r="E93" s="1">
        <f>SQRT(($D$23*(E81+(D81-AVERAGE(D81,D85,D89))^2)+$D$23*(E85+(D85-AVERAGE(D81,D85,D89))^2)+$D$23*(E89+(D85-AVERAGE(D81,D85,D89))^2))/($D$23+$D$23+$D$23))</f>
        <v>0.96554249271875137</v>
      </c>
      <c r="K93" s="1">
        <f>SQRT(((($D$23-1)*E81^2)+(($D$23-1)*E85^2)+(($D$23-1)*E89^2))/($D$23+$D$23+$D$23-3))</f>
        <v>0.83512973324984696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AMJ93"/>
  <sheetViews>
    <sheetView topLeftCell="A30" zoomScale="90" zoomScaleNormal="90" workbookViewId="0">
      <selection activeCell="C46" sqref="C46"/>
    </sheetView>
  </sheetViews>
  <sheetFormatPr baseColWidth="10" defaultColWidth="11.41796875" defaultRowHeight="14.4" x14ac:dyDescent="0.55000000000000004"/>
  <cols>
    <col min="1" max="1" width="10.83984375" style="1" customWidth="1"/>
    <col min="2" max="2" width="18.83984375" style="1" customWidth="1"/>
    <col min="3" max="3" width="51.83984375" style="1" customWidth="1"/>
    <col min="4" max="4" width="56.15625" style="2" customWidth="1"/>
    <col min="5" max="5" width="19.15625" style="1" customWidth="1"/>
    <col min="6" max="1024" width="11.41796875" style="1"/>
  </cols>
  <sheetData>
    <row r="1" spans="1:5" x14ac:dyDescent="0.55000000000000004">
      <c r="A1" s="3" t="s">
        <v>0</v>
      </c>
      <c r="D1" s="2" t="s">
        <v>644</v>
      </c>
    </row>
    <row r="2" spans="1:5" x14ac:dyDescent="0.55000000000000004">
      <c r="A2" s="58" t="s">
        <v>2</v>
      </c>
      <c r="B2" s="58"/>
      <c r="D2" s="2" t="s">
        <v>645</v>
      </c>
    </row>
    <row r="3" spans="1:5" x14ac:dyDescent="0.55000000000000004">
      <c r="A3" s="58"/>
      <c r="B3" s="58"/>
      <c r="C3" s="5" t="s">
        <v>4</v>
      </c>
      <c r="D3" s="2" t="s">
        <v>646</v>
      </c>
    </row>
    <row r="4" spans="1:5" x14ac:dyDescent="0.55000000000000004">
      <c r="A4" s="58"/>
      <c r="B4" s="58"/>
      <c r="C4" s="5" t="s">
        <v>6</v>
      </c>
      <c r="D4" s="2">
        <v>1987</v>
      </c>
    </row>
    <row r="5" spans="1:5" x14ac:dyDescent="0.55000000000000004">
      <c r="A5" s="58"/>
      <c r="B5" s="58"/>
      <c r="C5" s="5" t="s">
        <v>7</v>
      </c>
      <c r="D5" s="2" t="s">
        <v>647</v>
      </c>
    </row>
    <row r="6" spans="1:5" x14ac:dyDescent="0.55000000000000004">
      <c r="A6" s="58"/>
      <c r="B6" s="58"/>
      <c r="C6" s="5" t="s">
        <v>9</v>
      </c>
      <c r="D6" s="2" t="s">
        <v>648</v>
      </c>
    </row>
    <row r="7" spans="1:5" x14ac:dyDescent="0.55000000000000004">
      <c r="A7" s="58"/>
      <c r="B7" s="58"/>
      <c r="C7" s="5" t="s">
        <v>11</v>
      </c>
      <c r="D7" s="2" t="s">
        <v>12</v>
      </c>
    </row>
    <row r="8" spans="1:5" x14ac:dyDescent="0.55000000000000004">
      <c r="A8" s="59" t="s">
        <v>13</v>
      </c>
      <c r="B8" s="59"/>
      <c r="C8" s="5"/>
    </row>
    <row r="9" spans="1:5" ht="26.1" x14ac:dyDescent="0.55000000000000004">
      <c r="A9" s="58"/>
      <c r="B9" s="58"/>
      <c r="C9" s="5" t="s">
        <v>14</v>
      </c>
      <c r="D9" s="2" t="s">
        <v>649</v>
      </c>
    </row>
    <row r="10" spans="1:5" x14ac:dyDescent="0.55000000000000004">
      <c r="A10" s="58"/>
      <c r="B10" s="58"/>
      <c r="C10" s="5" t="s">
        <v>16</v>
      </c>
      <c r="D10" s="2" t="s">
        <v>86</v>
      </c>
      <c r="E10" s="1" t="s">
        <v>650</v>
      </c>
    </row>
    <row r="11" spans="1:5" x14ac:dyDescent="0.55000000000000004">
      <c r="A11" s="58"/>
      <c r="B11" s="58"/>
      <c r="C11" s="5" t="s">
        <v>19</v>
      </c>
      <c r="D11" s="2" t="s">
        <v>20</v>
      </c>
    </row>
    <row r="12" spans="1:5" x14ac:dyDescent="0.55000000000000004">
      <c r="A12" s="58"/>
      <c r="B12" s="58"/>
      <c r="C12" s="5" t="s">
        <v>21</v>
      </c>
      <c r="D12" s="2" t="s">
        <v>20</v>
      </c>
    </row>
    <row r="13" spans="1:5" x14ac:dyDescent="0.55000000000000004">
      <c r="A13" s="58"/>
      <c r="B13" s="58"/>
      <c r="C13" s="5" t="s">
        <v>22</v>
      </c>
      <c r="D13" s="2" t="s">
        <v>20</v>
      </c>
    </row>
    <row r="14" spans="1:5" x14ac:dyDescent="0.55000000000000004">
      <c r="A14" s="59" t="s">
        <v>24</v>
      </c>
      <c r="B14" s="59"/>
      <c r="C14" s="5"/>
    </row>
    <row r="15" spans="1:5" x14ac:dyDescent="0.55000000000000004">
      <c r="A15" s="58"/>
      <c r="B15" s="58"/>
      <c r="C15" s="5" t="s">
        <v>25</v>
      </c>
      <c r="D15" s="2" t="s">
        <v>181</v>
      </c>
    </row>
    <row r="16" spans="1:5" x14ac:dyDescent="0.55000000000000004">
      <c r="A16" s="58"/>
      <c r="B16" s="58"/>
      <c r="C16" s="5" t="s">
        <v>27</v>
      </c>
      <c r="D16" s="2" t="s">
        <v>651</v>
      </c>
    </row>
    <row r="17" spans="1:4" x14ac:dyDescent="0.55000000000000004">
      <c r="A17" s="59" t="s">
        <v>29</v>
      </c>
      <c r="B17" s="59"/>
      <c r="C17" s="5"/>
    </row>
    <row r="18" spans="1:4" x14ac:dyDescent="0.55000000000000004">
      <c r="A18" s="58"/>
      <c r="B18" s="58"/>
      <c r="C18" s="5" t="s">
        <v>30</v>
      </c>
      <c r="D18" s="2" t="s">
        <v>31</v>
      </c>
    </row>
    <row r="19" spans="1:4" x14ac:dyDescent="0.55000000000000004">
      <c r="A19" s="58"/>
      <c r="B19" s="58"/>
      <c r="C19" s="5" t="s">
        <v>32</v>
      </c>
      <c r="D19" s="2" t="s">
        <v>20</v>
      </c>
    </row>
    <row r="20" spans="1:4" x14ac:dyDescent="0.55000000000000004">
      <c r="A20" s="59" t="s">
        <v>34</v>
      </c>
      <c r="B20" s="59"/>
      <c r="C20" s="5"/>
      <c r="D20" s="2" t="s">
        <v>35</v>
      </c>
    </row>
    <row r="21" spans="1:4" x14ac:dyDescent="0.55000000000000004">
      <c r="A21" s="58"/>
      <c r="B21" s="58"/>
      <c r="C21" s="5" t="s">
        <v>36</v>
      </c>
      <c r="D21" s="2">
        <v>10</v>
      </c>
    </row>
    <row r="22" spans="1:4" x14ac:dyDescent="0.55000000000000004">
      <c r="A22" s="58"/>
      <c r="B22" s="58"/>
      <c r="C22" s="5" t="s">
        <v>37</v>
      </c>
      <c r="D22" s="2" t="s">
        <v>20</v>
      </c>
    </row>
    <row r="23" spans="1:4" x14ac:dyDescent="0.55000000000000004">
      <c r="A23" s="58"/>
      <c r="B23" s="58"/>
      <c r="C23" s="5" t="s">
        <v>38</v>
      </c>
      <c r="D23" s="2">
        <v>10</v>
      </c>
    </row>
    <row r="24" spans="1:4" x14ac:dyDescent="0.55000000000000004">
      <c r="A24" s="58"/>
      <c r="B24" s="58"/>
      <c r="C24" s="5" t="s">
        <v>39</v>
      </c>
      <c r="D24" s="2" t="s">
        <v>20</v>
      </c>
    </row>
    <row r="25" spans="1:4" x14ac:dyDescent="0.55000000000000004">
      <c r="A25" s="58"/>
      <c r="B25" s="58"/>
      <c r="C25" s="5" t="s">
        <v>40</v>
      </c>
      <c r="D25" s="2">
        <v>0</v>
      </c>
    </row>
    <row r="26" spans="1:4" x14ac:dyDescent="0.55000000000000004">
      <c r="A26" s="58"/>
      <c r="B26" s="58"/>
      <c r="C26" s="5" t="s">
        <v>41</v>
      </c>
      <c r="D26" s="7">
        <v>62.2</v>
      </c>
    </row>
    <row r="27" spans="1:4" x14ac:dyDescent="0.55000000000000004">
      <c r="A27" s="58"/>
      <c r="B27" s="58"/>
      <c r="C27" s="5" t="s">
        <v>42</v>
      </c>
      <c r="D27" s="7">
        <v>3.8</v>
      </c>
    </row>
    <row r="28" spans="1:4" x14ac:dyDescent="0.55000000000000004">
      <c r="A28" s="58"/>
      <c r="B28" s="58"/>
      <c r="C28" s="5" t="s">
        <v>43</v>
      </c>
      <c r="D28" s="2" t="s">
        <v>20</v>
      </c>
    </row>
    <row r="29" spans="1:4" x14ac:dyDescent="0.55000000000000004">
      <c r="A29" s="58"/>
      <c r="B29" s="58"/>
      <c r="C29" s="5" t="s">
        <v>44</v>
      </c>
      <c r="D29" s="2" t="s">
        <v>20</v>
      </c>
    </row>
    <row r="30" spans="1:4" x14ac:dyDescent="0.55000000000000004">
      <c r="A30" s="58"/>
      <c r="B30" s="58"/>
      <c r="C30" s="5" t="s">
        <v>45</v>
      </c>
      <c r="D30" s="2" t="s">
        <v>20</v>
      </c>
    </row>
    <row r="31" spans="1:4" x14ac:dyDescent="0.55000000000000004">
      <c r="A31" s="58"/>
      <c r="B31" s="58"/>
      <c r="C31" s="5" t="s">
        <v>46</v>
      </c>
      <c r="D31" s="2" t="s">
        <v>20</v>
      </c>
    </row>
    <row r="32" spans="1:4" x14ac:dyDescent="0.55000000000000004">
      <c r="A32" s="59" t="s">
        <v>47</v>
      </c>
      <c r="B32" s="59"/>
      <c r="C32" s="5"/>
    </row>
    <row r="33" spans="1:10" ht="64.8" x14ac:dyDescent="0.55000000000000004">
      <c r="A33" s="58"/>
      <c r="B33" s="58"/>
      <c r="C33" s="5" t="s">
        <v>48</v>
      </c>
      <c r="D33" s="2" t="s">
        <v>652</v>
      </c>
    </row>
    <row r="34" spans="1:10" x14ac:dyDescent="0.55000000000000004">
      <c r="A34" s="59" t="s">
        <v>50</v>
      </c>
      <c r="B34" s="59"/>
      <c r="C34" s="5"/>
    </row>
    <row r="35" spans="1:10" x14ac:dyDescent="0.55000000000000004">
      <c r="A35" s="8"/>
      <c r="B35" s="8"/>
      <c r="C35" s="5"/>
    </row>
    <row r="36" spans="1:10" x14ac:dyDescent="0.55000000000000004">
      <c r="A36" s="59"/>
      <c r="B36" s="5" t="s">
        <v>59</v>
      </c>
      <c r="C36" s="5"/>
      <c r="D36" s="2" t="s">
        <v>51</v>
      </c>
      <c r="E36" s="1" t="s">
        <v>52</v>
      </c>
      <c r="F36" s="1" t="s">
        <v>53</v>
      </c>
      <c r="G36" s="1" t="s">
        <v>54</v>
      </c>
      <c r="H36" s="1" t="s">
        <v>55</v>
      </c>
      <c r="I36" s="1" t="s">
        <v>56</v>
      </c>
      <c r="J36" s="1" t="s">
        <v>57</v>
      </c>
    </row>
    <row r="37" spans="1:10" x14ac:dyDescent="0.55000000000000004">
      <c r="A37" s="59"/>
      <c r="B37" s="5"/>
    </row>
    <row r="38" spans="1:10" x14ac:dyDescent="0.55000000000000004">
      <c r="A38" s="59"/>
      <c r="B38" s="5"/>
    </row>
    <row r="39" spans="1:10" x14ac:dyDescent="0.55000000000000004">
      <c r="A39" s="59"/>
      <c r="B39" s="5"/>
    </row>
    <row r="40" spans="1:10" x14ac:dyDescent="0.55000000000000004">
      <c r="A40" s="59"/>
      <c r="B40" s="5"/>
    </row>
    <row r="41" spans="1:10" x14ac:dyDescent="0.55000000000000004">
      <c r="A41" s="59"/>
      <c r="B41" s="5"/>
    </row>
    <row r="42" spans="1:10" x14ac:dyDescent="0.55000000000000004">
      <c r="A42" s="59"/>
      <c r="B42" s="5"/>
    </row>
    <row r="43" spans="1:10" x14ac:dyDescent="0.55000000000000004">
      <c r="A43" s="59"/>
      <c r="B43" s="5"/>
    </row>
    <row r="44" spans="1:10" x14ac:dyDescent="0.55000000000000004">
      <c r="A44" s="59"/>
      <c r="B44" s="5"/>
    </row>
    <row r="45" spans="1:10" x14ac:dyDescent="0.55000000000000004">
      <c r="A45" s="59"/>
      <c r="B45" s="1" t="s">
        <v>61</v>
      </c>
    </row>
    <row r="46" spans="1:10" x14ac:dyDescent="0.55000000000000004">
      <c r="A46" s="59"/>
      <c r="B46" s="5"/>
      <c r="C46" s="5" t="s">
        <v>678</v>
      </c>
      <c r="D46" s="7">
        <v>2.3561643835616399</v>
      </c>
      <c r="E46" s="10">
        <v>1.1262906734846201</v>
      </c>
    </row>
    <row r="47" spans="1:10" x14ac:dyDescent="0.55000000000000004">
      <c r="A47" s="59"/>
      <c r="B47" s="5"/>
      <c r="C47" s="5" t="s">
        <v>679</v>
      </c>
      <c r="D47" s="7">
        <v>1.20547945205479</v>
      </c>
      <c r="E47" s="10">
        <v>0.82305856908492103</v>
      </c>
    </row>
    <row r="48" spans="1:10" x14ac:dyDescent="0.55000000000000004">
      <c r="A48" s="59"/>
      <c r="B48" s="5"/>
    </row>
    <row r="49" spans="1:5" x14ac:dyDescent="0.55000000000000004">
      <c r="A49" s="59"/>
      <c r="B49" s="5"/>
    </row>
    <row r="50" spans="1:5" x14ac:dyDescent="0.55000000000000004">
      <c r="A50" s="59"/>
      <c r="B50" s="5"/>
    </row>
    <row r="51" spans="1:5" x14ac:dyDescent="0.55000000000000004">
      <c r="A51" s="59"/>
      <c r="B51" s="5"/>
    </row>
    <row r="52" spans="1:5" x14ac:dyDescent="0.55000000000000004">
      <c r="A52" s="59"/>
      <c r="B52" s="5"/>
    </row>
    <row r="53" spans="1:5" x14ac:dyDescent="0.55000000000000004">
      <c r="A53" s="59"/>
      <c r="B53" s="5"/>
    </row>
    <row r="54" spans="1:5" x14ac:dyDescent="0.55000000000000004">
      <c r="A54" s="59"/>
      <c r="B54" s="5"/>
    </row>
    <row r="55" spans="1:5" x14ac:dyDescent="0.55000000000000004">
      <c r="A55" s="59"/>
      <c r="B55" s="5"/>
    </row>
    <row r="56" spans="1:5" x14ac:dyDescent="0.55000000000000004">
      <c r="A56" s="59"/>
      <c r="B56" s="5"/>
    </row>
    <row r="57" spans="1:5" x14ac:dyDescent="0.55000000000000004">
      <c r="A57" s="59"/>
      <c r="B57" s="5"/>
    </row>
    <row r="58" spans="1:5" x14ac:dyDescent="0.55000000000000004">
      <c r="A58" s="59"/>
      <c r="B58" s="5"/>
      <c r="C58" s="5" t="s">
        <v>79</v>
      </c>
      <c r="D58" s="7">
        <v>1</v>
      </c>
      <c r="E58" s="10"/>
    </row>
    <row r="59" spans="1:5" x14ac:dyDescent="0.55000000000000004">
      <c r="A59" s="59"/>
      <c r="B59" s="5"/>
      <c r="C59" s="5"/>
      <c r="D59" s="7"/>
      <c r="E59" s="10"/>
    </row>
    <row r="60" spans="1:5" x14ac:dyDescent="0.55000000000000004">
      <c r="A60" s="59"/>
      <c r="B60" s="5"/>
      <c r="C60" s="5"/>
      <c r="D60" s="7"/>
      <c r="E60" s="10"/>
    </row>
    <row r="61" spans="1:5" x14ac:dyDescent="0.55000000000000004">
      <c r="A61" s="59"/>
      <c r="B61" s="5"/>
      <c r="C61" s="5"/>
      <c r="D61" s="7"/>
      <c r="E61" s="10"/>
    </row>
    <row r="62" spans="1:5" x14ac:dyDescent="0.55000000000000004">
      <c r="A62" s="59"/>
      <c r="B62" s="5"/>
      <c r="C62" s="5"/>
      <c r="D62" s="7"/>
      <c r="E62" s="10"/>
    </row>
    <row r="63" spans="1:5" x14ac:dyDescent="0.55000000000000004">
      <c r="A63" s="59"/>
    </row>
    <row r="64" spans="1:5" x14ac:dyDescent="0.55000000000000004">
      <c r="A64" s="59"/>
      <c r="B64" s="5"/>
      <c r="C64" s="5"/>
    </row>
    <row r="65" spans="1:5" x14ac:dyDescent="0.55000000000000004">
      <c r="A65" s="59"/>
      <c r="B65" s="5" t="s">
        <v>62</v>
      </c>
      <c r="C65" s="5"/>
    </row>
    <row r="66" spans="1:5" x14ac:dyDescent="0.55000000000000004">
      <c r="A66" s="59"/>
      <c r="B66" s="5" t="s">
        <v>63</v>
      </c>
      <c r="C66" s="5"/>
      <c r="D66" s="2" t="s">
        <v>655</v>
      </c>
    </row>
    <row r="67" spans="1:5" x14ac:dyDescent="0.55000000000000004">
      <c r="A67" s="59" t="s">
        <v>65</v>
      </c>
      <c r="B67" s="59"/>
      <c r="C67" s="5"/>
      <c r="D67" s="2" t="s">
        <v>656</v>
      </c>
    </row>
    <row r="68" spans="1:5" x14ac:dyDescent="0.55000000000000004">
      <c r="A68" s="3" t="s">
        <v>67</v>
      </c>
    </row>
    <row r="69" spans="1:5" x14ac:dyDescent="0.55000000000000004">
      <c r="A69" s="1" t="s">
        <v>68</v>
      </c>
      <c r="C69" s="1">
        <v>12</v>
      </c>
      <c r="D69" s="2">
        <v>26</v>
      </c>
    </row>
    <row r="70" spans="1:5" x14ac:dyDescent="0.55000000000000004">
      <c r="B70" s="1" t="s">
        <v>94</v>
      </c>
    </row>
    <row r="71" spans="1:5" x14ac:dyDescent="0.55000000000000004">
      <c r="C71" s="5" t="s">
        <v>657</v>
      </c>
      <c r="D71" s="7">
        <v>71.829787234042499</v>
      </c>
      <c r="E71" s="10">
        <v>41.984282126491003</v>
      </c>
    </row>
    <row r="72" spans="1:5" x14ac:dyDescent="0.55000000000000004">
      <c r="C72" s="5" t="s">
        <v>658</v>
      </c>
      <c r="D72" s="7">
        <v>30.978723404255302</v>
      </c>
      <c r="E72" s="10">
        <v>27.989521417660399</v>
      </c>
    </row>
    <row r="73" spans="1:5" x14ac:dyDescent="0.55000000000000004">
      <c r="C73" s="5" t="s">
        <v>659</v>
      </c>
      <c r="D73" s="7">
        <v>82.042553191489304</v>
      </c>
      <c r="E73" s="10">
        <v>18.300840926931901</v>
      </c>
    </row>
    <row r="74" spans="1:5" x14ac:dyDescent="0.55000000000000004">
      <c r="C74" s="5" t="s">
        <v>660</v>
      </c>
      <c r="D74" s="7">
        <v>88.170212765957402</v>
      </c>
      <c r="E74" s="10">
        <v>26.913001363134999</v>
      </c>
    </row>
    <row r="75" spans="1:5" x14ac:dyDescent="0.55000000000000004">
      <c r="C75" s="5" t="s">
        <v>661</v>
      </c>
      <c r="D75" s="7">
        <v>46.297872340425499</v>
      </c>
      <c r="E75" s="10">
        <v>38.754721962914402</v>
      </c>
    </row>
    <row r="76" spans="1:5" x14ac:dyDescent="0.55000000000000004">
      <c r="C76" s="5" t="s">
        <v>662</v>
      </c>
      <c r="D76" s="7">
        <v>103.829787234042</v>
      </c>
      <c r="E76" s="10">
        <v>15.071280763357199</v>
      </c>
    </row>
    <row r="77" spans="1:5" x14ac:dyDescent="0.55000000000000004">
      <c r="C77" s="5" t="s">
        <v>663</v>
      </c>
      <c r="D77" s="7">
        <v>94.638297872340402</v>
      </c>
      <c r="E77" s="10">
        <v>21.530401090507201</v>
      </c>
    </row>
    <row r="78" spans="1:5" x14ac:dyDescent="0.55000000000000004">
      <c r="C78" s="5" t="s">
        <v>664</v>
      </c>
      <c r="D78" s="7">
        <v>85.446808510638206</v>
      </c>
      <c r="E78" s="10">
        <v>21.5304010905082</v>
      </c>
    </row>
    <row r="79" spans="1:5" x14ac:dyDescent="0.55000000000000004">
      <c r="C79" s="5" t="s">
        <v>665</v>
      </c>
      <c r="D79" s="7">
        <v>94.297872340425499</v>
      </c>
      <c r="E79" s="10">
        <v>27.989521417658199</v>
      </c>
    </row>
    <row r="80" spans="1:5" x14ac:dyDescent="0.55000000000000004">
      <c r="C80" s="5" t="s">
        <v>666</v>
      </c>
      <c r="D80" s="7">
        <v>2.3561643835616399</v>
      </c>
      <c r="E80" s="10">
        <v>1.1262906734846201</v>
      </c>
    </row>
    <row r="81" spans="3:10" x14ac:dyDescent="0.55000000000000004">
      <c r="C81" s="5" t="s">
        <v>667</v>
      </c>
      <c r="D81" s="7">
        <v>2</v>
      </c>
      <c r="E81" s="10">
        <v>0.99633405731330904</v>
      </c>
    </row>
    <row r="82" spans="3:10" x14ac:dyDescent="0.55000000000000004">
      <c r="C82" s="5" t="s">
        <v>668</v>
      </c>
      <c r="D82" s="7">
        <v>1.20547945205479</v>
      </c>
      <c r="E82" s="10">
        <v>0.82305856908492103</v>
      </c>
    </row>
    <row r="83" spans="3:10" x14ac:dyDescent="0.55000000000000004">
      <c r="C83" s="5" t="s">
        <v>669</v>
      </c>
      <c r="D83" s="7">
        <v>1.8082191780821899</v>
      </c>
      <c r="E83" s="10">
        <v>1.03965292937042</v>
      </c>
    </row>
    <row r="84" spans="3:10" x14ac:dyDescent="0.55000000000000004">
      <c r="C84" s="5" t="s">
        <v>670</v>
      </c>
      <c r="D84" s="7">
        <v>2</v>
      </c>
      <c r="E84" s="10">
        <v>1.2995661617130001</v>
      </c>
    </row>
    <row r="85" spans="3:10" x14ac:dyDescent="0.55000000000000004">
      <c r="C85" s="5" t="s">
        <v>671</v>
      </c>
      <c r="D85" s="7">
        <v>1.7123287671232801</v>
      </c>
      <c r="E85" s="10">
        <v>0.82305856908492103</v>
      </c>
    </row>
    <row r="86" spans="3:10" x14ac:dyDescent="0.55000000000000004">
      <c r="C86" s="5" t="s">
        <v>672</v>
      </c>
      <c r="D86" s="7">
        <v>0.80821917808219101</v>
      </c>
      <c r="E86" s="10">
        <v>0.47650759262811399</v>
      </c>
    </row>
    <row r="87" spans="3:10" x14ac:dyDescent="0.55000000000000004">
      <c r="C87" s="5" t="s">
        <v>673</v>
      </c>
      <c r="D87" s="7">
        <v>1.72602739726027</v>
      </c>
      <c r="E87" s="10">
        <v>0.69310195291361498</v>
      </c>
    </row>
    <row r="88" spans="3:10" x14ac:dyDescent="0.55000000000000004">
      <c r="C88" s="5" t="s">
        <v>674</v>
      </c>
      <c r="D88" s="7">
        <v>1.0136986301369799</v>
      </c>
      <c r="E88" s="10">
        <v>0.60646420879942098</v>
      </c>
    </row>
    <row r="89" spans="3:10" x14ac:dyDescent="0.55000000000000004">
      <c r="C89" s="5" t="s">
        <v>675</v>
      </c>
      <c r="D89" s="7">
        <v>0.80821917808219101</v>
      </c>
      <c r="E89" s="10">
        <v>0.64978308085649905</v>
      </c>
    </row>
    <row r="90" spans="3:10" x14ac:dyDescent="0.55000000000000004">
      <c r="C90" s="5" t="s">
        <v>676</v>
      </c>
      <c r="D90" s="7">
        <v>0.73972602739726001</v>
      </c>
      <c r="E90" s="10">
        <v>0.60646420879941498</v>
      </c>
    </row>
    <row r="91" spans="3:10" x14ac:dyDescent="0.55000000000000004">
      <c r="C91" s="5" t="s">
        <v>677</v>
      </c>
      <c r="D91" s="7">
        <v>0.94520547945205402</v>
      </c>
      <c r="E91" s="10">
        <v>1.4728416499414101</v>
      </c>
    </row>
    <row r="92" spans="3:10" x14ac:dyDescent="0.55000000000000004">
      <c r="C92" s="5" t="s">
        <v>678</v>
      </c>
      <c r="D92" s="7">
        <f>D80+D84+D88</f>
        <v>5.3698630136986196</v>
      </c>
      <c r="E92" s="1">
        <f>SQRT(($D$23*(E80+(D80-AVERAGE(D80,D84,D88))^2)+$D$23*(E84+(D84-AVERAGE(D80,D84,D88))^2)+$D$23*(E88+(D84-AVERAGE(D80,D84,D88))^2))/($D$23+$D$23+$D$23))</f>
        <v>1.0710047027814833</v>
      </c>
      <c r="J92" s="1">
        <f>SQRT(((($D$23-1)*D80^2)+(($D$23-1)*D84^2)+(($D$23-1)*D88^2))/($D$23+$D$23+$D$23-3))</f>
        <v>1.877861861719865</v>
      </c>
    </row>
    <row r="93" spans="3:10" x14ac:dyDescent="0.55000000000000004">
      <c r="C93" s="5" t="s">
        <v>679</v>
      </c>
      <c r="D93" s="7">
        <f>D82+D86+D90</f>
        <v>2.7534246575342411</v>
      </c>
      <c r="E93" s="1">
        <f>SQRT(($D$23*(E82+(D82-AVERAGE(D82,D86,D90))^2)+$D$23*(E86+(D86-AVERAGE(D82,D86,D90))^2)+$D$23*(E90+(D86-AVERAGE(D82,D86,D90))^2))/($D$23+$D$23+$D$23))</f>
        <v>0.8191061438327939</v>
      </c>
      <c r="J93" s="1">
        <f>SQRT(((($D$23-1)*D82^2)+(($D$23-1)*D86^2)+(($D$23-1)*D90^2))/($D$23+$D$23+$D$23-3))</f>
        <v>0.94049517892705525</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AMJ93"/>
  <sheetViews>
    <sheetView topLeftCell="A45" zoomScale="90" zoomScaleNormal="90" workbookViewId="0">
      <selection activeCell="D47" sqref="D47"/>
    </sheetView>
  </sheetViews>
  <sheetFormatPr baseColWidth="10" defaultColWidth="11.41796875" defaultRowHeight="14.4" x14ac:dyDescent="0.55000000000000004"/>
  <cols>
    <col min="1" max="1" width="10.83984375" style="1" customWidth="1"/>
    <col min="2" max="2" width="18.83984375" style="1" customWidth="1"/>
    <col min="3" max="3" width="51.83984375" style="1" customWidth="1"/>
    <col min="4" max="4" width="56.15625" style="2" customWidth="1"/>
    <col min="5" max="5" width="19.15625" style="1" customWidth="1"/>
    <col min="6" max="1024" width="11.41796875" style="1"/>
  </cols>
  <sheetData>
    <row r="1" spans="1:5" x14ac:dyDescent="0.55000000000000004">
      <c r="A1" s="3" t="s">
        <v>0</v>
      </c>
      <c r="D1" s="2" t="s">
        <v>680</v>
      </c>
    </row>
    <row r="2" spans="1:5" x14ac:dyDescent="0.55000000000000004">
      <c r="A2" s="58" t="s">
        <v>2</v>
      </c>
      <c r="B2" s="58"/>
      <c r="D2" s="2" t="s">
        <v>645</v>
      </c>
    </row>
    <row r="3" spans="1:5" x14ac:dyDescent="0.55000000000000004">
      <c r="A3" s="58"/>
      <c r="B3" s="58"/>
      <c r="C3" s="5" t="s">
        <v>4</v>
      </c>
      <c r="D3" s="2" t="s">
        <v>646</v>
      </c>
    </row>
    <row r="4" spans="1:5" x14ac:dyDescent="0.55000000000000004">
      <c r="A4" s="58"/>
      <c r="B4" s="58"/>
      <c r="C4" s="5" t="s">
        <v>6</v>
      </c>
      <c r="D4" s="2">
        <v>1987</v>
      </c>
    </row>
    <row r="5" spans="1:5" x14ac:dyDescent="0.55000000000000004">
      <c r="A5" s="58"/>
      <c r="B5" s="58"/>
      <c r="C5" s="5" t="s">
        <v>7</v>
      </c>
      <c r="D5" s="2" t="s">
        <v>647</v>
      </c>
    </row>
    <row r="6" spans="1:5" x14ac:dyDescent="0.55000000000000004">
      <c r="A6" s="58"/>
      <c r="B6" s="58"/>
      <c r="C6" s="5" t="s">
        <v>9</v>
      </c>
      <c r="D6" s="2" t="s">
        <v>648</v>
      </c>
    </row>
    <row r="7" spans="1:5" x14ac:dyDescent="0.55000000000000004">
      <c r="A7" s="58"/>
      <c r="B7" s="58"/>
      <c r="C7" s="5" t="s">
        <v>11</v>
      </c>
      <c r="D7" s="2" t="s">
        <v>12</v>
      </c>
    </row>
    <row r="8" spans="1:5" x14ac:dyDescent="0.55000000000000004">
      <c r="A8" s="59" t="s">
        <v>13</v>
      </c>
      <c r="B8" s="59"/>
      <c r="C8" s="5"/>
    </row>
    <row r="9" spans="1:5" ht="26.1" x14ac:dyDescent="0.55000000000000004">
      <c r="A9" s="58"/>
      <c r="B9" s="58"/>
      <c r="C9" s="5" t="s">
        <v>14</v>
      </c>
      <c r="D9" s="2" t="s">
        <v>649</v>
      </c>
    </row>
    <row r="10" spans="1:5" x14ac:dyDescent="0.55000000000000004">
      <c r="A10" s="58"/>
      <c r="B10" s="58"/>
      <c r="C10" s="5" t="s">
        <v>16</v>
      </c>
      <c r="D10" s="2" t="s">
        <v>86</v>
      </c>
      <c r="E10" s="1" t="s">
        <v>650</v>
      </c>
    </row>
    <row r="11" spans="1:5" x14ac:dyDescent="0.55000000000000004">
      <c r="A11" s="58"/>
      <c r="B11" s="58"/>
      <c r="C11" s="5" t="s">
        <v>19</v>
      </c>
      <c r="D11" s="2" t="s">
        <v>20</v>
      </c>
    </row>
    <row r="12" spans="1:5" x14ac:dyDescent="0.55000000000000004">
      <c r="A12" s="58"/>
      <c r="B12" s="58"/>
      <c r="C12" s="5" t="s">
        <v>21</v>
      </c>
      <c r="D12" s="2" t="s">
        <v>20</v>
      </c>
    </row>
    <row r="13" spans="1:5" x14ac:dyDescent="0.55000000000000004">
      <c r="A13" s="58"/>
      <c r="B13" s="58"/>
      <c r="C13" s="5" t="s">
        <v>22</v>
      </c>
      <c r="D13" s="2" t="s">
        <v>20</v>
      </c>
    </row>
    <row r="14" spans="1:5" x14ac:dyDescent="0.55000000000000004">
      <c r="A14" s="59" t="s">
        <v>24</v>
      </c>
      <c r="B14" s="59"/>
      <c r="C14" s="5"/>
    </row>
    <row r="15" spans="1:5" x14ac:dyDescent="0.55000000000000004">
      <c r="A15" s="58"/>
      <c r="B15" s="58"/>
      <c r="C15" s="5" t="s">
        <v>25</v>
      </c>
      <c r="D15" s="2" t="s">
        <v>181</v>
      </c>
    </row>
    <row r="16" spans="1:5" x14ac:dyDescent="0.55000000000000004">
      <c r="A16" s="58"/>
      <c r="B16" s="58"/>
      <c r="C16" s="5" t="s">
        <v>27</v>
      </c>
      <c r="D16" s="2" t="s">
        <v>651</v>
      </c>
    </row>
    <row r="17" spans="1:4" x14ac:dyDescent="0.55000000000000004">
      <c r="A17" s="59" t="s">
        <v>29</v>
      </c>
      <c r="B17" s="59"/>
      <c r="C17" s="5"/>
    </row>
    <row r="18" spans="1:4" x14ac:dyDescent="0.55000000000000004">
      <c r="A18" s="58"/>
      <c r="B18" s="58"/>
      <c r="C18" s="5" t="s">
        <v>30</v>
      </c>
      <c r="D18" s="2" t="s">
        <v>31</v>
      </c>
    </row>
    <row r="19" spans="1:4" x14ac:dyDescent="0.55000000000000004">
      <c r="A19" s="58"/>
      <c r="B19" s="58"/>
      <c r="C19" s="5" t="s">
        <v>32</v>
      </c>
      <c r="D19" s="2" t="s">
        <v>20</v>
      </c>
    </row>
    <row r="20" spans="1:4" x14ac:dyDescent="0.55000000000000004">
      <c r="A20" s="59" t="s">
        <v>34</v>
      </c>
      <c r="B20" s="59"/>
      <c r="C20" s="5"/>
      <c r="D20" s="2" t="s">
        <v>35</v>
      </c>
    </row>
    <row r="21" spans="1:4" x14ac:dyDescent="0.55000000000000004">
      <c r="A21" s="58"/>
      <c r="B21" s="58"/>
      <c r="C21" s="5" t="s">
        <v>36</v>
      </c>
      <c r="D21" s="2">
        <v>10</v>
      </c>
    </row>
    <row r="22" spans="1:4" x14ac:dyDescent="0.55000000000000004">
      <c r="A22" s="58"/>
      <c r="B22" s="58"/>
      <c r="C22" s="5" t="s">
        <v>37</v>
      </c>
      <c r="D22" s="2" t="s">
        <v>20</v>
      </c>
    </row>
    <row r="23" spans="1:4" x14ac:dyDescent="0.55000000000000004">
      <c r="A23" s="58"/>
      <c r="B23" s="58"/>
      <c r="C23" s="5" t="s">
        <v>38</v>
      </c>
      <c r="D23" s="2">
        <v>10</v>
      </c>
    </row>
    <row r="24" spans="1:4" x14ac:dyDescent="0.55000000000000004">
      <c r="A24" s="58"/>
      <c r="B24" s="58"/>
      <c r="C24" s="5" t="s">
        <v>39</v>
      </c>
      <c r="D24" s="2" t="s">
        <v>20</v>
      </c>
    </row>
    <row r="25" spans="1:4" x14ac:dyDescent="0.55000000000000004">
      <c r="A25" s="58"/>
      <c r="B25" s="58"/>
      <c r="C25" s="5" t="s">
        <v>40</v>
      </c>
      <c r="D25" s="2">
        <v>0</v>
      </c>
    </row>
    <row r="26" spans="1:4" x14ac:dyDescent="0.55000000000000004">
      <c r="A26" s="58"/>
      <c r="B26" s="58"/>
      <c r="C26" s="5" t="s">
        <v>41</v>
      </c>
      <c r="D26" s="7">
        <v>62.2</v>
      </c>
    </row>
    <row r="27" spans="1:4" x14ac:dyDescent="0.55000000000000004">
      <c r="A27" s="58"/>
      <c r="B27" s="58"/>
      <c r="C27" s="5" t="s">
        <v>42</v>
      </c>
      <c r="D27" s="7">
        <v>3.8</v>
      </c>
    </row>
    <row r="28" spans="1:4" x14ac:dyDescent="0.55000000000000004">
      <c r="A28" s="58"/>
      <c r="B28" s="58"/>
      <c r="C28" s="5" t="s">
        <v>43</v>
      </c>
      <c r="D28" s="2" t="s">
        <v>20</v>
      </c>
    </row>
    <row r="29" spans="1:4" x14ac:dyDescent="0.55000000000000004">
      <c r="A29" s="58"/>
      <c r="B29" s="58"/>
      <c r="C29" s="5" t="s">
        <v>44</v>
      </c>
      <c r="D29" s="2" t="s">
        <v>20</v>
      </c>
    </row>
    <row r="30" spans="1:4" x14ac:dyDescent="0.55000000000000004">
      <c r="A30" s="58"/>
      <c r="B30" s="58"/>
      <c r="C30" s="5" t="s">
        <v>45</v>
      </c>
      <c r="D30" s="2" t="s">
        <v>20</v>
      </c>
    </row>
    <row r="31" spans="1:4" x14ac:dyDescent="0.55000000000000004">
      <c r="A31" s="58"/>
      <c r="B31" s="58"/>
      <c r="C31" s="5" t="s">
        <v>46</v>
      </c>
      <c r="D31" s="2" t="s">
        <v>20</v>
      </c>
    </row>
    <row r="32" spans="1:4" x14ac:dyDescent="0.55000000000000004">
      <c r="A32" s="59" t="s">
        <v>47</v>
      </c>
      <c r="B32" s="59"/>
      <c r="C32" s="5"/>
    </row>
    <row r="33" spans="1:10" ht="64.8" x14ac:dyDescent="0.55000000000000004">
      <c r="A33" s="58"/>
      <c r="B33" s="58"/>
      <c r="C33" s="5" t="s">
        <v>48</v>
      </c>
      <c r="D33" s="2" t="s">
        <v>652</v>
      </c>
    </row>
    <row r="34" spans="1:10" x14ac:dyDescent="0.55000000000000004">
      <c r="A34" s="59" t="s">
        <v>50</v>
      </c>
      <c r="B34" s="59"/>
      <c r="C34" s="5"/>
    </row>
    <row r="35" spans="1:10" x14ac:dyDescent="0.55000000000000004">
      <c r="A35" s="8"/>
      <c r="B35" s="8"/>
      <c r="C35" s="5"/>
    </row>
    <row r="36" spans="1:10" x14ac:dyDescent="0.55000000000000004">
      <c r="A36" s="59"/>
      <c r="B36" s="5" t="s">
        <v>59</v>
      </c>
      <c r="C36" s="5"/>
      <c r="D36" s="2" t="s">
        <v>51</v>
      </c>
      <c r="E36" s="1" t="s">
        <v>52</v>
      </c>
      <c r="F36" s="1" t="s">
        <v>53</v>
      </c>
      <c r="G36" s="1" t="s">
        <v>54</v>
      </c>
      <c r="H36" s="1" t="s">
        <v>55</v>
      </c>
      <c r="I36" s="1" t="s">
        <v>56</v>
      </c>
      <c r="J36" s="1" t="s">
        <v>57</v>
      </c>
    </row>
    <row r="37" spans="1:10" x14ac:dyDescent="0.55000000000000004">
      <c r="A37" s="59"/>
      <c r="B37" s="5"/>
    </row>
    <row r="38" spans="1:10" x14ac:dyDescent="0.55000000000000004">
      <c r="A38" s="59"/>
      <c r="B38" s="5"/>
    </row>
    <row r="39" spans="1:10" x14ac:dyDescent="0.55000000000000004">
      <c r="A39" s="59"/>
      <c r="B39" s="5"/>
    </row>
    <row r="40" spans="1:10" x14ac:dyDescent="0.55000000000000004">
      <c r="A40" s="59"/>
      <c r="B40" s="5"/>
    </row>
    <row r="41" spans="1:10" x14ac:dyDescent="0.55000000000000004">
      <c r="A41" s="59"/>
      <c r="B41" s="5"/>
    </row>
    <row r="42" spans="1:10" x14ac:dyDescent="0.55000000000000004">
      <c r="A42" s="59"/>
      <c r="B42" s="5"/>
    </row>
    <row r="43" spans="1:10" x14ac:dyDescent="0.55000000000000004">
      <c r="A43" s="59"/>
      <c r="B43" s="5"/>
    </row>
    <row r="44" spans="1:10" x14ac:dyDescent="0.55000000000000004">
      <c r="A44" s="59"/>
      <c r="B44" s="5"/>
    </row>
    <row r="45" spans="1:10" x14ac:dyDescent="0.55000000000000004">
      <c r="A45" s="59"/>
      <c r="B45" s="1" t="s">
        <v>61</v>
      </c>
    </row>
    <row r="46" spans="1:10" x14ac:dyDescent="0.55000000000000004">
      <c r="A46" s="59"/>
      <c r="B46" s="5"/>
      <c r="C46" s="5" t="s">
        <v>681</v>
      </c>
      <c r="D46" s="7">
        <v>2.3561643835616399</v>
      </c>
      <c r="E46" s="10">
        <v>1.1262906734846201</v>
      </c>
    </row>
    <row r="47" spans="1:10" x14ac:dyDescent="0.55000000000000004">
      <c r="A47" s="59"/>
      <c r="B47" s="5"/>
      <c r="C47" s="5" t="s">
        <v>682</v>
      </c>
      <c r="D47" s="7">
        <v>1.8082191780821899</v>
      </c>
      <c r="E47" s="10">
        <v>1.03965292937042</v>
      </c>
    </row>
    <row r="48" spans="1:10" x14ac:dyDescent="0.55000000000000004">
      <c r="A48" s="59"/>
      <c r="B48" s="5"/>
      <c r="C48" s="5" t="s">
        <v>79</v>
      </c>
      <c r="D48" s="7">
        <v>1</v>
      </c>
    </row>
    <row r="49" spans="1:5" x14ac:dyDescent="0.55000000000000004">
      <c r="A49" s="59"/>
      <c r="B49" s="5"/>
    </row>
    <row r="50" spans="1:5" x14ac:dyDescent="0.55000000000000004">
      <c r="A50" s="59"/>
      <c r="B50" s="5"/>
    </row>
    <row r="51" spans="1:5" x14ac:dyDescent="0.55000000000000004">
      <c r="A51" s="59"/>
      <c r="B51" s="5"/>
    </row>
    <row r="52" spans="1:5" x14ac:dyDescent="0.55000000000000004">
      <c r="A52" s="59"/>
      <c r="B52" s="5"/>
    </row>
    <row r="53" spans="1:5" x14ac:dyDescent="0.55000000000000004">
      <c r="A53" s="59"/>
      <c r="B53" s="5"/>
    </row>
    <row r="54" spans="1:5" x14ac:dyDescent="0.55000000000000004">
      <c r="A54" s="59"/>
      <c r="B54" s="5"/>
    </row>
    <row r="55" spans="1:5" x14ac:dyDescent="0.55000000000000004">
      <c r="A55" s="59"/>
      <c r="B55" s="5"/>
    </row>
    <row r="56" spans="1:5" x14ac:dyDescent="0.55000000000000004">
      <c r="A56" s="59"/>
      <c r="B56" s="5"/>
    </row>
    <row r="57" spans="1:5" x14ac:dyDescent="0.55000000000000004">
      <c r="A57" s="59"/>
      <c r="B57" s="5"/>
    </row>
    <row r="58" spans="1:5" x14ac:dyDescent="0.55000000000000004">
      <c r="A58" s="59"/>
      <c r="B58" s="5"/>
      <c r="E58" s="10"/>
    </row>
    <row r="59" spans="1:5" x14ac:dyDescent="0.55000000000000004">
      <c r="A59" s="59"/>
      <c r="B59" s="5"/>
      <c r="C59" s="5"/>
      <c r="D59" s="7"/>
      <c r="E59" s="10"/>
    </row>
    <row r="60" spans="1:5" x14ac:dyDescent="0.55000000000000004">
      <c r="A60" s="59"/>
      <c r="B60" s="5"/>
      <c r="C60" s="5"/>
      <c r="D60" s="7"/>
      <c r="E60" s="10"/>
    </row>
    <row r="61" spans="1:5" x14ac:dyDescent="0.55000000000000004">
      <c r="A61" s="59"/>
      <c r="B61" s="5"/>
      <c r="C61" s="5"/>
      <c r="D61" s="7"/>
      <c r="E61" s="10"/>
    </row>
    <row r="62" spans="1:5" x14ac:dyDescent="0.55000000000000004">
      <c r="A62" s="59"/>
      <c r="B62" s="5"/>
      <c r="C62" s="5"/>
      <c r="D62" s="7"/>
      <c r="E62" s="10"/>
    </row>
    <row r="63" spans="1:5" x14ac:dyDescent="0.55000000000000004">
      <c r="A63" s="59"/>
    </row>
    <row r="64" spans="1:5" x14ac:dyDescent="0.55000000000000004">
      <c r="A64" s="59"/>
      <c r="B64" s="5"/>
      <c r="C64" s="5"/>
    </row>
    <row r="65" spans="1:5" x14ac:dyDescent="0.55000000000000004">
      <c r="A65" s="59"/>
      <c r="B65" s="5" t="s">
        <v>62</v>
      </c>
      <c r="C65" s="5"/>
    </row>
    <row r="66" spans="1:5" x14ac:dyDescent="0.55000000000000004">
      <c r="A66" s="59"/>
      <c r="B66" s="5" t="s">
        <v>63</v>
      </c>
      <c r="C66" s="5"/>
      <c r="D66" s="2" t="s">
        <v>655</v>
      </c>
    </row>
    <row r="67" spans="1:5" x14ac:dyDescent="0.55000000000000004">
      <c r="A67" s="59" t="s">
        <v>65</v>
      </c>
      <c r="B67" s="59"/>
      <c r="C67" s="5"/>
      <c r="D67" s="2" t="s">
        <v>656</v>
      </c>
    </row>
    <row r="68" spans="1:5" x14ac:dyDescent="0.55000000000000004">
      <c r="A68" s="3" t="s">
        <v>67</v>
      </c>
    </row>
    <row r="69" spans="1:5" x14ac:dyDescent="0.55000000000000004">
      <c r="A69" s="1" t="s">
        <v>68</v>
      </c>
      <c r="C69" s="1">
        <v>12</v>
      </c>
      <c r="D69" s="2">
        <v>26</v>
      </c>
    </row>
    <row r="70" spans="1:5" x14ac:dyDescent="0.55000000000000004">
      <c r="B70" s="1" t="s">
        <v>94</v>
      </c>
    </row>
    <row r="71" spans="1:5" x14ac:dyDescent="0.55000000000000004">
      <c r="C71" s="5" t="s">
        <v>657</v>
      </c>
      <c r="D71" s="7">
        <v>71.829787234042499</v>
      </c>
      <c r="E71" s="10">
        <v>41.984282126491003</v>
      </c>
    </row>
    <row r="72" spans="1:5" x14ac:dyDescent="0.55000000000000004">
      <c r="C72" s="5" t="s">
        <v>658</v>
      </c>
      <c r="D72" s="7">
        <v>30.978723404255302</v>
      </c>
      <c r="E72" s="10">
        <v>27.989521417660399</v>
      </c>
    </row>
    <row r="73" spans="1:5" x14ac:dyDescent="0.55000000000000004">
      <c r="C73" s="5" t="s">
        <v>659</v>
      </c>
      <c r="D73" s="7">
        <v>82.042553191489304</v>
      </c>
      <c r="E73" s="10">
        <v>18.300840926931901</v>
      </c>
    </row>
    <row r="74" spans="1:5" x14ac:dyDescent="0.55000000000000004">
      <c r="C74" s="5" t="s">
        <v>660</v>
      </c>
      <c r="D74" s="7">
        <v>88.170212765957402</v>
      </c>
      <c r="E74" s="10">
        <v>26.913001363134999</v>
      </c>
    </row>
    <row r="75" spans="1:5" x14ac:dyDescent="0.55000000000000004">
      <c r="C75" s="5" t="s">
        <v>661</v>
      </c>
      <c r="D75" s="7">
        <v>46.297872340425499</v>
      </c>
      <c r="E75" s="10">
        <v>38.754721962914402</v>
      </c>
    </row>
    <row r="76" spans="1:5" x14ac:dyDescent="0.55000000000000004">
      <c r="C76" s="5" t="s">
        <v>662</v>
      </c>
      <c r="D76" s="7">
        <v>103.829787234042</v>
      </c>
      <c r="E76" s="10">
        <v>15.071280763357199</v>
      </c>
    </row>
    <row r="77" spans="1:5" x14ac:dyDescent="0.55000000000000004">
      <c r="C77" s="5" t="s">
        <v>663</v>
      </c>
      <c r="D77" s="7">
        <v>94.638297872340402</v>
      </c>
      <c r="E77" s="10">
        <v>21.530401090507201</v>
      </c>
    </row>
    <row r="78" spans="1:5" x14ac:dyDescent="0.55000000000000004">
      <c r="C78" s="5" t="s">
        <v>664</v>
      </c>
      <c r="D78" s="7">
        <v>85.446808510638206</v>
      </c>
      <c r="E78" s="10">
        <v>21.5304010905082</v>
      </c>
    </row>
    <row r="79" spans="1:5" x14ac:dyDescent="0.55000000000000004">
      <c r="C79" s="5" t="s">
        <v>665</v>
      </c>
      <c r="D79" s="7">
        <v>94.297872340425499</v>
      </c>
      <c r="E79" s="10">
        <v>27.989521417658199</v>
      </c>
    </row>
    <row r="80" spans="1:5" x14ac:dyDescent="0.55000000000000004">
      <c r="C80" s="5" t="s">
        <v>666</v>
      </c>
      <c r="D80" s="7">
        <v>2.3561643835616399</v>
      </c>
      <c r="E80" s="10">
        <v>1.1262906734846201</v>
      </c>
    </row>
    <row r="81" spans="3:10" x14ac:dyDescent="0.55000000000000004">
      <c r="C81" s="5" t="s">
        <v>667</v>
      </c>
      <c r="D81" s="7">
        <v>2</v>
      </c>
      <c r="E81" s="10">
        <v>0.99633405731330904</v>
      </c>
    </row>
    <row r="82" spans="3:10" x14ac:dyDescent="0.55000000000000004">
      <c r="C82" s="5" t="s">
        <v>668</v>
      </c>
      <c r="D82" s="7">
        <v>1.20547945205479</v>
      </c>
      <c r="E82" s="10">
        <v>0.82305856908492103</v>
      </c>
    </row>
    <row r="83" spans="3:10" x14ac:dyDescent="0.55000000000000004">
      <c r="C83" s="5" t="s">
        <v>669</v>
      </c>
      <c r="D83" s="7">
        <v>1.8082191780821899</v>
      </c>
      <c r="E83" s="10">
        <v>1.03965292937042</v>
      </c>
    </row>
    <row r="84" spans="3:10" x14ac:dyDescent="0.55000000000000004">
      <c r="C84" s="5" t="s">
        <v>670</v>
      </c>
      <c r="D84" s="7">
        <v>2</v>
      </c>
      <c r="E84" s="10">
        <v>1.2995661617130001</v>
      </c>
    </row>
    <row r="85" spans="3:10" x14ac:dyDescent="0.55000000000000004">
      <c r="C85" s="5" t="s">
        <v>671</v>
      </c>
      <c r="D85" s="7">
        <v>1.7123287671232801</v>
      </c>
      <c r="E85" s="10">
        <v>0.82305856908492103</v>
      </c>
    </row>
    <row r="86" spans="3:10" x14ac:dyDescent="0.55000000000000004">
      <c r="C86" s="5" t="s">
        <v>672</v>
      </c>
      <c r="D86" s="7">
        <v>0.80821917808219101</v>
      </c>
      <c r="E86" s="10">
        <v>0.47650759262811399</v>
      </c>
    </row>
    <row r="87" spans="3:10" x14ac:dyDescent="0.55000000000000004">
      <c r="C87" s="5" t="s">
        <v>673</v>
      </c>
      <c r="D87" s="7">
        <v>1.72602739726027</v>
      </c>
      <c r="E87" s="10">
        <v>0.69310195291361498</v>
      </c>
    </row>
    <row r="88" spans="3:10" x14ac:dyDescent="0.55000000000000004">
      <c r="C88" s="5" t="s">
        <v>674</v>
      </c>
      <c r="D88" s="7">
        <v>1.0136986301369799</v>
      </c>
      <c r="E88" s="10">
        <v>0.60646420879942098</v>
      </c>
    </row>
    <row r="89" spans="3:10" x14ac:dyDescent="0.55000000000000004">
      <c r="C89" s="5" t="s">
        <v>675</v>
      </c>
      <c r="D89" s="7">
        <v>0.80821917808219101</v>
      </c>
      <c r="E89" s="10">
        <v>0.64978308085649905</v>
      </c>
    </row>
    <row r="90" spans="3:10" x14ac:dyDescent="0.55000000000000004">
      <c r="C90" s="5" t="s">
        <v>676</v>
      </c>
      <c r="D90" s="7">
        <v>0.73972602739726001</v>
      </c>
      <c r="E90" s="10">
        <v>0.60646420879941498</v>
      </c>
    </row>
    <row r="91" spans="3:10" x14ac:dyDescent="0.55000000000000004">
      <c r="C91" s="5" t="s">
        <v>677</v>
      </c>
      <c r="D91" s="7">
        <v>0.94520547945205402</v>
      </c>
      <c r="E91" s="10">
        <v>1.4728416499414101</v>
      </c>
    </row>
    <row r="92" spans="3:10" x14ac:dyDescent="0.55000000000000004">
      <c r="C92" s="5" t="s">
        <v>681</v>
      </c>
      <c r="D92" s="7">
        <f>D80+D84+D88</f>
        <v>5.3698630136986196</v>
      </c>
      <c r="E92" s="1">
        <f>SQRT(($D$23*(E80+(D80-AVERAGE(D80,D84,D88))^2)+$D$23*(E84+(D84-AVERAGE(D80,D84,D88))^2)+$D$23*(E88+(D84-AVERAGE(D80,D84,D88))^2))/($D$23+$D$23+$D$23))</f>
        <v>1.0710047027814833</v>
      </c>
      <c r="J92" s="10">
        <f>SQRT(((($D$23-1)*E80^2)+(($D$23-1)*E84^2)+(($D$23-1)*E88^2))/($D$23+$D$23+$D$23-3))</f>
        <v>1.0528060483619646</v>
      </c>
    </row>
    <row r="93" spans="3:10" x14ac:dyDescent="0.55000000000000004">
      <c r="C93" s="5" t="s">
        <v>682</v>
      </c>
      <c r="D93" s="7">
        <f>D83+D87+D91</f>
        <v>4.479452054794514</v>
      </c>
      <c r="E93" s="1">
        <f>SQRT(($D$23*(E83+(D83-AVERAGE(D83,D87,D91))^2)+$D$23*(E87+(D87-AVERAGE(D83,D87,D91))^2)+$D$23*(E91+(D87-AVERAGE(D83,D87,D91))^2))/($D$23+$D$23+$D$23))</f>
        <v>1.0666658042535782</v>
      </c>
      <c r="J93" s="10">
        <f>SQRT(((($D$23-1)*E83^2)+(($D$23-1)*E87^2)+(($D$23-1)*E91^2))/($D$23+$D$23+$D$23-3))</f>
        <v>1.1151279532686369</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AMJ74"/>
  <sheetViews>
    <sheetView topLeftCell="A43" zoomScale="90" zoomScaleNormal="90" workbookViewId="0">
      <selection activeCell="D46" sqref="D46"/>
    </sheetView>
  </sheetViews>
  <sheetFormatPr baseColWidth="10" defaultColWidth="11" defaultRowHeight="14.4" x14ac:dyDescent="0.55000000000000004"/>
  <cols>
    <col min="1" max="1" width="11" style="1"/>
    <col min="2" max="2" width="15.41796875" style="1" customWidth="1"/>
    <col min="3" max="3" width="42" style="1" customWidth="1"/>
    <col min="4" max="4" width="54.15625" style="1" customWidth="1"/>
    <col min="5" max="5" width="13" style="1" customWidth="1"/>
    <col min="6" max="1024" width="11" style="1"/>
  </cols>
  <sheetData>
    <row r="1" spans="1:5" x14ac:dyDescent="0.55000000000000004">
      <c r="A1" s="3" t="s">
        <v>0</v>
      </c>
      <c r="D1" s="2" t="s">
        <v>97</v>
      </c>
    </row>
    <row r="2" spans="1:5" ht="26.1" x14ac:dyDescent="0.55000000000000004">
      <c r="A2" s="58" t="s">
        <v>2</v>
      </c>
      <c r="B2" s="58"/>
      <c r="D2" s="2" t="s">
        <v>683</v>
      </c>
    </row>
    <row r="3" spans="1:5" x14ac:dyDescent="0.55000000000000004">
      <c r="A3" s="58"/>
      <c r="B3" s="58"/>
      <c r="C3" s="5" t="s">
        <v>4</v>
      </c>
      <c r="D3" s="2" t="s">
        <v>684</v>
      </c>
    </row>
    <row r="4" spans="1:5" x14ac:dyDescent="0.55000000000000004">
      <c r="A4" s="58"/>
      <c r="B4" s="58"/>
      <c r="C4" s="5" t="s">
        <v>6</v>
      </c>
      <c r="D4" s="2">
        <v>2002</v>
      </c>
    </row>
    <row r="5" spans="1:5" ht="26.1" x14ac:dyDescent="0.55000000000000004">
      <c r="A5" s="58"/>
      <c r="B5" s="58"/>
      <c r="C5" s="5" t="s">
        <v>7</v>
      </c>
      <c r="D5" s="2" t="s">
        <v>685</v>
      </c>
    </row>
    <row r="6" spans="1:5" x14ac:dyDescent="0.55000000000000004">
      <c r="A6" s="58"/>
      <c r="B6" s="58"/>
      <c r="C6" s="5" t="s">
        <v>9</v>
      </c>
      <c r="D6" s="2" t="s">
        <v>535</v>
      </c>
    </row>
    <row r="7" spans="1:5" x14ac:dyDescent="0.55000000000000004">
      <c r="A7" s="58"/>
      <c r="B7" s="58"/>
      <c r="C7" s="5" t="s">
        <v>11</v>
      </c>
      <c r="D7" s="2" t="s">
        <v>12</v>
      </c>
    </row>
    <row r="8" spans="1:5" x14ac:dyDescent="0.55000000000000004">
      <c r="A8" s="59" t="s">
        <v>13</v>
      </c>
      <c r="B8" s="59"/>
      <c r="C8" s="5"/>
      <c r="D8" s="2"/>
    </row>
    <row r="9" spans="1:5" ht="39" x14ac:dyDescent="0.55000000000000004">
      <c r="A9" s="58"/>
      <c r="B9" s="58"/>
      <c r="C9" s="5" t="s">
        <v>14</v>
      </c>
      <c r="D9" s="2" t="s">
        <v>686</v>
      </c>
    </row>
    <row r="10" spans="1:5" x14ac:dyDescent="0.55000000000000004">
      <c r="A10" s="58"/>
      <c r="B10" s="58"/>
      <c r="C10" s="5" t="s">
        <v>16</v>
      </c>
      <c r="D10" s="2" t="s">
        <v>165</v>
      </c>
      <c r="E10" s="1" t="s">
        <v>496</v>
      </c>
    </row>
    <row r="11" spans="1:5" x14ac:dyDescent="0.55000000000000004">
      <c r="A11" s="58"/>
      <c r="B11" s="58"/>
      <c r="C11" s="5" t="s">
        <v>19</v>
      </c>
      <c r="D11" s="2" t="s">
        <v>20</v>
      </c>
    </row>
    <row r="12" spans="1:5" x14ac:dyDescent="0.55000000000000004">
      <c r="A12" s="58"/>
      <c r="B12" s="58"/>
      <c r="C12" s="5" t="s">
        <v>21</v>
      </c>
      <c r="D12" s="2" t="s">
        <v>20</v>
      </c>
    </row>
    <row r="13" spans="1:5" x14ac:dyDescent="0.55000000000000004">
      <c r="A13" s="58"/>
      <c r="B13" s="58"/>
      <c r="C13" s="5" t="s">
        <v>22</v>
      </c>
      <c r="D13" s="1" t="s">
        <v>20</v>
      </c>
    </row>
    <row r="14" spans="1:5" x14ac:dyDescent="0.55000000000000004">
      <c r="A14" s="59" t="s">
        <v>24</v>
      </c>
      <c r="B14" s="59"/>
      <c r="C14" s="5"/>
      <c r="D14" s="2"/>
    </row>
    <row r="15" spans="1:5" x14ac:dyDescent="0.55000000000000004">
      <c r="A15" s="58"/>
      <c r="B15" s="58"/>
      <c r="C15" s="5" t="s">
        <v>25</v>
      </c>
      <c r="D15" s="2" t="s">
        <v>687</v>
      </c>
    </row>
    <row r="16" spans="1:5" x14ac:dyDescent="0.55000000000000004">
      <c r="A16" s="58"/>
      <c r="B16" s="58"/>
      <c r="C16" s="5" t="s">
        <v>27</v>
      </c>
      <c r="D16" s="2" t="s">
        <v>688</v>
      </c>
    </row>
    <row r="17" spans="1:5" x14ac:dyDescent="0.55000000000000004">
      <c r="A17" s="59" t="s">
        <v>29</v>
      </c>
      <c r="B17" s="59"/>
      <c r="C17" s="5"/>
      <c r="D17" s="2"/>
    </row>
    <row r="18" spans="1:5" ht="26.1" x14ac:dyDescent="0.55000000000000004">
      <c r="A18" s="58"/>
      <c r="B18" s="58"/>
      <c r="C18" s="5" t="s">
        <v>30</v>
      </c>
      <c r="D18" s="2" t="s">
        <v>689</v>
      </c>
    </row>
    <row r="19" spans="1:5" x14ac:dyDescent="0.55000000000000004">
      <c r="A19" s="58"/>
      <c r="B19" s="58"/>
      <c r="C19" s="5" t="s">
        <v>32</v>
      </c>
      <c r="D19" s="2" t="s">
        <v>20</v>
      </c>
    </row>
    <row r="20" spans="1:5" x14ac:dyDescent="0.55000000000000004">
      <c r="A20" s="59" t="s">
        <v>34</v>
      </c>
      <c r="B20" s="59"/>
      <c r="C20" s="5"/>
      <c r="D20" s="2" t="s">
        <v>35</v>
      </c>
    </row>
    <row r="21" spans="1:5" x14ac:dyDescent="0.55000000000000004">
      <c r="A21" s="58"/>
      <c r="B21" s="58"/>
      <c r="C21" s="5" t="s">
        <v>36</v>
      </c>
      <c r="D21" s="2">
        <v>10</v>
      </c>
    </row>
    <row r="22" spans="1:5" x14ac:dyDescent="0.55000000000000004">
      <c r="A22" s="58"/>
      <c r="B22" s="58"/>
      <c r="C22" s="5" t="s">
        <v>37</v>
      </c>
      <c r="D22" s="2">
        <v>10</v>
      </c>
    </row>
    <row r="23" spans="1:5" x14ac:dyDescent="0.55000000000000004">
      <c r="A23" s="58"/>
      <c r="B23" s="58"/>
      <c r="C23" s="5" t="s">
        <v>38</v>
      </c>
      <c r="D23" s="2">
        <v>10</v>
      </c>
    </row>
    <row r="24" spans="1:5" x14ac:dyDescent="0.55000000000000004">
      <c r="A24" s="58"/>
      <c r="B24" s="58"/>
      <c r="C24" s="5" t="s">
        <v>39</v>
      </c>
      <c r="D24" s="2">
        <v>0</v>
      </c>
    </row>
    <row r="25" spans="1:5" x14ac:dyDescent="0.55000000000000004">
      <c r="A25" s="58"/>
      <c r="B25" s="58"/>
      <c r="C25" s="5" t="s">
        <v>40</v>
      </c>
      <c r="D25" s="7">
        <f>3/10</f>
        <v>0.3</v>
      </c>
    </row>
    <row r="26" spans="1:5" x14ac:dyDescent="0.55000000000000004">
      <c r="A26" s="58"/>
      <c r="B26" s="58"/>
      <c r="C26" s="5" t="s">
        <v>41</v>
      </c>
      <c r="D26" s="7">
        <v>69</v>
      </c>
    </row>
    <row r="27" spans="1:5" x14ac:dyDescent="0.55000000000000004">
      <c r="A27" s="58"/>
      <c r="B27" s="58"/>
      <c r="C27" s="5" t="s">
        <v>42</v>
      </c>
      <c r="D27" s="7">
        <v>6</v>
      </c>
    </row>
    <row r="28" spans="1:5" x14ac:dyDescent="0.55000000000000004">
      <c r="A28" s="58"/>
      <c r="B28" s="58"/>
      <c r="C28" s="5" t="s">
        <v>43</v>
      </c>
      <c r="D28" s="2" t="s">
        <v>20</v>
      </c>
    </row>
    <row r="29" spans="1:5" x14ac:dyDescent="0.55000000000000004">
      <c r="A29" s="58"/>
      <c r="B29" s="58"/>
      <c r="C29" s="5" t="s">
        <v>168</v>
      </c>
      <c r="D29" s="7">
        <v>2.4</v>
      </c>
      <c r="E29" s="1" t="s">
        <v>51</v>
      </c>
    </row>
    <row r="30" spans="1:5" x14ac:dyDescent="0.55000000000000004">
      <c r="A30" s="58"/>
      <c r="B30" s="58"/>
      <c r="C30" s="5" t="s">
        <v>45</v>
      </c>
      <c r="D30" s="2" t="s">
        <v>20</v>
      </c>
    </row>
    <row r="31" spans="1:5" x14ac:dyDescent="0.55000000000000004">
      <c r="A31" s="58"/>
      <c r="B31" s="58"/>
      <c r="C31" s="5" t="s">
        <v>46</v>
      </c>
      <c r="D31" s="2" t="s">
        <v>20</v>
      </c>
    </row>
    <row r="32" spans="1:5" x14ac:dyDescent="0.55000000000000004">
      <c r="A32" s="59" t="s">
        <v>47</v>
      </c>
      <c r="B32" s="59"/>
      <c r="C32" s="5"/>
      <c r="D32" s="2"/>
    </row>
    <row r="33" spans="1:10" ht="51.9" x14ac:dyDescent="0.55000000000000004">
      <c r="A33" s="58"/>
      <c r="B33" s="58"/>
      <c r="C33" s="5" t="s">
        <v>48</v>
      </c>
      <c r="D33" s="2" t="s">
        <v>690</v>
      </c>
    </row>
    <row r="34" spans="1:10" x14ac:dyDescent="0.55000000000000004">
      <c r="A34" s="59" t="s">
        <v>50</v>
      </c>
      <c r="B34" s="59"/>
      <c r="C34" s="5"/>
      <c r="D34" s="2"/>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9"/>
      <c r="B36" s="5" t="s">
        <v>59</v>
      </c>
      <c r="C36" s="5"/>
      <c r="D36" s="2"/>
    </row>
    <row r="37" spans="1:10" x14ac:dyDescent="0.55000000000000004">
      <c r="A37" s="59"/>
      <c r="B37" s="5"/>
      <c r="C37" s="5" t="s">
        <v>691</v>
      </c>
      <c r="D37" s="7">
        <v>1.8</v>
      </c>
      <c r="E37" s="10">
        <v>3.36</v>
      </c>
    </row>
    <row r="38" spans="1:10" x14ac:dyDescent="0.55000000000000004">
      <c r="A38" s="59"/>
      <c r="B38" s="5"/>
      <c r="C38" s="5" t="s">
        <v>692</v>
      </c>
      <c r="D38" s="7">
        <v>1.9</v>
      </c>
      <c r="E38" s="10">
        <v>2.99</v>
      </c>
    </row>
    <row r="39" spans="1:10" x14ac:dyDescent="0.55000000000000004">
      <c r="A39" s="59"/>
      <c r="B39" s="5"/>
      <c r="C39" s="5" t="s">
        <v>172</v>
      </c>
      <c r="D39" s="10">
        <v>1.8</v>
      </c>
      <c r="E39" s="10">
        <v>3.08</v>
      </c>
    </row>
    <row r="40" spans="1:10" x14ac:dyDescent="0.55000000000000004">
      <c r="A40" s="59"/>
      <c r="B40" s="5"/>
      <c r="C40" s="5" t="s">
        <v>173</v>
      </c>
      <c r="D40" s="10">
        <v>1.8</v>
      </c>
      <c r="E40" s="10">
        <v>3.08</v>
      </c>
    </row>
    <row r="41" spans="1:10" x14ac:dyDescent="0.55000000000000004">
      <c r="A41" s="59"/>
      <c r="B41" s="5"/>
    </row>
    <row r="42" spans="1:10" x14ac:dyDescent="0.55000000000000004">
      <c r="A42" s="59"/>
      <c r="B42" s="5"/>
    </row>
    <row r="43" spans="1:10" x14ac:dyDescent="0.55000000000000004">
      <c r="A43" s="59"/>
      <c r="B43" s="5"/>
    </row>
    <row r="44" spans="1:10" x14ac:dyDescent="0.55000000000000004">
      <c r="A44" s="59"/>
      <c r="B44" s="5"/>
    </row>
    <row r="45" spans="1:10" x14ac:dyDescent="0.55000000000000004">
      <c r="A45" s="59"/>
      <c r="B45" s="5" t="s">
        <v>61</v>
      </c>
      <c r="C45" s="5"/>
      <c r="D45" s="2"/>
    </row>
    <row r="46" spans="1:10" x14ac:dyDescent="0.55000000000000004">
      <c r="A46" s="59"/>
      <c r="B46" s="5"/>
      <c r="C46" s="5" t="s">
        <v>79</v>
      </c>
      <c r="D46" s="2">
        <v>1</v>
      </c>
    </row>
    <row r="47" spans="1:10" x14ac:dyDescent="0.55000000000000004">
      <c r="A47" s="59"/>
      <c r="B47" s="5"/>
    </row>
    <row r="48" spans="1:10" x14ac:dyDescent="0.55000000000000004">
      <c r="A48" s="59"/>
      <c r="B48" s="5"/>
      <c r="C48" s="5"/>
      <c r="D48" s="2"/>
    </row>
    <row r="49" spans="1:4" x14ac:dyDescent="0.55000000000000004">
      <c r="A49" s="59"/>
      <c r="B49" s="5"/>
      <c r="C49" s="5"/>
      <c r="D49" s="2"/>
    </row>
    <row r="50" spans="1:4" x14ac:dyDescent="0.55000000000000004">
      <c r="A50" s="59"/>
      <c r="B50" s="5"/>
      <c r="C50" s="5"/>
      <c r="D50" s="2"/>
    </row>
    <row r="51" spans="1:4" x14ac:dyDescent="0.55000000000000004">
      <c r="A51" s="59"/>
      <c r="B51" s="5"/>
      <c r="C51" s="5"/>
      <c r="D51" s="2"/>
    </row>
    <row r="52" spans="1:4" x14ac:dyDescent="0.55000000000000004">
      <c r="A52" s="59"/>
      <c r="B52" s="5"/>
      <c r="C52" s="5"/>
      <c r="D52" s="2"/>
    </row>
    <row r="53" spans="1:4" x14ac:dyDescent="0.55000000000000004">
      <c r="A53" s="59"/>
      <c r="B53" s="5"/>
      <c r="C53" s="5"/>
      <c r="D53" s="2"/>
    </row>
    <row r="54" spans="1:4" x14ac:dyDescent="0.55000000000000004">
      <c r="A54" s="59"/>
      <c r="B54" s="5"/>
      <c r="C54" s="5"/>
      <c r="D54" s="2"/>
    </row>
    <row r="55" spans="1:4" x14ac:dyDescent="0.55000000000000004">
      <c r="A55" s="59"/>
      <c r="B55" s="5"/>
      <c r="C55" s="5"/>
      <c r="D55" s="2"/>
    </row>
    <row r="56" spans="1:4" x14ac:dyDescent="0.55000000000000004">
      <c r="A56" s="59"/>
      <c r="B56" s="5"/>
      <c r="C56" s="5"/>
      <c r="D56" s="2"/>
    </row>
    <row r="57" spans="1:4" x14ac:dyDescent="0.55000000000000004">
      <c r="A57" s="59"/>
      <c r="B57" s="5"/>
      <c r="C57" s="5"/>
      <c r="D57" s="2"/>
    </row>
    <row r="58" spans="1:4" x14ac:dyDescent="0.55000000000000004">
      <c r="A58" s="59"/>
      <c r="B58" s="5"/>
      <c r="C58" s="5"/>
      <c r="D58" s="2"/>
    </row>
    <row r="59" spans="1:4" x14ac:dyDescent="0.55000000000000004">
      <c r="A59" s="59"/>
      <c r="B59" s="5"/>
      <c r="C59" s="5"/>
      <c r="D59" s="2"/>
    </row>
    <row r="60" spans="1:4" x14ac:dyDescent="0.55000000000000004">
      <c r="A60" s="59"/>
      <c r="B60" s="5"/>
      <c r="C60" s="5"/>
      <c r="D60" s="2"/>
    </row>
    <row r="61" spans="1:4" x14ac:dyDescent="0.55000000000000004">
      <c r="A61" s="59"/>
      <c r="B61" s="5"/>
      <c r="C61" s="5"/>
      <c r="D61" s="2"/>
    </row>
    <row r="62" spans="1:4" x14ac:dyDescent="0.55000000000000004">
      <c r="A62" s="59"/>
      <c r="B62" s="5"/>
    </row>
    <row r="63" spans="1:4" x14ac:dyDescent="0.55000000000000004">
      <c r="A63" s="59"/>
      <c r="B63" s="5"/>
      <c r="C63" s="5"/>
      <c r="D63" s="2"/>
    </row>
    <row r="64" spans="1:4" x14ac:dyDescent="0.55000000000000004">
      <c r="A64" s="59"/>
      <c r="B64" s="5"/>
      <c r="C64" s="5"/>
      <c r="D64" s="2"/>
    </row>
    <row r="65" spans="1:5" x14ac:dyDescent="0.55000000000000004">
      <c r="A65" s="59"/>
      <c r="B65" s="5" t="s">
        <v>62</v>
      </c>
      <c r="C65" s="5"/>
      <c r="D65" s="2" t="s">
        <v>693</v>
      </c>
    </row>
    <row r="66" spans="1:5" x14ac:dyDescent="0.55000000000000004">
      <c r="A66" s="59"/>
      <c r="B66" s="5" t="s">
        <v>63</v>
      </c>
      <c r="C66" s="5"/>
      <c r="D66" s="2" t="s">
        <v>207</v>
      </c>
    </row>
    <row r="67" spans="1:5" ht="51.9" x14ac:dyDescent="0.55000000000000004">
      <c r="A67" s="59" t="s">
        <v>65</v>
      </c>
      <c r="B67" s="59"/>
      <c r="C67" s="5"/>
      <c r="D67" s="2" t="s">
        <v>694</v>
      </c>
    </row>
    <row r="68" spans="1:5" x14ac:dyDescent="0.55000000000000004">
      <c r="A68" s="3" t="s">
        <v>67</v>
      </c>
      <c r="D68" s="2"/>
    </row>
    <row r="69" spans="1:5" x14ac:dyDescent="0.55000000000000004">
      <c r="A69" s="1" t="s">
        <v>68</v>
      </c>
      <c r="C69" s="1">
        <v>16</v>
      </c>
      <c r="D69" s="1">
        <v>28</v>
      </c>
    </row>
    <row r="70" spans="1:5" x14ac:dyDescent="0.55000000000000004">
      <c r="B70" s="1" t="s">
        <v>94</v>
      </c>
    </row>
    <row r="71" spans="1:5" x14ac:dyDescent="0.55000000000000004">
      <c r="C71" s="5" t="s">
        <v>695</v>
      </c>
      <c r="D71" s="7">
        <v>6</v>
      </c>
      <c r="E71" s="10">
        <v>6.53</v>
      </c>
    </row>
    <row r="72" spans="1:5" x14ac:dyDescent="0.55000000000000004">
      <c r="C72" s="5" t="s">
        <v>696</v>
      </c>
      <c r="D72" s="7">
        <v>1.8</v>
      </c>
      <c r="E72" s="10">
        <v>1.85</v>
      </c>
    </row>
    <row r="73" spans="1:5" x14ac:dyDescent="0.55000000000000004">
      <c r="C73" s="5" t="s">
        <v>697</v>
      </c>
      <c r="D73" s="7">
        <v>6.8</v>
      </c>
      <c r="E73" s="10">
        <v>7.33</v>
      </c>
    </row>
    <row r="74" spans="1:5" x14ac:dyDescent="0.55000000000000004">
      <c r="C74" s="5" t="s">
        <v>698</v>
      </c>
      <c r="D74" s="7">
        <v>1.9</v>
      </c>
      <c r="E74" s="10">
        <v>4.04</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MJ69"/>
  <sheetViews>
    <sheetView topLeftCell="A20" zoomScale="90" zoomScaleNormal="90" workbookViewId="0">
      <selection activeCell="D35" sqref="D35"/>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38" style="1" customWidth="1"/>
    <col min="6" max="6" width="11.41796875" style="1"/>
    <col min="7" max="7" width="38.41796875" style="1" customWidth="1"/>
    <col min="8" max="1024" width="11.41796875" style="1"/>
  </cols>
  <sheetData>
    <row r="1" spans="1:5" x14ac:dyDescent="0.55000000000000004">
      <c r="A1" s="3" t="s">
        <v>0</v>
      </c>
      <c r="D1" s="2" t="s">
        <v>426</v>
      </c>
    </row>
    <row r="2" spans="1:5" x14ac:dyDescent="0.55000000000000004">
      <c r="A2" s="58" t="s">
        <v>2</v>
      </c>
      <c r="B2" s="58"/>
      <c r="D2" s="2" t="s">
        <v>699</v>
      </c>
    </row>
    <row r="3" spans="1:5" x14ac:dyDescent="0.55000000000000004">
      <c r="A3" s="58"/>
      <c r="B3" s="58"/>
      <c r="C3" s="5" t="s">
        <v>4</v>
      </c>
      <c r="D3" s="2" t="s">
        <v>700</v>
      </c>
    </row>
    <row r="4" spans="1:5" x14ac:dyDescent="0.55000000000000004">
      <c r="A4" s="58"/>
      <c r="B4" s="58"/>
      <c r="C4" s="5" t="s">
        <v>6</v>
      </c>
      <c r="D4" s="2">
        <v>1992</v>
      </c>
    </row>
    <row r="5" spans="1:5" ht="26.1" x14ac:dyDescent="0.55000000000000004">
      <c r="A5" s="58"/>
      <c r="B5" s="58"/>
      <c r="C5" s="5" t="s">
        <v>7</v>
      </c>
      <c r="D5" s="2" t="s">
        <v>701</v>
      </c>
    </row>
    <row r="6" spans="1:5" x14ac:dyDescent="0.55000000000000004">
      <c r="A6" s="58"/>
      <c r="B6" s="58"/>
      <c r="C6" s="5" t="s">
        <v>9</v>
      </c>
      <c r="D6" s="2" t="s">
        <v>702</v>
      </c>
    </row>
    <row r="7" spans="1:5" x14ac:dyDescent="0.55000000000000004">
      <c r="A7" s="58"/>
      <c r="B7" s="58"/>
      <c r="C7" s="5" t="s">
        <v>11</v>
      </c>
      <c r="D7" s="2" t="s">
        <v>12</v>
      </c>
    </row>
    <row r="8" spans="1:5" x14ac:dyDescent="0.55000000000000004">
      <c r="A8" s="59" t="s">
        <v>13</v>
      </c>
      <c r="B8" s="59"/>
      <c r="C8" s="5"/>
    </row>
    <row r="9" spans="1:5" x14ac:dyDescent="0.55000000000000004">
      <c r="A9" s="58"/>
      <c r="B9" s="58"/>
      <c r="C9" s="5" t="s">
        <v>14</v>
      </c>
      <c r="D9" s="2" t="s">
        <v>703</v>
      </c>
    </row>
    <row r="10" spans="1:5" x14ac:dyDescent="0.55000000000000004">
      <c r="A10" s="58"/>
      <c r="B10" s="58"/>
      <c r="C10" s="5" t="s">
        <v>16</v>
      </c>
      <c r="D10" s="2" t="s">
        <v>454</v>
      </c>
      <c r="E10" s="1" t="s">
        <v>650</v>
      </c>
    </row>
    <row r="11" spans="1:5" x14ac:dyDescent="0.55000000000000004">
      <c r="A11" s="58"/>
      <c r="B11" s="58"/>
      <c r="C11" s="5" t="s">
        <v>19</v>
      </c>
      <c r="D11" s="2" t="s">
        <v>20</v>
      </c>
    </row>
    <row r="12" spans="1:5" x14ac:dyDescent="0.55000000000000004">
      <c r="A12" s="58"/>
      <c r="B12" s="58"/>
      <c r="C12" s="5" t="s">
        <v>21</v>
      </c>
      <c r="D12" s="2" t="s">
        <v>20</v>
      </c>
    </row>
    <row r="13" spans="1:5" x14ac:dyDescent="0.55000000000000004">
      <c r="A13" s="58"/>
      <c r="B13" s="58"/>
      <c r="C13" s="5" t="s">
        <v>22</v>
      </c>
      <c r="D13" s="2" t="s">
        <v>20</v>
      </c>
    </row>
    <row r="14" spans="1:5" x14ac:dyDescent="0.55000000000000004">
      <c r="A14" s="59" t="s">
        <v>24</v>
      </c>
      <c r="B14" s="59"/>
      <c r="C14" s="5"/>
    </row>
    <row r="15" spans="1:5" x14ac:dyDescent="0.55000000000000004">
      <c r="A15" s="58"/>
      <c r="B15" s="58"/>
      <c r="C15" s="5" t="s">
        <v>25</v>
      </c>
      <c r="D15" s="2" t="s">
        <v>704</v>
      </c>
    </row>
    <row r="16" spans="1:5" x14ac:dyDescent="0.55000000000000004">
      <c r="A16" s="58"/>
      <c r="B16" s="58"/>
      <c r="C16" s="5" t="s">
        <v>27</v>
      </c>
      <c r="D16" s="2" t="s">
        <v>705</v>
      </c>
    </row>
    <row r="17" spans="1:4" x14ac:dyDescent="0.55000000000000004">
      <c r="A17" s="59" t="s">
        <v>29</v>
      </c>
      <c r="B17" s="59"/>
      <c r="C17" s="5"/>
    </row>
    <row r="18" spans="1:4" ht="26.1" x14ac:dyDescent="0.55000000000000004">
      <c r="A18" s="58"/>
      <c r="B18" s="58"/>
      <c r="C18" s="5" t="s">
        <v>30</v>
      </c>
      <c r="D18" s="2" t="s">
        <v>706</v>
      </c>
    </row>
    <row r="19" spans="1:4" x14ac:dyDescent="0.55000000000000004">
      <c r="A19" s="58"/>
      <c r="B19" s="58"/>
      <c r="C19" s="5" t="s">
        <v>32</v>
      </c>
      <c r="D19" s="2" t="s">
        <v>707</v>
      </c>
    </row>
    <row r="20" spans="1:4" x14ac:dyDescent="0.55000000000000004">
      <c r="A20" s="59" t="s">
        <v>34</v>
      </c>
      <c r="B20" s="59"/>
      <c r="C20" s="5"/>
      <c r="D20" s="2" t="s">
        <v>35</v>
      </c>
    </row>
    <row r="21" spans="1:4" x14ac:dyDescent="0.55000000000000004">
      <c r="A21" s="58"/>
      <c r="B21" s="58"/>
      <c r="C21" s="5" t="s">
        <v>36</v>
      </c>
      <c r="D21" s="2">
        <v>20</v>
      </c>
    </row>
    <row r="22" spans="1:4" x14ac:dyDescent="0.55000000000000004">
      <c r="A22" s="58"/>
      <c r="B22" s="58"/>
      <c r="C22" s="5" t="s">
        <v>37</v>
      </c>
      <c r="D22" s="2">
        <v>20</v>
      </c>
    </row>
    <row r="23" spans="1:4" x14ac:dyDescent="0.55000000000000004">
      <c r="A23" s="58"/>
      <c r="B23" s="58"/>
      <c r="C23" s="5" t="s">
        <v>38</v>
      </c>
      <c r="D23" s="2">
        <v>20</v>
      </c>
    </row>
    <row r="24" spans="1:4" x14ac:dyDescent="0.55000000000000004">
      <c r="A24" s="58"/>
      <c r="B24" s="58"/>
      <c r="C24" s="5" t="s">
        <v>39</v>
      </c>
      <c r="D24" s="2">
        <v>0</v>
      </c>
    </row>
    <row r="25" spans="1:4" x14ac:dyDescent="0.55000000000000004">
      <c r="A25" s="58"/>
      <c r="B25" s="58"/>
      <c r="C25" s="5" t="s">
        <v>40</v>
      </c>
      <c r="D25" s="2">
        <v>50</v>
      </c>
    </row>
    <row r="26" spans="1:4" x14ac:dyDescent="0.55000000000000004">
      <c r="A26" s="58"/>
      <c r="B26" s="58"/>
      <c r="C26" s="5" t="s">
        <v>41</v>
      </c>
      <c r="D26" s="2">
        <v>62</v>
      </c>
    </row>
    <row r="27" spans="1:4" x14ac:dyDescent="0.55000000000000004">
      <c r="A27" s="58"/>
      <c r="B27" s="58"/>
      <c r="C27" s="5" t="s">
        <v>42</v>
      </c>
      <c r="D27" s="2">
        <v>2</v>
      </c>
    </row>
    <row r="28" spans="1:4" x14ac:dyDescent="0.55000000000000004">
      <c r="A28" s="58"/>
      <c r="B28" s="58"/>
      <c r="C28" s="5" t="s">
        <v>43</v>
      </c>
      <c r="D28" s="2" t="s">
        <v>20</v>
      </c>
    </row>
    <row r="29" spans="1:4" x14ac:dyDescent="0.55000000000000004">
      <c r="A29" s="58"/>
      <c r="B29" s="58"/>
      <c r="C29" s="5" t="s">
        <v>44</v>
      </c>
      <c r="D29" s="2">
        <v>4</v>
      </c>
    </row>
    <row r="30" spans="1:4" x14ac:dyDescent="0.55000000000000004">
      <c r="A30" s="58"/>
      <c r="B30" s="58"/>
      <c r="C30" s="5" t="s">
        <v>45</v>
      </c>
      <c r="D30" s="2" t="s">
        <v>20</v>
      </c>
    </row>
    <row r="31" spans="1:4" x14ac:dyDescent="0.55000000000000004">
      <c r="A31" s="58"/>
      <c r="B31" s="58"/>
      <c r="C31" s="5" t="s">
        <v>46</v>
      </c>
      <c r="D31" s="2" t="s">
        <v>20</v>
      </c>
    </row>
    <row r="32" spans="1:4" x14ac:dyDescent="0.55000000000000004">
      <c r="A32" s="59" t="s">
        <v>47</v>
      </c>
      <c r="B32" s="59"/>
      <c r="C32" s="5"/>
    </row>
    <row r="33" spans="1:10" ht="64.8" x14ac:dyDescent="0.55000000000000004">
      <c r="A33" s="58"/>
      <c r="B33" s="58"/>
      <c r="C33" s="5" t="s">
        <v>48</v>
      </c>
      <c r="D33" s="2" t="s">
        <v>708</v>
      </c>
    </row>
    <row r="34" spans="1:10" x14ac:dyDescent="0.55000000000000004">
      <c r="A34" s="59" t="s">
        <v>50</v>
      </c>
      <c r="B34" s="59"/>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9"/>
      <c r="B36" s="5" t="s">
        <v>59</v>
      </c>
      <c r="C36" s="5"/>
    </row>
    <row r="37" spans="1:10" x14ac:dyDescent="0.55000000000000004">
      <c r="A37" s="59"/>
      <c r="B37" s="5"/>
    </row>
    <row r="38" spans="1:10" x14ac:dyDescent="0.55000000000000004">
      <c r="A38" s="59"/>
      <c r="B38" s="5"/>
    </row>
    <row r="39" spans="1:10" x14ac:dyDescent="0.55000000000000004">
      <c r="A39" s="59"/>
      <c r="B39" s="5"/>
      <c r="C39" s="5"/>
      <c r="D39" s="7"/>
      <c r="E39" s="10"/>
      <c r="F39" s="10"/>
    </row>
    <row r="40" spans="1:10" x14ac:dyDescent="0.55000000000000004">
      <c r="A40" s="59"/>
      <c r="B40" s="5"/>
      <c r="D40" s="7"/>
      <c r="E40" s="10"/>
      <c r="F40" s="10"/>
    </row>
    <row r="41" spans="1:10" x14ac:dyDescent="0.55000000000000004">
      <c r="A41" s="59"/>
      <c r="B41" s="5"/>
      <c r="D41" s="7"/>
      <c r="E41" s="10"/>
      <c r="F41" s="10"/>
    </row>
    <row r="42" spans="1:10" x14ac:dyDescent="0.55000000000000004">
      <c r="A42" s="59"/>
      <c r="B42" s="5"/>
      <c r="C42" s="5"/>
      <c r="D42" s="7"/>
      <c r="E42" s="10"/>
      <c r="F42" s="10"/>
    </row>
    <row r="43" spans="1:10" x14ac:dyDescent="0.55000000000000004">
      <c r="A43" s="59"/>
      <c r="B43" s="5"/>
      <c r="C43" s="5"/>
      <c r="D43" s="7"/>
      <c r="E43" s="10"/>
      <c r="F43" s="10"/>
    </row>
    <row r="44" spans="1:10" x14ac:dyDescent="0.55000000000000004">
      <c r="A44" s="59"/>
      <c r="B44" s="5"/>
      <c r="C44" s="5"/>
      <c r="D44" s="7"/>
      <c r="E44" s="10"/>
      <c r="F44" s="10"/>
    </row>
    <row r="45" spans="1:10" x14ac:dyDescent="0.55000000000000004">
      <c r="A45" s="59"/>
      <c r="B45" s="5" t="s">
        <v>61</v>
      </c>
      <c r="C45" s="5"/>
      <c r="D45" s="7"/>
      <c r="E45" s="10"/>
      <c r="F45" s="10"/>
    </row>
    <row r="46" spans="1:10" x14ac:dyDescent="0.55000000000000004">
      <c r="A46" s="59"/>
      <c r="B46" s="5"/>
      <c r="C46" s="5" t="s">
        <v>709</v>
      </c>
      <c r="D46" s="7">
        <v>0.6</v>
      </c>
      <c r="E46" s="10">
        <v>0.253</v>
      </c>
      <c r="F46" s="10">
        <v>0.08</v>
      </c>
    </row>
    <row r="47" spans="1:10" x14ac:dyDescent="0.55000000000000004">
      <c r="A47" s="59"/>
      <c r="B47" s="5"/>
      <c r="C47" s="5" t="s">
        <v>710</v>
      </c>
      <c r="D47" s="7">
        <v>0.53</v>
      </c>
      <c r="E47" s="10">
        <v>0.18970000000000001</v>
      </c>
      <c r="F47" s="10">
        <v>0.06</v>
      </c>
    </row>
    <row r="48" spans="1:10" x14ac:dyDescent="0.55000000000000004">
      <c r="A48" s="59"/>
      <c r="B48" s="5"/>
      <c r="D48" s="7"/>
      <c r="E48" s="10"/>
      <c r="F48" s="7"/>
    </row>
    <row r="49" spans="1:6" x14ac:dyDescent="0.55000000000000004">
      <c r="A49" s="59"/>
      <c r="B49" s="5"/>
      <c r="D49" s="7"/>
      <c r="E49" s="10"/>
      <c r="F49" s="7"/>
    </row>
    <row r="50" spans="1:6" x14ac:dyDescent="0.55000000000000004">
      <c r="A50" s="59"/>
      <c r="B50" s="5"/>
      <c r="D50" s="7"/>
      <c r="E50" s="10"/>
      <c r="F50" s="7"/>
    </row>
    <row r="51" spans="1:6" x14ac:dyDescent="0.55000000000000004">
      <c r="A51" s="59"/>
      <c r="B51" s="5"/>
      <c r="D51" s="7"/>
      <c r="E51" s="10"/>
      <c r="F51" s="7"/>
    </row>
    <row r="52" spans="1:6" x14ac:dyDescent="0.55000000000000004">
      <c r="A52" s="59"/>
      <c r="B52" s="5"/>
      <c r="D52" s="7"/>
      <c r="E52" s="10"/>
      <c r="F52" s="7"/>
    </row>
    <row r="53" spans="1:6" x14ac:dyDescent="0.55000000000000004">
      <c r="A53" s="59"/>
      <c r="B53" s="5"/>
      <c r="D53" s="7"/>
      <c r="E53" s="10"/>
      <c r="F53" s="7"/>
    </row>
    <row r="54" spans="1:6" x14ac:dyDescent="0.55000000000000004">
      <c r="A54" s="59"/>
      <c r="B54" s="5"/>
      <c r="D54" s="7"/>
      <c r="E54" s="10"/>
      <c r="F54" s="10"/>
    </row>
    <row r="55" spans="1:6" x14ac:dyDescent="0.55000000000000004">
      <c r="A55" s="59"/>
      <c r="B55" s="5"/>
      <c r="D55" s="7"/>
      <c r="E55" s="10"/>
      <c r="F55" s="10"/>
    </row>
    <row r="56" spans="1:6" x14ac:dyDescent="0.55000000000000004">
      <c r="A56" s="59"/>
      <c r="B56" s="5"/>
      <c r="C56" s="5"/>
      <c r="D56" s="7"/>
      <c r="E56" s="10"/>
      <c r="F56" s="10"/>
    </row>
    <row r="57" spans="1:6" x14ac:dyDescent="0.55000000000000004">
      <c r="A57" s="59"/>
      <c r="B57" s="5"/>
      <c r="C57" s="5"/>
      <c r="D57" s="7"/>
      <c r="E57" s="10"/>
      <c r="F57" s="10"/>
    </row>
    <row r="58" spans="1:6" x14ac:dyDescent="0.55000000000000004">
      <c r="A58" s="59"/>
      <c r="B58" s="5"/>
      <c r="C58" s="5"/>
      <c r="D58" s="7"/>
      <c r="E58" s="10"/>
      <c r="F58" s="10"/>
    </row>
    <row r="59" spans="1:6" x14ac:dyDescent="0.55000000000000004">
      <c r="A59" s="59"/>
      <c r="B59" s="5"/>
      <c r="C59" s="5"/>
      <c r="D59" s="7"/>
      <c r="E59" s="10"/>
      <c r="F59" s="10"/>
    </row>
    <row r="60" spans="1:6" x14ac:dyDescent="0.55000000000000004">
      <c r="A60" s="59"/>
      <c r="B60" s="5"/>
      <c r="C60" s="5"/>
      <c r="D60" s="7"/>
      <c r="E60" s="10"/>
      <c r="F60" s="10"/>
    </row>
    <row r="61" spans="1:6" x14ac:dyDescent="0.55000000000000004">
      <c r="A61" s="59"/>
      <c r="B61" s="5"/>
      <c r="C61" s="5"/>
      <c r="D61" s="7"/>
      <c r="E61" s="10"/>
      <c r="F61" s="10"/>
    </row>
    <row r="62" spans="1:6" x14ac:dyDescent="0.55000000000000004">
      <c r="A62" s="59"/>
      <c r="B62" s="5"/>
      <c r="C62" s="5"/>
      <c r="D62" s="7"/>
      <c r="E62" s="10"/>
      <c r="F62" s="10"/>
    </row>
    <row r="63" spans="1:6" x14ac:dyDescent="0.55000000000000004">
      <c r="A63" s="59"/>
      <c r="B63" s="5"/>
      <c r="C63" s="5"/>
      <c r="D63" s="7"/>
      <c r="E63" s="10"/>
      <c r="F63" s="10"/>
    </row>
    <row r="64" spans="1:6" x14ac:dyDescent="0.55000000000000004">
      <c r="A64" s="59"/>
      <c r="B64" s="5"/>
      <c r="C64" s="5"/>
    </row>
    <row r="65" spans="1:7" x14ac:dyDescent="0.55000000000000004">
      <c r="A65" s="59"/>
      <c r="B65" s="5" t="s">
        <v>62</v>
      </c>
      <c r="C65" s="5"/>
      <c r="D65" s="2">
        <v>182</v>
      </c>
      <c r="G65" s="1" t="s">
        <v>711</v>
      </c>
    </row>
    <row r="66" spans="1:7" x14ac:dyDescent="0.55000000000000004">
      <c r="A66" s="59"/>
      <c r="B66" s="5" t="s">
        <v>63</v>
      </c>
      <c r="C66" s="5"/>
      <c r="D66" s="2" t="s">
        <v>712</v>
      </c>
    </row>
    <row r="67" spans="1:7" x14ac:dyDescent="0.55000000000000004">
      <c r="A67" s="59" t="s">
        <v>65</v>
      </c>
      <c r="B67" s="59"/>
      <c r="C67" s="5"/>
    </row>
    <row r="68" spans="1:7" x14ac:dyDescent="0.55000000000000004">
      <c r="A68" s="3" t="s">
        <v>67</v>
      </c>
      <c r="D68" s="2" t="s">
        <v>713</v>
      </c>
    </row>
    <row r="69" spans="1:7" x14ac:dyDescent="0.55000000000000004">
      <c r="A69" s="1" t="s">
        <v>68</v>
      </c>
      <c r="C69" s="1">
        <v>20</v>
      </c>
      <c r="D69" s="2">
        <v>26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MJ74"/>
  <sheetViews>
    <sheetView topLeftCell="B1" zoomScale="90" zoomScaleNormal="90" workbookViewId="0">
      <selection activeCell="F38" sqref="F38"/>
    </sheetView>
  </sheetViews>
  <sheetFormatPr baseColWidth="10" defaultColWidth="11.41796875" defaultRowHeight="14.4" x14ac:dyDescent="0.55000000000000004"/>
  <cols>
    <col min="1" max="1" width="29.83984375" style="1" customWidth="1"/>
    <col min="2" max="2" width="18.83984375" style="1" customWidth="1"/>
    <col min="3" max="3" width="45.83984375" style="1" customWidth="1"/>
    <col min="4" max="4" width="56.15625" style="2" customWidth="1"/>
    <col min="5" max="5" width="13.15625" style="1" customWidth="1"/>
    <col min="6" max="6" width="10.41796875" style="1" customWidth="1"/>
    <col min="7" max="7" width="8.15625" style="1" customWidth="1"/>
    <col min="8" max="8" width="5.578125" style="1" customWidth="1"/>
    <col min="9" max="9" width="2.41796875" style="1" customWidth="1"/>
    <col min="10" max="1024" width="11.41796875" style="1"/>
  </cols>
  <sheetData>
    <row r="1" spans="1:5" x14ac:dyDescent="0.55000000000000004">
      <c r="A1" s="3" t="s">
        <v>0</v>
      </c>
      <c r="D1" s="2" t="s">
        <v>69</v>
      </c>
    </row>
    <row r="2" spans="1:5" ht="26.1" x14ac:dyDescent="0.55000000000000004">
      <c r="A2" s="5" t="s">
        <v>2</v>
      </c>
      <c r="B2" s="5"/>
      <c r="D2" s="2" t="s">
        <v>714</v>
      </c>
    </row>
    <row r="3" spans="1:5" x14ac:dyDescent="0.55000000000000004">
      <c r="A3" s="5"/>
      <c r="B3" s="5"/>
      <c r="C3" s="5" t="s">
        <v>4</v>
      </c>
      <c r="D3" s="2" t="s">
        <v>715</v>
      </c>
    </row>
    <row r="4" spans="1:5" x14ac:dyDescent="0.55000000000000004">
      <c r="A4" s="5"/>
      <c r="B4" s="5"/>
      <c r="C4" s="5" t="s">
        <v>6</v>
      </c>
      <c r="D4" s="2">
        <v>2010</v>
      </c>
    </row>
    <row r="5" spans="1:5" ht="26.1" x14ac:dyDescent="0.55000000000000004">
      <c r="A5" s="5"/>
      <c r="B5" s="5"/>
      <c r="C5" s="5" t="s">
        <v>7</v>
      </c>
      <c r="D5" s="2" t="s">
        <v>716</v>
      </c>
    </row>
    <row r="6" spans="1:5" x14ac:dyDescent="0.55000000000000004">
      <c r="A6" s="5"/>
      <c r="B6" s="5"/>
      <c r="C6" s="5" t="s">
        <v>9</v>
      </c>
      <c r="D6" s="2" t="s">
        <v>717</v>
      </c>
    </row>
    <row r="7" spans="1:5" x14ac:dyDescent="0.55000000000000004">
      <c r="A7" s="5"/>
      <c r="B7" s="5"/>
      <c r="C7" s="5" t="s">
        <v>11</v>
      </c>
      <c r="D7" s="2" t="s">
        <v>718</v>
      </c>
    </row>
    <row r="8" spans="1:5" x14ac:dyDescent="0.55000000000000004">
      <c r="A8" s="8" t="s">
        <v>13</v>
      </c>
      <c r="B8" s="8"/>
      <c r="C8" s="5"/>
    </row>
    <row r="9" spans="1:5" x14ac:dyDescent="0.55000000000000004">
      <c r="A9" s="5"/>
      <c r="B9" s="5"/>
      <c r="C9" s="5" t="s">
        <v>14</v>
      </c>
      <c r="D9" s="2" t="s">
        <v>719</v>
      </c>
    </row>
    <row r="10" spans="1:5" x14ac:dyDescent="0.55000000000000004">
      <c r="A10" s="5"/>
      <c r="B10" s="5"/>
      <c r="C10" s="5" t="s">
        <v>16</v>
      </c>
      <c r="D10" s="2" t="s">
        <v>17</v>
      </c>
      <c r="E10" s="1" t="s">
        <v>18</v>
      </c>
    </row>
    <row r="11" spans="1:5" x14ac:dyDescent="0.55000000000000004">
      <c r="A11" s="5"/>
      <c r="B11" s="5"/>
      <c r="C11" s="5" t="s">
        <v>19</v>
      </c>
      <c r="D11" s="2" t="s">
        <v>20</v>
      </c>
    </row>
    <row r="12" spans="1:5" x14ac:dyDescent="0.55000000000000004">
      <c r="A12" s="5"/>
      <c r="B12" s="5"/>
      <c r="C12" s="5" t="s">
        <v>21</v>
      </c>
      <c r="D12" s="2" t="s">
        <v>20</v>
      </c>
    </row>
    <row r="13" spans="1:5" x14ac:dyDescent="0.55000000000000004">
      <c r="A13" s="5"/>
      <c r="B13" s="5"/>
      <c r="C13" s="5" t="s">
        <v>22</v>
      </c>
      <c r="D13" s="2" t="s">
        <v>20</v>
      </c>
    </row>
    <row r="14" spans="1:5" x14ac:dyDescent="0.55000000000000004">
      <c r="A14" s="8" t="s">
        <v>24</v>
      </c>
      <c r="B14" s="8"/>
      <c r="C14" s="5"/>
    </row>
    <row r="15" spans="1:5" x14ac:dyDescent="0.55000000000000004">
      <c r="A15" s="5"/>
      <c r="B15" s="5"/>
      <c r="C15" s="5" t="s">
        <v>25</v>
      </c>
      <c r="D15" s="2" t="s">
        <v>720</v>
      </c>
    </row>
    <row r="16" spans="1:5" x14ac:dyDescent="0.55000000000000004">
      <c r="A16" s="5"/>
      <c r="B16" s="5"/>
      <c r="C16" s="5" t="s">
        <v>27</v>
      </c>
    </row>
    <row r="17" spans="1:4" x14ac:dyDescent="0.55000000000000004">
      <c r="A17" s="8" t="s">
        <v>29</v>
      </c>
      <c r="B17" s="8"/>
      <c r="C17" s="5"/>
    </row>
    <row r="18" spans="1:4" x14ac:dyDescent="0.55000000000000004">
      <c r="A18" s="5"/>
      <c r="B18" s="5"/>
      <c r="C18" s="5" t="s">
        <v>30</v>
      </c>
      <c r="D18" s="2" t="s">
        <v>721</v>
      </c>
    </row>
    <row r="19" spans="1:4" ht="39" x14ac:dyDescent="0.55000000000000004">
      <c r="A19" s="5"/>
      <c r="B19" s="5"/>
      <c r="C19" s="5" t="s">
        <v>32</v>
      </c>
      <c r="D19" s="2" t="s">
        <v>722</v>
      </c>
    </row>
    <row r="20" spans="1:4" x14ac:dyDescent="0.55000000000000004">
      <c r="A20" s="8" t="s">
        <v>34</v>
      </c>
      <c r="B20" s="8"/>
      <c r="C20" s="5"/>
      <c r="D20" s="2" t="s">
        <v>35</v>
      </c>
    </row>
    <row r="21" spans="1:4" x14ac:dyDescent="0.55000000000000004">
      <c r="A21" s="5"/>
      <c r="B21" s="5"/>
      <c r="C21" s="5" t="s">
        <v>36</v>
      </c>
      <c r="D21" s="2" t="s">
        <v>20</v>
      </c>
    </row>
    <row r="22" spans="1:4" x14ac:dyDescent="0.55000000000000004">
      <c r="A22" s="5"/>
      <c r="B22" s="5"/>
      <c r="C22" s="5" t="s">
        <v>37</v>
      </c>
      <c r="D22" s="2" t="s">
        <v>20</v>
      </c>
    </row>
    <row r="23" spans="1:4" x14ac:dyDescent="0.55000000000000004">
      <c r="A23" s="5"/>
      <c r="B23" s="5"/>
      <c r="C23" s="5" t="s">
        <v>38</v>
      </c>
      <c r="D23" s="2">
        <v>98</v>
      </c>
    </row>
    <row r="24" spans="1:4" x14ac:dyDescent="0.55000000000000004">
      <c r="A24" s="5"/>
      <c r="B24" s="5"/>
      <c r="C24" s="5" t="s">
        <v>39</v>
      </c>
      <c r="D24" s="2" t="s">
        <v>20</v>
      </c>
    </row>
    <row r="25" spans="1:4" x14ac:dyDescent="0.55000000000000004">
      <c r="A25" s="5"/>
      <c r="B25" s="5"/>
      <c r="C25" s="5" t="s">
        <v>40</v>
      </c>
      <c r="D25" s="7">
        <f>56/98*100</f>
        <v>57.142857142857139</v>
      </c>
    </row>
    <row r="26" spans="1:4" x14ac:dyDescent="0.55000000000000004">
      <c r="A26" s="5"/>
      <c r="B26" s="5"/>
      <c r="C26" s="5" t="s">
        <v>41</v>
      </c>
      <c r="D26" s="7">
        <v>63.2</v>
      </c>
    </row>
    <row r="27" spans="1:4" x14ac:dyDescent="0.55000000000000004">
      <c r="A27" s="5"/>
      <c r="B27" s="5"/>
      <c r="C27" s="5" t="s">
        <v>42</v>
      </c>
      <c r="D27" s="7">
        <v>10.199999999999999</v>
      </c>
    </row>
    <row r="28" spans="1:4" x14ac:dyDescent="0.55000000000000004">
      <c r="A28" s="5"/>
      <c r="B28" s="5"/>
      <c r="C28" s="5" t="s">
        <v>43</v>
      </c>
      <c r="D28" s="7" t="s">
        <v>20</v>
      </c>
    </row>
    <row r="29" spans="1:4" x14ac:dyDescent="0.55000000000000004">
      <c r="A29" s="5"/>
      <c r="B29" s="5"/>
      <c r="C29" s="5" t="s">
        <v>44</v>
      </c>
      <c r="D29" s="7">
        <v>2.5</v>
      </c>
    </row>
    <row r="30" spans="1:4" x14ac:dyDescent="0.55000000000000004">
      <c r="A30" s="5"/>
      <c r="B30" s="5"/>
      <c r="C30" s="5" t="s">
        <v>45</v>
      </c>
      <c r="D30" s="2" t="s">
        <v>20</v>
      </c>
    </row>
    <row r="31" spans="1:4" x14ac:dyDescent="0.55000000000000004">
      <c r="A31" s="5"/>
      <c r="B31" s="5"/>
      <c r="C31" s="5" t="s">
        <v>46</v>
      </c>
      <c r="D31" s="2" t="s">
        <v>20</v>
      </c>
    </row>
    <row r="32" spans="1:4" x14ac:dyDescent="0.55000000000000004">
      <c r="A32" s="8" t="s">
        <v>47</v>
      </c>
      <c r="B32" s="8"/>
      <c r="C32" s="5"/>
    </row>
    <row r="33" spans="1:10" ht="26.1" x14ac:dyDescent="0.55000000000000004">
      <c r="A33" s="5"/>
      <c r="B33" s="5"/>
      <c r="C33" s="5" t="s">
        <v>48</v>
      </c>
      <c r="D33" s="2" t="s">
        <v>723</v>
      </c>
    </row>
    <row r="34" spans="1:10" x14ac:dyDescent="0.55000000000000004">
      <c r="A34" s="8" t="s">
        <v>50</v>
      </c>
      <c r="B34" s="8"/>
      <c r="C34" s="5"/>
    </row>
    <row r="35" spans="1:10" x14ac:dyDescent="0.55000000000000004">
      <c r="A35" s="8"/>
      <c r="B35" s="8"/>
      <c r="C35" s="5"/>
    </row>
    <row r="36" spans="1:10" x14ac:dyDescent="0.55000000000000004">
      <c r="A36" s="8"/>
      <c r="B36" s="5" t="s">
        <v>59</v>
      </c>
      <c r="C36" s="5"/>
      <c r="D36" s="2" t="s">
        <v>51</v>
      </c>
      <c r="E36" s="1" t="s">
        <v>52</v>
      </c>
      <c r="F36" s="1" t="s">
        <v>53</v>
      </c>
      <c r="G36" s="1" t="s">
        <v>54</v>
      </c>
      <c r="H36" s="1" t="s">
        <v>55</v>
      </c>
      <c r="I36" s="1" t="s">
        <v>56</v>
      </c>
      <c r="J36" s="1" t="s">
        <v>57</v>
      </c>
    </row>
    <row r="37" spans="1:10" x14ac:dyDescent="0.55000000000000004">
      <c r="A37" s="8"/>
      <c r="B37" s="5"/>
      <c r="C37" s="5" t="s">
        <v>724</v>
      </c>
      <c r="D37" s="7">
        <v>6.4</v>
      </c>
      <c r="E37" s="10">
        <v>3.5</v>
      </c>
    </row>
    <row r="38" spans="1:10" x14ac:dyDescent="0.55000000000000004">
      <c r="A38" s="8"/>
      <c r="B38" s="5"/>
      <c r="C38" s="5" t="s">
        <v>725</v>
      </c>
      <c r="D38" s="7">
        <v>2.9</v>
      </c>
      <c r="E38" s="10">
        <v>2.5</v>
      </c>
    </row>
    <row r="39" spans="1:10" x14ac:dyDescent="0.55000000000000004">
      <c r="A39" s="8"/>
      <c r="B39" s="5"/>
      <c r="C39" s="5"/>
      <c r="D39" s="7"/>
    </row>
    <row r="40" spans="1:10" x14ac:dyDescent="0.55000000000000004">
      <c r="A40" s="8"/>
      <c r="B40" s="5"/>
      <c r="C40" s="5"/>
      <c r="D40" s="7"/>
    </row>
    <row r="41" spans="1:10" x14ac:dyDescent="0.55000000000000004">
      <c r="A41" s="8"/>
      <c r="C41" s="5"/>
      <c r="D41" s="30"/>
    </row>
    <row r="42" spans="1:10" x14ac:dyDescent="0.55000000000000004">
      <c r="A42" s="8"/>
      <c r="C42" s="5"/>
      <c r="D42" s="30"/>
    </row>
    <row r="43" spans="1:10" x14ac:dyDescent="0.55000000000000004">
      <c r="A43" s="8"/>
      <c r="C43" s="5"/>
      <c r="D43" s="30"/>
    </row>
    <row r="45" spans="1:10" x14ac:dyDescent="0.55000000000000004">
      <c r="B45" s="5" t="s">
        <v>61</v>
      </c>
      <c r="C45" s="5"/>
    </row>
    <row r="46" spans="1:10" x14ac:dyDescent="0.55000000000000004">
      <c r="C46" s="5" t="s">
        <v>726</v>
      </c>
      <c r="D46" s="2">
        <v>1</v>
      </c>
    </row>
    <row r="47" spans="1:10" x14ac:dyDescent="0.55000000000000004">
      <c r="C47" s="5"/>
    </row>
    <row r="48" spans="1:10" x14ac:dyDescent="0.55000000000000004">
      <c r="C48" s="5"/>
    </row>
    <row r="49" spans="3:3" x14ac:dyDescent="0.55000000000000004">
      <c r="C49" s="5"/>
    </row>
    <row r="50" spans="3:3" x14ac:dyDescent="0.55000000000000004">
      <c r="C50" s="5"/>
    </row>
    <row r="53" spans="3:3" x14ac:dyDescent="0.55000000000000004">
      <c r="C53" s="5"/>
    </row>
    <row r="54" spans="3:3" x14ac:dyDescent="0.55000000000000004">
      <c r="C54" s="5"/>
    </row>
    <row r="55" spans="3:3" x14ac:dyDescent="0.55000000000000004">
      <c r="C55" s="5"/>
    </row>
    <row r="56" spans="3:3" x14ac:dyDescent="0.55000000000000004">
      <c r="C56" s="5"/>
    </row>
    <row r="57" spans="3:3" x14ac:dyDescent="0.55000000000000004">
      <c r="C57" s="5"/>
    </row>
    <row r="58" spans="3:3" x14ac:dyDescent="0.55000000000000004">
      <c r="C58" s="5"/>
    </row>
    <row r="59" spans="3:3" x14ac:dyDescent="0.55000000000000004">
      <c r="C59" s="5"/>
    </row>
    <row r="60" spans="3:3" x14ac:dyDescent="0.55000000000000004">
      <c r="C60" s="5"/>
    </row>
    <row r="61" spans="3:3" x14ac:dyDescent="0.55000000000000004">
      <c r="C61" s="5"/>
    </row>
    <row r="62" spans="3:3" x14ac:dyDescent="0.55000000000000004">
      <c r="C62" s="5"/>
    </row>
    <row r="63" spans="3:3" x14ac:dyDescent="0.55000000000000004">
      <c r="C63" s="5"/>
    </row>
    <row r="64" spans="3:3" x14ac:dyDescent="0.55000000000000004">
      <c r="C64" s="5"/>
    </row>
    <row r="65" spans="1:5" x14ac:dyDescent="0.55000000000000004">
      <c r="A65" s="8"/>
      <c r="B65" s="5" t="s">
        <v>62</v>
      </c>
      <c r="C65" s="5"/>
      <c r="D65" s="2">
        <f>6*30</f>
        <v>180</v>
      </c>
    </row>
    <row r="66" spans="1:5" x14ac:dyDescent="0.55000000000000004">
      <c r="A66" s="8"/>
      <c r="B66" s="5" t="s">
        <v>63</v>
      </c>
      <c r="C66" s="5"/>
      <c r="D66" s="2" t="s">
        <v>191</v>
      </c>
    </row>
    <row r="67" spans="1:5" x14ac:dyDescent="0.55000000000000004">
      <c r="A67" s="8" t="s">
        <v>65</v>
      </c>
      <c r="B67" s="8"/>
      <c r="C67" s="5"/>
    </row>
    <row r="68" spans="1:5" x14ac:dyDescent="0.55000000000000004">
      <c r="A68" s="3" t="s">
        <v>67</v>
      </c>
    </row>
    <row r="69" spans="1:5" x14ac:dyDescent="0.55000000000000004">
      <c r="A69" s="1" t="s">
        <v>68</v>
      </c>
      <c r="C69" s="1">
        <v>14</v>
      </c>
      <c r="D69" s="2">
        <v>22</v>
      </c>
    </row>
    <row r="70" spans="1:5" x14ac:dyDescent="0.55000000000000004">
      <c r="B70" s="1" t="s">
        <v>94</v>
      </c>
    </row>
    <row r="71" spans="1:5" x14ac:dyDescent="0.55000000000000004">
      <c r="C71" s="5" t="s">
        <v>727</v>
      </c>
      <c r="D71" s="7">
        <v>6.4</v>
      </c>
      <c r="E71" s="10">
        <v>3.5</v>
      </c>
    </row>
    <row r="72" spans="1:5" x14ac:dyDescent="0.55000000000000004">
      <c r="C72" s="5" t="s">
        <v>728</v>
      </c>
      <c r="D72" s="7">
        <v>2.9</v>
      </c>
      <c r="E72" s="10">
        <v>2.5</v>
      </c>
    </row>
    <row r="73" spans="1:5" x14ac:dyDescent="0.55000000000000004">
      <c r="C73" s="5" t="s">
        <v>729</v>
      </c>
      <c r="D73" s="7">
        <v>2.4</v>
      </c>
      <c r="E73" s="1">
        <v>1.7</v>
      </c>
    </row>
    <row r="74" spans="1:5" x14ac:dyDescent="0.55000000000000004">
      <c r="C74" s="5" t="s">
        <v>730</v>
      </c>
      <c r="D74" s="7">
        <v>1.2</v>
      </c>
      <c r="E74" s="1">
        <v>1.7</v>
      </c>
    </row>
  </sheetData>
  <pageMargins left="0.7" right="0.7" top="0.75" bottom="0.75" header="0.511811023622047" footer="0.511811023622047"/>
  <pageSetup paperSize="9" orientation="portrait" horizontalDpi="300" verticalDpi="30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MJ69"/>
  <sheetViews>
    <sheetView topLeftCell="D1" zoomScale="90" zoomScaleNormal="90" workbookViewId="0">
      <selection activeCell="F21" sqref="F21:F31"/>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1024" width="11.41796875" style="1"/>
  </cols>
  <sheetData>
    <row r="1" spans="1:4" x14ac:dyDescent="0.55000000000000004">
      <c r="A1" s="3" t="s">
        <v>0</v>
      </c>
      <c r="D1" s="2" t="s">
        <v>323</v>
      </c>
    </row>
    <row r="2" spans="1:4" x14ac:dyDescent="0.55000000000000004">
      <c r="A2" s="58" t="s">
        <v>2</v>
      </c>
      <c r="B2" s="58"/>
      <c r="D2" s="1" t="s">
        <v>731</v>
      </c>
    </row>
    <row r="3" spans="1:4" x14ac:dyDescent="0.55000000000000004">
      <c r="A3" s="58"/>
      <c r="B3" s="58"/>
      <c r="C3" s="5" t="s">
        <v>4</v>
      </c>
      <c r="D3" s="2" t="s">
        <v>732</v>
      </c>
    </row>
    <row r="4" spans="1:4" x14ac:dyDescent="0.55000000000000004">
      <c r="A4" s="58"/>
      <c r="B4" s="58"/>
      <c r="C4" s="5" t="s">
        <v>6</v>
      </c>
      <c r="D4" s="2">
        <v>2013</v>
      </c>
    </row>
    <row r="5" spans="1:4" x14ac:dyDescent="0.55000000000000004">
      <c r="A5" s="58"/>
      <c r="B5" s="58"/>
      <c r="C5" s="5" t="s">
        <v>7</v>
      </c>
      <c r="D5" s="2" t="s">
        <v>733</v>
      </c>
    </row>
    <row r="6" spans="1:4" x14ac:dyDescent="0.55000000000000004">
      <c r="A6" s="58"/>
      <c r="B6" s="58"/>
      <c r="C6" s="5" t="s">
        <v>9</v>
      </c>
      <c r="D6" s="2" t="s">
        <v>734</v>
      </c>
    </row>
    <row r="7" spans="1:4" x14ac:dyDescent="0.55000000000000004">
      <c r="A7" s="58"/>
      <c r="B7" s="58"/>
      <c r="C7" s="5" t="s">
        <v>11</v>
      </c>
      <c r="D7" s="2" t="s">
        <v>12</v>
      </c>
    </row>
    <row r="8" spans="1:4" x14ac:dyDescent="0.55000000000000004">
      <c r="A8" s="59" t="s">
        <v>13</v>
      </c>
      <c r="B8" s="59"/>
      <c r="C8" s="5"/>
    </row>
    <row r="9" spans="1:4" ht="26.1" x14ac:dyDescent="0.55000000000000004">
      <c r="A9" s="58"/>
      <c r="B9" s="58"/>
      <c r="C9" s="5" t="s">
        <v>14</v>
      </c>
      <c r="D9" s="2" t="s">
        <v>735</v>
      </c>
    </row>
    <row r="10" spans="1:4" x14ac:dyDescent="0.55000000000000004">
      <c r="A10" s="58"/>
      <c r="B10" s="58"/>
      <c r="C10" s="5" t="s">
        <v>16</v>
      </c>
      <c r="D10" s="2" t="s">
        <v>165</v>
      </c>
    </row>
    <row r="11" spans="1:4" x14ac:dyDescent="0.55000000000000004">
      <c r="A11" s="58"/>
      <c r="B11" s="58"/>
      <c r="C11" s="5" t="s">
        <v>19</v>
      </c>
      <c r="D11" s="2" t="s">
        <v>20</v>
      </c>
    </row>
    <row r="12" spans="1:4" x14ac:dyDescent="0.55000000000000004">
      <c r="A12" s="58"/>
      <c r="B12" s="58"/>
      <c r="C12" s="5" t="s">
        <v>21</v>
      </c>
      <c r="D12" s="2" t="s">
        <v>20</v>
      </c>
    </row>
    <row r="13" spans="1:4" x14ac:dyDescent="0.55000000000000004">
      <c r="A13" s="58"/>
      <c r="B13" s="58"/>
      <c r="C13" s="5" t="s">
        <v>22</v>
      </c>
      <c r="D13" s="2" t="s">
        <v>20</v>
      </c>
    </row>
    <row r="14" spans="1:4" x14ac:dyDescent="0.55000000000000004">
      <c r="A14" s="59" t="s">
        <v>24</v>
      </c>
      <c r="B14" s="59"/>
      <c r="C14" s="5"/>
      <c r="D14" s="2" t="s">
        <v>20</v>
      </c>
    </row>
    <row r="15" spans="1:4" x14ac:dyDescent="0.55000000000000004">
      <c r="A15" s="58"/>
      <c r="B15" s="58"/>
      <c r="C15" s="5" t="s">
        <v>25</v>
      </c>
      <c r="D15" s="2" t="s">
        <v>88</v>
      </c>
    </row>
    <row r="16" spans="1:4" x14ac:dyDescent="0.55000000000000004">
      <c r="A16" s="58"/>
      <c r="B16" s="58"/>
      <c r="C16" s="5" t="s">
        <v>27</v>
      </c>
      <c r="D16" s="2" t="s">
        <v>736</v>
      </c>
    </row>
    <row r="17" spans="1:6" x14ac:dyDescent="0.55000000000000004">
      <c r="A17" s="59" t="s">
        <v>29</v>
      </c>
      <c r="B17" s="59"/>
      <c r="C17" s="5"/>
    </row>
    <row r="18" spans="1:6" ht="26.1" x14ac:dyDescent="0.55000000000000004">
      <c r="A18" s="58"/>
      <c r="B18" s="58"/>
      <c r="C18" s="5" t="s">
        <v>30</v>
      </c>
      <c r="D18" s="2" t="s">
        <v>737</v>
      </c>
    </row>
    <row r="19" spans="1:6" ht="64.8" x14ac:dyDescent="0.55000000000000004">
      <c r="A19" s="58"/>
      <c r="B19" s="58"/>
      <c r="C19" s="5" t="s">
        <v>32</v>
      </c>
      <c r="D19" s="2" t="s">
        <v>738</v>
      </c>
    </row>
    <row r="20" spans="1:6" x14ac:dyDescent="0.55000000000000004">
      <c r="A20" s="59" t="s">
        <v>34</v>
      </c>
      <c r="B20" s="59"/>
      <c r="C20" s="5"/>
      <c r="D20" s="2" t="s">
        <v>323</v>
      </c>
      <c r="E20" s="1" t="s">
        <v>109</v>
      </c>
      <c r="F20" s="1" t="s">
        <v>35</v>
      </c>
    </row>
    <row r="21" spans="1:6" x14ac:dyDescent="0.55000000000000004">
      <c r="A21" s="58"/>
      <c r="B21" s="58"/>
      <c r="C21" s="5" t="s">
        <v>36</v>
      </c>
      <c r="F21" s="1">
        <v>1176</v>
      </c>
    </row>
    <row r="22" spans="1:6" x14ac:dyDescent="0.55000000000000004">
      <c r="A22" s="58"/>
      <c r="B22" s="58"/>
      <c r="C22" s="5" t="s">
        <v>37</v>
      </c>
      <c r="D22" s="2">
        <v>288</v>
      </c>
      <c r="E22" s="1">
        <v>595</v>
      </c>
      <c r="F22" s="1">
        <v>1164</v>
      </c>
    </row>
    <row r="23" spans="1:6" x14ac:dyDescent="0.55000000000000004">
      <c r="A23" s="58"/>
      <c r="B23" s="58"/>
      <c r="C23" s="5" t="s">
        <v>38</v>
      </c>
      <c r="D23" s="2">
        <v>286</v>
      </c>
      <c r="E23" s="1">
        <v>588</v>
      </c>
      <c r="F23" s="1">
        <f>SUM(D23:E23)</f>
        <v>874</v>
      </c>
    </row>
    <row r="24" spans="1:6" x14ac:dyDescent="0.55000000000000004">
      <c r="A24" s="58"/>
      <c r="B24" s="58"/>
      <c r="C24" s="5" t="s">
        <v>39</v>
      </c>
      <c r="D24" s="2">
        <v>2</v>
      </c>
      <c r="E24" s="1">
        <v>7</v>
      </c>
      <c r="F24" s="1">
        <f>SUM(D24:E24)</f>
        <v>9</v>
      </c>
    </row>
    <row r="25" spans="1:6" x14ac:dyDescent="0.55000000000000004">
      <c r="A25" s="58"/>
      <c r="B25" s="58"/>
      <c r="C25" s="5" t="s">
        <v>40</v>
      </c>
    </row>
    <row r="26" spans="1:6" x14ac:dyDescent="0.55000000000000004">
      <c r="A26" s="58"/>
      <c r="B26" s="58"/>
      <c r="C26" s="5" t="s">
        <v>41</v>
      </c>
      <c r="D26" s="7">
        <v>62.4</v>
      </c>
      <c r="E26" s="10">
        <f>((61.9*300)+(62.4*295))/595</f>
        <v>62.147899159663865</v>
      </c>
      <c r="F26" s="10">
        <f>((D26*D23)+(E26*E23))/F23</f>
        <v>62.230394400323064</v>
      </c>
    </row>
    <row r="27" spans="1:6" x14ac:dyDescent="0.55000000000000004">
      <c r="A27" s="58"/>
      <c r="B27" s="58"/>
      <c r="C27" s="5" t="s">
        <v>42</v>
      </c>
      <c r="D27" s="7">
        <v>9.6999999999999993</v>
      </c>
      <c r="E27" s="10">
        <v>9.6999999999999993</v>
      </c>
      <c r="F27" s="10">
        <f>SQRT((D23*(D27^2+(D26-F$26)^2)+E23*(E27^2+(E26-F$26)^2))/(D23+E23))</f>
        <v>9.7007211925074142</v>
      </c>
    </row>
    <row r="28" spans="1:6" x14ac:dyDescent="0.55000000000000004">
      <c r="A28" s="58"/>
      <c r="B28" s="58"/>
      <c r="C28" s="5" t="s">
        <v>43</v>
      </c>
      <c r="D28" s="7"/>
      <c r="E28" s="10"/>
      <c r="F28" s="10"/>
    </row>
    <row r="29" spans="1:6" x14ac:dyDescent="0.55000000000000004">
      <c r="A29" s="58"/>
      <c r="B29" s="58"/>
      <c r="C29" s="5" t="s">
        <v>168</v>
      </c>
      <c r="D29" s="7">
        <v>1.53</v>
      </c>
      <c r="E29" s="10">
        <f>((1.51*300)+(1.46*295))/595</f>
        <v>1.4852100840336135</v>
      </c>
      <c r="F29" s="10">
        <v>1.9</v>
      </c>
    </row>
    <row r="30" spans="1:6" x14ac:dyDescent="0.55000000000000004">
      <c r="A30" s="58"/>
      <c r="B30" s="58"/>
      <c r="C30" s="5" t="s">
        <v>45</v>
      </c>
      <c r="D30" s="7">
        <v>20.6</v>
      </c>
      <c r="E30" s="10">
        <f>((20.2*300)+(19.9*295))/595</f>
        <v>20.051260504201682</v>
      </c>
      <c r="F30" s="10">
        <f>((D30*D23)+(E30*E23))/F23</f>
        <v>20.230825144703193</v>
      </c>
    </row>
    <row r="31" spans="1:6" x14ac:dyDescent="0.55000000000000004">
      <c r="A31" s="58"/>
      <c r="B31" s="58"/>
      <c r="C31" s="5" t="s">
        <v>46</v>
      </c>
      <c r="D31" s="7">
        <v>8.4</v>
      </c>
      <c r="E31" s="10">
        <f>8.3</f>
        <v>8.3000000000000007</v>
      </c>
      <c r="F31" s="17">
        <f>SQRT((D23*(D31^2+(D30-F$30)^2)+E23*(E31^2+(E30-F$30)^2))/(D23+E23))</f>
        <v>8.3368319356164076</v>
      </c>
    </row>
    <row r="32" spans="1:6" x14ac:dyDescent="0.55000000000000004">
      <c r="A32" s="59" t="s">
        <v>47</v>
      </c>
      <c r="B32" s="59"/>
      <c r="C32" s="5"/>
    </row>
    <row r="33" spans="1:10" ht="64.8" x14ac:dyDescent="0.55000000000000004">
      <c r="A33" s="58"/>
      <c r="B33" s="58"/>
      <c r="C33" s="5" t="s">
        <v>48</v>
      </c>
      <c r="D33" s="2" t="s">
        <v>739</v>
      </c>
    </row>
    <row r="34" spans="1:10" x14ac:dyDescent="0.55000000000000004">
      <c r="A34" s="59" t="s">
        <v>50</v>
      </c>
      <c r="B34" s="59"/>
      <c r="C34" s="5"/>
    </row>
    <row r="35" spans="1:10" x14ac:dyDescent="0.55000000000000004">
      <c r="A35" s="8"/>
      <c r="B35" s="8"/>
      <c r="C35" s="5"/>
    </row>
    <row r="36" spans="1:10" x14ac:dyDescent="0.55000000000000004">
      <c r="A36" s="59"/>
      <c r="B36" s="5" t="s">
        <v>59</v>
      </c>
      <c r="C36" s="5"/>
      <c r="D36" s="2" t="s">
        <v>51</v>
      </c>
      <c r="E36" s="1" t="s">
        <v>52</v>
      </c>
      <c r="F36" s="1" t="s">
        <v>53</v>
      </c>
      <c r="G36" s="1" t="s">
        <v>54</v>
      </c>
      <c r="H36" s="1" t="s">
        <v>55</v>
      </c>
      <c r="I36" s="1" t="s">
        <v>56</v>
      </c>
      <c r="J36" s="1" t="s">
        <v>57</v>
      </c>
    </row>
    <row r="37" spans="1:10" x14ac:dyDescent="0.55000000000000004">
      <c r="A37" s="59"/>
      <c r="B37" s="5"/>
      <c r="C37" s="1" t="s">
        <v>740</v>
      </c>
      <c r="D37" s="2">
        <v>0.06</v>
      </c>
      <c r="E37" s="1">
        <f>F37*SQRT(E23)</f>
        <v>2.2839895332202098</v>
      </c>
      <c r="F37" s="1">
        <v>9.41901408450697E-2</v>
      </c>
    </row>
    <row r="38" spans="1:10" x14ac:dyDescent="0.55000000000000004">
      <c r="A38" s="59"/>
      <c r="B38" s="5"/>
      <c r="C38" s="1" t="s">
        <v>741</v>
      </c>
      <c r="D38" s="2">
        <v>0.54</v>
      </c>
      <c r="E38" s="1">
        <f>F38*SQRT(D23)</f>
        <v>1.1909531355836349</v>
      </c>
      <c r="F38" s="1">
        <v>7.0422535211266998E-2</v>
      </c>
    </row>
    <row r="39" spans="1:10" x14ac:dyDescent="0.55000000000000004">
      <c r="A39" s="59"/>
      <c r="B39" s="5"/>
    </row>
    <row r="40" spans="1:10" x14ac:dyDescent="0.55000000000000004">
      <c r="A40" s="59"/>
      <c r="B40" s="5"/>
      <c r="C40" s="5"/>
    </row>
    <row r="41" spans="1:10" x14ac:dyDescent="0.55000000000000004">
      <c r="A41" s="59"/>
      <c r="C41" s="5"/>
    </row>
    <row r="42" spans="1:10" x14ac:dyDescent="0.55000000000000004">
      <c r="A42" s="59"/>
      <c r="B42" s="5"/>
      <c r="C42" s="5"/>
    </row>
    <row r="43" spans="1:10" x14ac:dyDescent="0.55000000000000004">
      <c r="A43" s="59"/>
      <c r="B43" s="5"/>
      <c r="C43" s="5"/>
    </row>
    <row r="44" spans="1:10" x14ac:dyDescent="0.55000000000000004">
      <c r="A44" s="59"/>
      <c r="B44" s="5"/>
      <c r="C44" s="5"/>
    </row>
    <row r="45" spans="1:10" x14ac:dyDescent="0.55000000000000004">
      <c r="A45" s="59"/>
      <c r="B45" s="5" t="s">
        <v>61</v>
      </c>
      <c r="C45" s="5"/>
    </row>
    <row r="46" spans="1:10" x14ac:dyDescent="0.55000000000000004">
      <c r="A46" s="59"/>
      <c r="B46" s="5"/>
      <c r="C46" s="5"/>
    </row>
    <row r="47" spans="1:10" x14ac:dyDescent="0.55000000000000004">
      <c r="A47" s="59"/>
      <c r="B47" s="5"/>
      <c r="C47" s="5"/>
    </row>
    <row r="48" spans="1:10" x14ac:dyDescent="0.55000000000000004">
      <c r="A48" s="59"/>
      <c r="B48" s="5"/>
      <c r="C48" s="5"/>
    </row>
    <row r="49" spans="1:3" x14ac:dyDescent="0.55000000000000004">
      <c r="A49" s="59"/>
      <c r="B49" s="5"/>
      <c r="C49" s="5"/>
    </row>
    <row r="50" spans="1:3" x14ac:dyDescent="0.55000000000000004">
      <c r="A50" s="59"/>
      <c r="B50" s="5"/>
      <c r="C50" s="5"/>
    </row>
    <row r="51" spans="1:3" x14ac:dyDescent="0.55000000000000004">
      <c r="A51" s="59"/>
      <c r="B51" s="5"/>
      <c r="C51" s="5"/>
    </row>
    <row r="52" spans="1:3" x14ac:dyDescent="0.55000000000000004">
      <c r="A52" s="59"/>
      <c r="B52" s="5"/>
      <c r="C52" s="5"/>
    </row>
    <row r="53" spans="1:3" x14ac:dyDescent="0.55000000000000004">
      <c r="A53" s="59"/>
      <c r="B53" s="5"/>
      <c r="C53" s="5"/>
    </row>
    <row r="54" spans="1:3" x14ac:dyDescent="0.55000000000000004">
      <c r="A54" s="59"/>
      <c r="B54" s="5"/>
      <c r="C54" s="5"/>
    </row>
    <row r="55" spans="1:3" x14ac:dyDescent="0.55000000000000004">
      <c r="A55" s="59"/>
      <c r="B55" s="5"/>
      <c r="C55" s="5"/>
    </row>
    <row r="56" spans="1:3" x14ac:dyDescent="0.55000000000000004">
      <c r="A56" s="59"/>
      <c r="B56" s="5"/>
      <c r="C56" s="5"/>
    </row>
    <row r="57" spans="1:3" x14ac:dyDescent="0.55000000000000004">
      <c r="A57" s="59"/>
      <c r="B57" s="5"/>
      <c r="C57" s="5"/>
    </row>
    <row r="58" spans="1:3" x14ac:dyDescent="0.55000000000000004">
      <c r="A58" s="59"/>
      <c r="B58" s="5"/>
      <c r="C58" s="5"/>
    </row>
    <row r="59" spans="1:3" x14ac:dyDescent="0.55000000000000004">
      <c r="A59" s="59"/>
      <c r="B59" s="5"/>
      <c r="C59" s="5"/>
    </row>
    <row r="60" spans="1:3" x14ac:dyDescent="0.55000000000000004">
      <c r="A60" s="59"/>
      <c r="B60" s="5"/>
      <c r="C60" s="5"/>
    </row>
    <row r="61" spans="1:3" x14ac:dyDescent="0.55000000000000004">
      <c r="A61" s="59"/>
      <c r="B61" s="5"/>
      <c r="C61" s="5"/>
    </row>
    <row r="62" spans="1:3" x14ac:dyDescent="0.55000000000000004">
      <c r="A62" s="59"/>
      <c r="B62" s="5"/>
      <c r="C62" s="5"/>
    </row>
    <row r="63" spans="1:3" x14ac:dyDescent="0.55000000000000004">
      <c r="A63" s="59"/>
      <c r="B63" s="5"/>
      <c r="C63" s="5"/>
    </row>
    <row r="64" spans="1:3" x14ac:dyDescent="0.55000000000000004">
      <c r="A64" s="59"/>
      <c r="B64" s="5"/>
      <c r="C64" s="5"/>
    </row>
    <row r="65" spans="1:4" x14ac:dyDescent="0.55000000000000004">
      <c r="A65" s="59"/>
      <c r="B65" s="5" t="s">
        <v>62</v>
      </c>
      <c r="C65" s="5"/>
      <c r="D65" s="2">
        <f>36*7</f>
        <v>252</v>
      </c>
    </row>
    <row r="66" spans="1:4" x14ac:dyDescent="0.55000000000000004">
      <c r="A66" s="59"/>
      <c r="B66" s="5" t="s">
        <v>63</v>
      </c>
      <c r="C66" s="5"/>
    </row>
    <row r="67" spans="1:4" ht="64.8" x14ac:dyDescent="0.55000000000000004">
      <c r="A67" s="59" t="s">
        <v>65</v>
      </c>
      <c r="B67" s="59"/>
      <c r="C67" s="5"/>
      <c r="D67" s="2" t="s">
        <v>742</v>
      </c>
    </row>
    <row r="68" spans="1:4" x14ac:dyDescent="0.55000000000000004">
      <c r="A68" s="3" t="s">
        <v>67</v>
      </c>
    </row>
    <row r="69" spans="1:4" x14ac:dyDescent="0.55000000000000004">
      <c r="A69" s="1" t="s">
        <v>68</v>
      </c>
      <c r="C69" s="1">
        <v>20</v>
      </c>
      <c r="D69" s="2">
        <v>20</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AMJ69"/>
  <sheetViews>
    <sheetView topLeftCell="A11" zoomScale="90" zoomScaleNormal="90" workbookViewId="0">
      <selection activeCell="F22" sqref="F22:F31"/>
    </sheetView>
  </sheetViews>
  <sheetFormatPr baseColWidth="10" defaultColWidth="10.83984375" defaultRowHeight="14.4" x14ac:dyDescent="0.55000000000000004"/>
  <cols>
    <col min="1" max="1" width="10.83984375" style="1"/>
    <col min="2" max="2" width="18.83984375" style="1" customWidth="1"/>
    <col min="3" max="3" width="47.578125" style="1" customWidth="1"/>
    <col min="4" max="4" width="56.15625" style="1" customWidth="1"/>
    <col min="5" max="5" width="6.41796875" style="1" customWidth="1"/>
    <col min="6" max="6" width="5.15625" style="1" customWidth="1"/>
    <col min="7" max="7" width="5.26171875" style="1" customWidth="1"/>
    <col min="8" max="8" width="5.83984375" style="1" customWidth="1"/>
    <col min="9" max="9" width="6.41796875" style="1" customWidth="1"/>
    <col min="10" max="1024" width="10.83984375" style="1"/>
  </cols>
  <sheetData>
    <row r="1" spans="1:4" x14ac:dyDescent="0.55000000000000004">
      <c r="A1" s="3" t="s">
        <v>0</v>
      </c>
      <c r="D1" s="1" t="s">
        <v>323</v>
      </c>
    </row>
    <row r="2" spans="1:4" x14ac:dyDescent="0.55000000000000004">
      <c r="A2" s="58" t="s">
        <v>2</v>
      </c>
      <c r="B2" s="58"/>
      <c r="D2" s="1" t="s">
        <v>731</v>
      </c>
    </row>
    <row r="3" spans="1:4" x14ac:dyDescent="0.55000000000000004">
      <c r="A3" s="58"/>
      <c r="B3" s="58"/>
      <c r="C3" s="1" t="s">
        <v>4</v>
      </c>
      <c r="D3" s="1" t="s">
        <v>732</v>
      </c>
    </row>
    <row r="4" spans="1:4" x14ac:dyDescent="0.55000000000000004">
      <c r="A4" s="58"/>
      <c r="B4" s="58"/>
      <c r="C4" s="1" t="s">
        <v>6</v>
      </c>
      <c r="D4" s="1">
        <v>2013</v>
      </c>
    </row>
    <row r="5" spans="1:4" x14ac:dyDescent="0.55000000000000004">
      <c r="A5" s="58"/>
      <c r="B5" s="58"/>
      <c r="C5" s="1" t="s">
        <v>7</v>
      </c>
      <c r="D5" s="1" t="s">
        <v>733</v>
      </c>
    </row>
    <row r="6" spans="1:4" x14ac:dyDescent="0.55000000000000004">
      <c r="A6" s="58"/>
      <c r="B6" s="58"/>
      <c r="C6" s="1" t="s">
        <v>9</v>
      </c>
      <c r="D6" s="1" t="s">
        <v>734</v>
      </c>
    </row>
    <row r="7" spans="1:4" x14ac:dyDescent="0.55000000000000004">
      <c r="A7" s="58"/>
      <c r="B7" s="58"/>
      <c r="C7" s="1" t="s">
        <v>11</v>
      </c>
      <c r="D7" s="1" t="s">
        <v>12</v>
      </c>
    </row>
    <row r="8" spans="1:4" x14ac:dyDescent="0.55000000000000004">
      <c r="A8" s="59" t="s">
        <v>13</v>
      </c>
      <c r="B8" s="59"/>
    </row>
    <row r="9" spans="1:4" x14ac:dyDescent="0.55000000000000004">
      <c r="A9" s="58"/>
      <c r="B9" s="58"/>
      <c r="C9" s="1" t="s">
        <v>14</v>
      </c>
      <c r="D9" s="1" t="s">
        <v>743</v>
      </c>
    </row>
    <row r="10" spans="1:4" x14ac:dyDescent="0.55000000000000004">
      <c r="A10" s="58"/>
      <c r="B10" s="58"/>
      <c r="C10" s="1" t="s">
        <v>16</v>
      </c>
      <c r="D10" s="1" t="s">
        <v>165</v>
      </c>
    </row>
    <row r="11" spans="1:4" x14ac:dyDescent="0.55000000000000004">
      <c r="A11" s="58"/>
      <c r="B11" s="58"/>
      <c r="C11" s="1" t="s">
        <v>19</v>
      </c>
      <c r="D11" s="1" t="s">
        <v>744</v>
      </c>
    </row>
    <row r="12" spans="1:4" x14ac:dyDescent="0.55000000000000004">
      <c r="A12" s="58"/>
      <c r="B12" s="58"/>
      <c r="C12" s="1" t="s">
        <v>21</v>
      </c>
      <c r="D12" s="1" t="s">
        <v>745</v>
      </c>
    </row>
    <row r="13" spans="1:4" x14ac:dyDescent="0.55000000000000004">
      <c r="A13" s="58"/>
      <c r="B13" s="58"/>
      <c r="C13" s="1" t="s">
        <v>22</v>
      </c>
      <c r="D13" s="1" t="s">
        <v>20</v>
      </c>
    </row>
    <row r="14" spans="1:4" x14ac:dyDescent="0.55000000000000004">
      <c r="A14" s="59" t="s">
        <v>24</v>
      </c>
      <c r="B14" s="59"/>
      <c r="D14" s="1" t="s">
        <v>20</v>
      </c>
    </row>
    <row r="15" spans="1:4" x14ac:dyDescent="0.55000000000000004">
      <c r="A15" s="58"/>
      <c r="B15" s="58"/>
      <c r="C15" s="1" t="s">
        <v>25</v>
      </c>
      <c r="D15" s="1" t="s">
        <v>418</v>
      </c>
    </row>
    <row r="16" spans="1:4" x14ac:dyDescent="0.55000000000000004">
      <c r="A16" s="58"/>
      <c r="B16" s="58"/>
      <c r="C16" s="1" t="s">
        <v>27</v>
      </c>
      <c r="D16" s="1" t="s">
        <v>736</v>
      </c>
    </row>
    <row r="17" spans="1:6" x14ac:dyDescent="0.55000000000000004">
      <c r="A17" s="59" t="s">
        <v>29</v>
      </c>
      <c r="B17" s="59"/>
    </row>
    <row r="18" spans="1:6" ht="26.1" x14ac:dyDescent="0.55000000000000004">
      <c r="A18" s="58"/>
      <c r="B18" s="58"/>
      <c r="C18" s="1" t="s">
        <v>30</v>
      </c>
      <c r="D18" s="2" t="s">
        <v>746</v>
      </c>
    </row>
    <row r="19" spans="1:6" ht="103.5" x14ac:dyDescent="0.55000000000000004">
      <c r="A19" s="58"/>
      <c r="B19" s="58"/>
      <c r="C19" s="1" t="s">
        <v>32</v>
      </c>
      <c r="D19" s="2" t="s">
        <v>747</v>
      </c>
    </row>
    <row r="20" spans="1:6" x14ac:dyDescent="0.55000000000000004">
      <c r="A20" s="59" t="s">
        <v>34</v>
      </c>
      <c r="B20" s="59"/>
      <c r="D20" s="1" t="s">
        <v>323</v>
      </c>
      <c r="E20" s="1" t="s">
        <v>109</v>
      </c>
      <c r="F20" s="1" t="s">
        <v>35</v>
      </c>
    </row>
    <row r="21" spans="1:6" x14ac:dyDescent="0.55000000000000004">
      <c r="A21" s="58"/>
      <c r="B21" s="58"/>
      <c r="C21" s="1" t="s">
        <v>36</v>
      </c>
    </row>
    <row r="22" spans="1:6" x14ac:dyDescent="0.55000000000000004">
      <c r="A22" s="58"/>
      <c r="B22" s="58"/>
      <c r="C22" s="1" t="s">
        <v>37</v>
      </c>
      <c r="F22" s="1">
        <v>473</v>
      </c>
    </row>
    <row r="23" spans="1:6" x14ac:dyDescent="0.55000000000000004">
      <c r="A23" s="58"/>
      <c r="B23" s="58"/>
      <c r="C23" s="1" t="s">
        <v>38</v>
      </c>
      <c r="D23" s="1">
        <v>138</v>
      </c>
      <c r="E23" s="1">
        <v>134</v>
      </c>
      <c r="F23" s="1">
        <v>272</v>
      </c>
    </row>
    <row r="24" spans="1:6" x14ac:dyDescent="0.55000000000000004">
      <c r="A24" s="58"/>
      <c r="B24" s="58"/>
      <c r="C24" s="1" t="s">
        <v>39</v>
      </c>
      <c r="D24" s="1">
        <v>23</v>
      </c>
      <c r="E24" s="1">
        <v>26</v>
      </c>
      <c r="F24" s="1">
        <v>49</v>
      </c>
    </row>
    <row r="25" spans="1:6" x14ac:dyDescent="0.55000000000000004">
      <c r="A25" s="58"/>
      <c r="B25" s="58"/>
      <c r="C25" s="1" t="s">
        <v>40</v>
      </c>
      <c r="D25" s="1">
        <v>0.67</v>
      </c>
      <c r="E25" s="1">
        <v>0.67</v>
      </c>
      <c r="F25" s="1">
        <v>0.67</v>
      </c>
    </row>
    <row r="26" spans="1:6" x14ac:dyDescent="0.55000000000000004">
      <c r="A26" s="58"/>
      <c r="B26" s="58"/>
      <c r="C26" s="1" t="s">
        <v>41</v>
      </c>
      <c r="D26" s="1">
        <v>60.5</v>
      </c>
      <c r="E26" s="1">
        <v>61.6</v>
      </c>
      <c r="F26" s="1">
        <v>61.04</v>
      </c>
    </row>
    <row r="27" spans="1:6" x14ac:dyDescent="0.55000000000000004">
      <c r="A27" s="58"/>
      <c r="B27" s="58"/>
      <c r="C27" s="1" t="s">
        <v>42</v>
      </c>
      <c r="D27" s="1">
        <v>10.8</v>
      </c>
      <c r="E27" s="1">
        <v>10.3</v>
      </c>
      <c r="F27" s="1">
        <v>10.57</v>
      </c>
    </row>
    <row r="28" spans="1:6" x14ac:dyDescent="0.55000000000000004">
      <c r="A28" s="58"/>
      <c r="B28" s="58"/>
      <c r="C28" s="1" t="s">
        <v>43</v>
      </c>
    </row>
    <row r="29" spans="1:6" x14ac:dyDescent="0.55000000000000004">
      <c r="A29" s="58"/>
      <c r="B29" s="58"/>
      <c r="C29" s="1" t="s">
        <v>168</v>
      </c>
      <c r="D29" s="1">
        <v>1.9</v>
      </c>
      <c r="E29" s="1">
        <v>1.9</v>
      </c>
      <c r="F29" s="1">
        <v>1.9</v>
      </c>
    </row>
    <row r="30" spans="1:6" x14ac:dyDescent="0.55000000000000004">
      <c r="A30" s="58"/>
      <c r="B30" s="58"/>
      <c r="C30" s="1" t="s">
        <v>45</v>
      </c>
      <c r="D30" s="1">
        <v>24.5</v>
      </c>
      <c r="E30" s="1">
        <v>24.7</v>
      </c>
      <c r="F30" s="1">
        <v>24.6</v>
      </c>
    </row>
    <row r="31" spans="1:6" x14ac:dyDescent="0.55000000000000004">
      <c r="A31" s="58"/>
      <c r="B31" s="58"/>
      <c r="C31" s="1" t="s">
        <v>46</v>
      </c>
      <c r="D31" s="1">
        <v>11.6</v>
      </c>
      <c r="E31" s="1">
        <v>11.3</v>
      </c>
      <c r="F31" s="1">
        <v>11.45</v>
      </c>
    </row>
    <row r="32" spans="1:6" x14ac:dyDescent="0.55000000000000004">
      <c r="A32" s="59" t="s">
        <v>47</v>
      </c>
      <c r="B32" s="59"/>
    </row>
    <row r="33" spans="1:10" ht="51.9" x14ac:dyDescent="0.55000000000000004">
      <c r="A33" s="58"/>
      <c r="B33" s="58"/>
      <c r="C33" s="1" t="s">
        <v>48</v>
      </c>
      <c r="D33" s="2" t="s">
        <v>748</v>
      </c>
    </row>
    <row r="34" spans="1:10" x14ac:dyDescent="0.55000000000000004">
      <c r="A34" s="59" t="s">
        <v>50</v>
      </c>
      <c r="B34" s="59"/>
    </row>
    <row r="35" spans="1:10" x14ac:dyDescent="0.55000000000000004">
      <c r="A35" s="8"/>
      <c r="B35" s="8"/>
      <c r="D35" s="2" t="s">
        <v>51</v>
      </c>
      <c r="E35" s="1" t="s">
        <v>52</v>
      </c>
      <c r="F35" s="1" t="s">
        <v>53</v>
      </c>
      <c r="G35" s="1" t="s">
        <v>54</v>
      </c>
      <c r="H35" s="1" t="s">
        <v>55</v>
      </c>
      <c r="I35" s="1" t="s">
        <v>56</v>
      </c>
      <c r="J35" s="1" t="s">
        <v>57</v>
      </c>
    </row>
    <row r="36" spans="1:10" x14ac:dyDescent="0.55000000000000004">
      <c r="A36" s="59"/>
      <c r="B36" s="5" t="s">
        <v>59</v>
      </c>
    </row>
    <row r="37" spans="1:10" x14ac:dyDescent="0.55000000000000004">
      <c r="A37" s="59"/>
      <c r="B37" s="5"/>
      <c r="C37" s="1" t="s">
        <v>740</v>
      </c>
      <c r="D37" s="1">
        <v>-0.1</v>
      </c>
      <c r="E37" s="1">
        <v>1.77</v>
      </c>
      <c r="F37" s="1">
        <v>0.15</v>
      </c>
      <c r="I37" s="1">
        <v>2E-3</v>
      </c>
    </row>
    <row r="38" spans="1:10" x14ac:dyDescent="0.55000000000000004">
      <c r="A38" s="59"/>
      <c r="B38" s="5"/>
      <c r="C38" s="1" t="s">
        <v>741</v>
      </c>
      <c r="D38" s="1">
        <v>0.53</v>
      </c>
      <c r="E38" s="1">
        <v>1.87</v>
      </c>
      <c r="F38" s="1">
        <v>0.16</v>
      </c>
      <c r="I38" s="1">
        <v>2E-3</v>
      </c>
    </row>
    <row r="39" spans="1:10" x14ac:dyDescent="0.55000000000000004">
      <c r="A39" s="59"/>
      <c r="B39" s="5"/>
    </row>
    <row r="40" spans="1:10" x14ac:dyDescent="0.55000000000000004">
      <c r="A40" s="59"/>
      <c r="B40" s="5"/>
    </row>
    <row r="41" spans="1:10" x14ac:dyDescent="0.55000000000000004">
      <c r="A41" s="59"/>
    </row>
    <row r="42" spans="1:10" x14ac:dyDescent="0.55000000000000004">
      <c r="A42" s="59"/>
      <c r="B42" s="5"/>
    </row>
    <row r="43" spans="1:10" x14ac:dyDescent="0.55000000000000004">
      <c r="A43" s="59"/>
      <c r="B43" s="5"/>
    </row>
    <row r="44" spans="1:10" x14ac:dyDescent="0.55000000000000004">
      <c r="A44" s="59"/>
      <c r="B44" s="5"/>
    </row>
    <row r="45" spans="1:10" x14ac:dyDescent="0.55000000000000004">
      <c r="A45" s="59"/>
      <c r="B45" s="5" t="s">
        <v>61</v>
      </c>
    </row>
    <row r="46" spans="1:10" x14ac:dyDescent="0.55000000000000004">
      <c r="A46" s="59"/>
      <c r="B46" s="5"/>
    </row>
    <row r="47" spans="1:10" x14ac:dyDescent="0.55000000000000004">
      <c r="A47" s="59"/>
      <c r="B47" s="5"/>
    </row>
    <row r="48" spans="1:10" x14ac:dyDescent="0.55000000000000004">
      <c r="A48" s="59"/>
      <c r="B48" s="5"/>
    </row>
    <row r="49" spans="1:2" x14ac:dyDescent="0.55000000000000004">
      <c r="A49" s="59"/>
      <c r="B49" s="5"/>
    </row>
    <row r="50" spans="1:2" x14ac:dyDescent="0.55000000000000004">
      <c r="A50" s="59"/>
      <c r="B50" s="5"/>
    </row>
    <row r="51" spans="1:2" x14ac:dyDescent="0.55000000000000004">
      <c r="A51" s="59"/>
      <c r="B51" s="5"/>
    </row>
    <row r="52" spans="1:2" x14ac:dyDescent="0.55000000000000004">
      <c r="A52" s="59"/>
      <c r="B52" s="5"/>
    </row>
    <row r="53" spans="1:2" x14ac:dyDescent="0.55000000000000004">
      <c r="A53" s="59"/>
      <c r="B53" s="5"/>
    </row>
    <row r="54" spans="1:2" x14ac:dyDescent="0.55000000000000004">
      <c r="A54" s="59"/>
      <c r="B54" s="5"/>
    </row>
    <row r="55" spans="1:2" x14ac:dyDescent="0.55000000000000004">
      <c r="A55" s="59"/>
      <c r="B55" s="5"/>
    </row>
    <row r="56" spans="1:2" x14ac:dyDescent="0.55000000000000004">
      <c r="A56" s="59"/>
      <c r="B56" s="5"/>
    </row>
    <row r="57" spans="1:2" x14ac:dyDescent="0.55000000000000004">
      <c r="A57" s="59"/>
      <c r="B57" s="5"/>
    </row>
    <row r="58" spans="1:2" x14ac:dyDescent="0.55000000000000004">
      <c r="A58" s="59"/>
      <c r="B58" s="5"/>
    </row>
    <row r="59" spans="1:2" x14ac:dyDescent="0.55000000000000004">
      <c r="A59" s="59"/>
      <c r="B59" s="5"/>
    </row>
    <row r="60" spans="1:2" x14ac:dyDescent="0.55000000000000004">
      <c r="A60" s="59"/>
      <c r="B60" s="5"/>
    </row>
    <row r="61" spans="1:2" x14ac:dyDescent="0.55000000000000004">
      <c r="A61" s="59"/>
      <c r="B61" s="5"/>
    </row>
    <row r="62" spans="1:2" x14ac:dyDescent="0.55000000000000004">
      <c r="A62" s="59"/>
      <c r="B62" s="5"/>
    </row>
    <row r="63" spans="1:2" x14ac:dyDescent="0.55000000000000004">
      <c r="A63" s="59"/>
      <c r="B63" s="5"/>
    </row>
    <row r="64" spans="1:2" x14ac:dyDescent="0.55000000000000004">
      <c r="A64" s="59"/>
      <c r="B64" s="5"/>
    </row>
    <row r="65" spans="1:4" x14ac:dyDescent="0.55000000000000004">
      <c r="A65" s="59"/>
      <c r="B65" s="5" t="s">
        <v>62</v>
      </c>
      <c r="D65" s="1">
        <v>182</v>
      </c>
    </row>
    <row r="66" spans="1:4" x14ac:dyDescent="0.55000000000000004">
      <c r="A66" s="59"/>
      <c r="B66" s="5" t="s">
        <v>63</v>
      </c>
    </row>
    <row r="67" spans="1:4" ht="39" x14ac:dyDescent="0.55000000000000004">
      <c r="A67" s="59" t="s">
        <v>65</v>
      </c>
      <c r="B67" s="59"/>
      <c r="D67" s="2" t="s">
        <v>749</v>
      </c>
    </row>
    <row r="68" spans="1:4" x14ac:dyDescent="0.55000000000000004">
      <c r="A68" s="3" t="s">
        <v>67</v>
      </c>
    </row>
    <row r="69" spans="1:4" x14ac:dyDescent="0.55000000000000004">
      <c r="A69" s="1" t="s">
        <v>68</v>
      </c>
      <c r="C69" s="1">
        <v>20</v>
      </c>
      <c r="D69" s="2">
        <v>20</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AMJ69"/>
  <sheetViews>
    <sheetView topLeftCell="A16" zoomScale="90" zoomScaleNormal="90" workbookViewId="0">
      <selection activeCell="D21" sqref="D21"/>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7" width="5.15625" style="1" customWidth="1"/>
    <col min="8" max="1024" width="11.41796875" style="1"/>
  </cols>
  <sheetData>
    <row r="1" spans="1:4" x14ac:dyDescent="0.55000000000000004">
      <c r="A1" s="3" t="s">
        <v>0</v>
      </c>
      <c r="D1" s="2" t="s">
        <v>269</v>
      </c>
    </row>
    <row r="2" spans="1:4" x14ac:dyDescent="0.55000000000000004">
      <c r="A2" s="58" t="s">
        <v>2</v>
      </c>
      <c r="B2" s="58"/>
      <c r="D2" s="2" t="s">
        <v>750</v>
      </c>
    </row>
    <row r="3" spans="1:4" x14ac:dyDescent="0.55000000000000004">
      <c r="A3" s="58"/>
      <c r="B3" s="58"/>
      <c r="C3" s="5" t="s">
        <v>4</v>
      </c>
      <c r="D3" s="2" t="s">
        <v>751</v>
      </c>
    </row>
    <row r="4" spans="1:4" x14ac:dyDescent="0.55000000000000004">
      <c r="A4" s="58"/>
      <c r="B4" s="58"/>
      <c r="C4" s="5" t="s">
        <v>6</v>
      </c>
      <c r="D4" s="2">
        <v>2018</v>
      </c>
    </row>
    <row r="5" spans="1:4" ht="26.1" x14ac:dyDescent="0.55000000000000004">
      <c r="A5" s="58"/>
      <c r="B5" s="58"/>
      <c r="C5" s="5" t="s">
        <v>7</v>
      </c>
      <c r="D5" s="2" t="s">
        <v>752</v>
      </c>
    </row>
    <row r="6" spans="1:4" x14ac:dyDescent="0.55000000000000004">
      <c r="A6" s="58"/>
      <c r="B6" s="58"/>
      <c r="C6" s="5" t="s">
        <v>9</v>
      </c>
      <c r="D6" s="2" t="s">
        <v>753</v>
      </c>
    </row>
    <row r="7" spans="1:4" x14ac:dyDescent="0.55000000000000004">
      <c r="A7" s="58"/>
      <c r="B7" s="58"/>
      <c r="C7" s="5" t="s">
        <v>11</v>
      </c>
      <c r="D7" s="2" t="s">
        <v>12</v>
      </c>
    </row>
    <row r="8" spans="1:4" x14ac:dyDescent="0.55000000000000004">
      <c r="A8" s="59" t="s">
        <v>13</v>
      </c>
      <c r="B8" s="59"/>
      <c r="C8" s="5"/>
    </row>
    <row r="9" spans="1:4" x14ac:dyDescent="0.55000000000000004">
      <c r="A9" s="58"/>
      <c r="B9" s="58"/>
      <c r="C9" s="5" t="s">
        <v>14</v>
      </c>
      <c r="D9" s="2" t="s">
        <v>754</v>
      </c>
    </row>
    <row r="10" spans="1:4" x14ac:dyDescent="0.55000000000000004">
      <c r="A10" s="58"/>
      <c r="B10" s="58"/>
      <c r="C10" s="5" t="s">
        <v>16</v>
      </c>
      <c r="D10" s="2" t="s">
        <v>454</v>
      </c>
    </row>
    <row r="11" spans="1:4" x14ac:dyDescent="0.55000000000000004">
      <c r="A11" s="58"/>
      <c r="B11" s="58"/>
      <c r="C11" s="5" t="s">
        <v>19</v>
      </c>
      <c r="D11" s="21">
        <v>41760</v>
      </c>
    </row>
    <row r="12" spans="1:4" x14ac:dyDescent="0.55000000000000004">
      <c r="A12" s="58"/>
      <c r="B12" s="58"/>
      <c r="C12" s="5" t="s">
        <v>21</v>
      </c>
      <c r="D12" s="21">
        <v>42370</v>
      </c>
    </row>
    <row r="13" spans="1:4" x14ac:dyDescent="0.55000000000000004">
      <c r="A13" s="58"/>
      <c r="B13" s="58"/>
      <c r="C13" s="5" t="s">
        <v>22</v>
      </c>
    </row>
    <row r="14" spans="1:4" x14ac:dyDescent="0.55000000000000004">
      <c r="A14" s="59" t="s">
        <v>24</v>
      </c>
      <c r="B14" s="59"/>
      <c r="C14" s="5"/>
    </row>
    <row r="15" spans="1:4" x14ac:dyDescent="0.55000000000000004">
      <c r="A15" s="58"/>
      <c r="B15" s="58"/>
      <c r="C15" s="5" t="s">
        <v>25</v>
      </c>
      <c r="D15" s="2" t="s">
        <v>755</v>
      </c>
    </row>
    <row r="16" spans="1:4" x14ac:dyDescent="0.55000000000000004">
      <c r="A16" s="58"/>
      <c r="B16" s="58"/>
      <c r="C16" s="5" t="s">
        <v>27</v>
      </c>
      <c r="D16" s="2" t="s">
        <v>756</v>
      </c>
    </row>
    <row r="17" spans="1:7" x14ac:dyDescent="0.55000000000000004">
      <c r="A17" s="59" t="s">
        <v>29</v>
      </c>
      <c r="B17" s="59"/>
      <c r="C17" s="5"/>
    </row>
    <row r="18" spans="1:7" ht="26.1" x14ac:dyDescent="0.55000000000000004">
      <c r="A18" s="58"/>
      <c r="B18" s="58"/>
      <c r="C18" s="5" t="s">
        <v>30</v>
      </c>
      <c r="D18" s="2" t="s">
        <v>757</v>
      </c>
    </row>
    <row r="19" spans="1:7" ht="51.9" x14ac:dyDescent="0.55000000000000004">
      <c r="A19" s="58"/>
      <c r="B19" s="58"/>
      <c r="C19" s="5" t="s">
        <v>32</v>
      </c>
      <c r="D19" s="2" t="s">
        <v>758</v>
      </c>
    </row>
    <row r="20" spans="1:7" x14ac:dyDescent="0.55000000000000004">
      <c r="A20" s="59" t="s">
        <v>34</v>
      </c>
      <c r="B20" s="59"/>
      <c r="C20" s="5"/>
      <c r="D20" s="2" t="s">
        <v>759</v>
      </c>
      <c r="E20" s="1" t="s">
        <v>760</v>
      </c>
      <c r="F20" s="1" t="s">
        <v>761</v>
      </c>
      <c r="G20" s="1" t="s">
        <v>35</v>
      </c>
    </row>
    <row r="21" spans="1:7" x14ac:dyDescent="0.55000000000000004">
      <c r="A21" s="58"/>
      <c r="B21" s="58"/>
      <c r="C21" s="5" t="s">
        <v>36</v>
      </c>
      <c r="G21" s="1">
        <v>42</v>
      </c>
    </row>
    <row r="22" spans="1:7" x14ac:dyDescent="0.55000000000000004">
      <c r="A22" s="58"/>
      <c r="B22" s="58"/>
      <c r="C22" s="5" t="s">
        <v>37</v>
      </c>
      <c r="G22" s="1">
        <v>41</v>
      </c>
    </row>
    <row r="23" spans="1:7" x14ac:dyDescent="0.55000000000000004">
      <c r="A23" s="58"/>
      <c r="B23" s="58"/>
      <c r="C23" s="5" t="s">
        <v>38</v>
      </c>
      <c r="D23" s="2">
        <v>12</v>
      </c>
      <c r="E23" s="1">
        <v>14</v>
      </c>
      <c r="F23" s="1">
        <v>13</v>
      </c>
      <c r="G23" s="1">
        <f>SUM(D23:F23)</f>
        <v>39</v>
      </c>
    </row>
    <row r="24" spans="1:7" x14ac:dyDescent="0.55000000000000004">
      <c r="A24" s="58"/>
      <c r="B24" s="58"/>
      <c r="C24" s="5" t="s">
        <v>39</v>
      </c>
      <c r="D24" s="2">
        <v>2</v>
      </c>
      <c r="E24" s="1">
        <v>0</v>
      </c>
      <c r="F24" s="1">
        <v>0</v>
      </c>
      <c r="G24" s="1">
        <v>2</v>
      </c>
    </row>
    <row r="25" spans="1:7" x14ac:dyDescent="0.55000000000000004">
      <c r="A25" s="58"/>
      <c r="B25" s="58"/>
      <c r="C25" s="5" t="s">
        <v>40</v>
      </c>
      <c r="D25" s="7">
        <f>3/12</f>
        <v>0.25</v>
      </c>
      <c r="E25" s="10">
        <f>6/14</f>
        <v>0.42857142857142855</v>
      </c>
      <c r="F25" s="10">
        <f>6/13</f>
        <v>0.46153846153846156</v>
      </c>
      <c r="G25" s="10">
        <f>(D25*D23+E25*E23+F25*F23)/G23</f>
        <v>0.38461538461538464</v>
      </c>
    </row>
    <row r="26" spans="1:7" x14ac:dyDescent="0.55000000000000004">
      <c r="A26" s="58"/>
      <c r="B26" s="58"/>
      <c r="C26" s="5" t="s">
        <v>41</v>
      </c>
      <c r="D26" s="7">
        <v>62.17</v>
      </c>
      <c r="E26" s="10">
        <v>65.790000000000006</v>
      </c>
      <c r="F26" s="10">
        <v>62.85</v>
      </c>
      <c r="G26" s="10">
        <f>(D26*D23+E26*E23+F26*F23)/G23</f>
        <v>63.696153846153848</v>
      </c>
    </row>
    <row r="27" spans="1:7" x14ac:dyDescent="0.55000000000000004">
      <c r="A27" s="58"/>
      <c r="B27" s="58"/>
      <c r="C27" s="5" t="s">
        <v>42</v>
      </c>
      <c r="D27" s="7">
        <v>7.68</v>
      </c>
      <c r="E27" s="10">
        <v>6.07</v>
      </c>
      <c r="F27" s="10">
        <v>5</v>
      </c>
      <c r="G27" s="10">
        <f>SQRT((D23*(D27^2+(D26-G$26)^2)+E23*(E27^2+(E26-G$26)^2)+F23*(F27^2+(F26-G$26)^2))/(D23+E23+F23))</f>
        <v>6.4990206818016221</v>
      </c>
    </row>
    <row r="28" spans="1:7" x14ac:dyDescent="0.55000000000000004">
      <c r="A28" s="58"/>
      <c r="B28" s="58"/>
      <c r="C28" s="5" t="s">
        <v>43</v>
      </c>
      <c r="D28" s="7"/>
      <c r="E28" s="10"/>
      <c r="F28" s="10"/>
      <c r="G28" s="10"/>
    </row>
    <row r="29" spans="1:7" x14ac:dyDescent="0.55000000000000004">
      <c r="A29" s="58"/>
      <c r="B29" s="58"/>
      <c r="C29" s="5" t="s">
        <v>44</v>
      </c>
      <c r="D29" s="7"/>
      <c r="E29" s="10"/>
      <c r="F29" s="10"/>
      <c r="G29" s="10"/>
    </row>
    <row r="30" spans="1:7" x14ac:dyDescent="0.55000000000000004">
      <c r="A30" s="58"/>
      <c r="B30" s="58"/>
      <c r="C30" s="5" t="s">
        <v>45</v>
      </c>
      <c r="D30" s="7">
        <v>24.17</v>
      </c>
      <c r="E30" s="10">
        <v>26</v>
      </c>
      <c r="F30" s="10">
        <v>20.309999999999999</v>
      </c>
      <c r="G30" s="10">
        <f>(D30*D23+E30*E23+F30*F23)/G23</f>
        <v>23.540256410256408</v>
      </c>
    </row>
    <row r="31" spans="1:7" x14ac:dyDescent="0.55000000000000004">
      <c r="A31" s="58"/>
      <c r="B31" s="58"/>
      <c r="C31" s="5" t="s">
        <v>46</v>
      </c>
      <c r="D31" s="7">
        <v>13.44</v>
      </c>
      <c r="E31" s="10">
        <v>15.07</v>
      </c>
      <c r="F31" s="10">
        <v>8.64</v>
      </c>
      <c r="G31" s="10">
        <f>SQRT((D23*(D31^2+(D30-G$23)^2)+E23*(E31^2+(E30-G$30)^2)+F23*(F31^2+(F30-G$30)^2))/(D23+E23+F23))</f>
        <v>15.339756770687293</v>
      </c>
    </row>
    <row r="32" spans="1:7" x14ac:dyDescent="0.55000000000000004">
      <c r="A32" s="59" t="s">
        <v>47</v>
      </c>
      <c r="B32" s="59"/>
      <c r="C32" s="5"/>
    </row>
    <row r="33" spans="1:10" ht="90.6" x14ac:dyDescent="0.55000000000000004">
      <c r="A33" s="58"/>
      <c r="B33" s="58"/>
      <c r="C33" s="5" t="s">
        <v>48</v>
      </c>
      <c r="D33" s="2" t="s">
        <v>762</v>
      </c>
    </row>
    <row r="34" spans="1:10" x14ac:dyDescent="0.55000000000000004">
      <c r="A34" s="59" t="s">
        <v>50</v>
      </c>
      <c r="B34" s="59"/>
      <c r="C34" s="5"/>
    </row>
    <row r="35" spans="1:10" x14ac:dyDescent="0.55000000000000004">
      <c r="A35" s="8"/>
      <c r="B35" s="8"/>
      <c r="C35" s="5"/>
    </row>
    <row r="36" spans="1:10" x14ac:dyDescent="0.55000000000000004">
      <c r="A36" s="59"/>
      <c r="B36" s="5" t="s">
        <v>59</v>
      </c>
      <c r="C36" s="5"/>
      <c r="D36" s="2" t="s">
        <v>51</v>
      </c>
      <c r="E36" s="1" t="s">
        <v>52</v>
      </c>
      <c r="F36" s="1" t="s">
        <v>53</v>
      </c>
      <c r="G36" s="1" t="s">
        <v>54</v>
      </c>
      <c r="H36" s="1" t="s">
        <v>55</v>
      </c>
      <c r="I36" s="1" t="s">
        <v>56</v>
      </c>
      <c r="J36" s="1" t="s">
        <v>57</v>
      </c>
    </row>
    <row r="37" spans="1:10" x14ac:dyDescent="0.55000000000000004">
      <c r="A37" s="59"/>
      <c r="B37" s="5"/>
      <c r="C37" s="5" t="s">
        <v>763</v>
      </c>
      <c r="D37" s="2">
        <v>1.1200000000000001</v>
      </c>
      <c r="E37" s="1">
        <v>0.62</v>
      </c>
    </row>
    <row r="38" spans="1:10" x14ac:dyDescent="0.55000000000000004">
      <c r="A38" s="59"/>
      <c r="B38" s="5"/>
      <c r="C38" s="5" t="s">
        <v>764</v>
      </c>
      <c r="D38" s="2">
        <v>1.31</v>
      </c>
      <c r="E38" s="1">
        <v>0.69</v>
      </c>
    </row>
    <row r="39" spans="1:10" x14ac:dyDescent="0.55000000000000004">
      <c r="A39" s="59"/>
      <c r="B39" s="5"/>
      <c r="C39" s="5" t="s">
        <v>765</v>
      </c>
      <c r="D39" s="2">
        <v>1.17</v>
      </c>
      <c r="E39" s="1">
        <v>0.52</v>
      </c>
    </row>
    <row r="40" spans="1:10" x14ac:dyDescent="0.55000000000000004">
      <c r="A40" s="59"/>
      <c r="B40" s="5"/>
      <c r="C40" s="5" t="s">
        <v>766</v>
      </c>
      <c r="D40" s="2">
        <v>0.85</v>
      </c>
      <c r="E40" s="1">
        <v>0.43</v>
      </c>
    </row>
    <row r="41" spans="1:10" x14ac:dyDescent="0.55000000000000004">
      <c r="A41" s="59"/>
      <c r="B41" s="5"/>
      <c r="C41" s="5" t="s">
        <v>767</v>
      </c>
      <c r="D41" s="2">
        <v>0.92</v>
      </c>
      <c r="E41" s="1">
        <v>0.49</v>
      </c>
    </row>
    <row r="42" spans="1:10" x14ac:dyDescent="0.55000000000000004">
      <c r="A42" s="59"/>
      <c r="B42" s="5"/>
      <c r="C42" s="5" t="s">
        <v>768</v>
      </c>
      <c r="D42" s="7">
        <v>0.9</v>
      </c>
      <c r="E42" s="1">
        <v>0.47</v>
      </c>
    </row>
    <row r="43" spans="1:10" x14ac:dyDescent="0.55000000000000004">
      <c r="A43" s="59"/>
      <c r="B43" s="5"/>
      <c r="C43" s="5"/>
    </row>
    <row r="44" spans="1:10" x14ac:dyDescent="0.55000000000000004">
      <c r="A44" s="59"/>
      <c r="B44" s="5"/>
      <c r="C44" s="5"/>
    </row>
    <row r="45" spans="1:10" x14ac:dyDescent="0.55000000000000004">
      <c r="A45" s="59"/>
      <c r="B45" s="5" t="s">
        <v>61</v>
      </c>
      <c r="C45" s="5"/>
    </row>
    <row r="46" spans="1:10" x14ac:dyDescent="0.55000000000000004">
      <c r="A46" s="59"/>
      <c r="B46" s="5"/>
      <c r="C46" s="5"/>
      <c r="D46" s="7"/>
      <c r="E46" s="10"/>
    </row>
    <row r="47" spans="1:10" x14ac:dyDescent="0.55000000000000004">
      <c r="A47" s="59"/>
      <c r="B47" s="5"/>
      <c r="C47" s="5"/>
      <c r="D47" s="7"/>
      <c r="E47" s="10"/>
    </row>
    <row r="48" spans="1:10" x14ac:dyDescent="0.55000000000000004">
      <c r="A48" s="59"/>
      <c r="B48" s="5"/>
      <c r="C48" s="5"/>
      <c r="D48" s="7"/>
      <c r="E48" s="10"/>
    </row>
    <row r="49" spans="1:5" x14ac:dyDescent="0.55000000000000004">
      <c r="A49" s="59"/>
      <c r="B49" s="5"/>
      <c r="C49" s="5"/>
      <c r="D49" s="7"/>
      <c r="E49" s="10"/>
    </row>
    <row r="50" spans="1:5" x14ac:dyDescent="0.55000000000000004">
      <c r="A50" s="59"/>
      <c r="B50" s="5"/>
      <c r="C50" s="5"/>
      <c r="D50" s="7"/>
      <c r="E50" s="10"/>
    </row>
    <row r="51" spans="1:5" x14ac:dyDescent="0.55000000000000004">
      <c r="A51" s="59"/>
      <c r="B51" s="5"/>
      <c r="C51" s="5"/>
      <c r="D51" s="7"/>
      <c r="E51" s="10"/>
    </row>
    <row r="52" spans="1:5" x14ac:dyDescent="0.55000000000000004">
      <c r="A52" s="59"/>
      <c r="B52" s="5"/>
      <c r="C52" s="5"/>
      <c r="D52" s="7"/>
      <c r="E52" s="10"/>
    </row>
    <row r="53" spans="1:5" x14ac:dyDescent="0.55000000000000004">
      <c r="A53" s="59"/>
      <c r="B53" s="5"/>
      <c r="C53" s="5"/>
      <c r="D53" s="7"/>
      <c r="E53" s="10"/>
    </row>
    <row r="54" spans="1:5" x14ac:dyDescent="0.55000000000000004">
      <c r="A54" s="59"/>
      <c r="B54" s="5"/>
      <c r="C54" s="5"/>
      <c r="D54" s="7"/>
      <c r="E54" s="10"/>
    </row>
    <row r="55" spans="1:5" x14ac:dyDescent="0.55000000000000004">
      <c r="A55" s="59"/>
      <c r="B55" s="5"/>
      <c r="C55" s="5"/>
      <c r="D55" s="7"/>
      <c r="E55" s="10"/>
    </row>
    <row r="56" spans="1:5" x14ac:dyDescent="0.55000000000000004">
      <c r="A56" s="59"/>
      <c r="B56" s="5"/>
      <c r="C56" s="5"/>
      <c r="D56" s="7"/>
      <c r="E56" s="10"/>
    </row>
    <row r="57" spans="1:5" x14ac:dyDescent="0.55000000000000004">
      <c r="A57" s="59"/>
      <c r="B57" s="5"/>
      <c r="C57" s="5"/>
      <c r="D57" s="7"/>
      <c r="E57" s="10"/>
    </row>
    <row r="58" spans="1:5" x14ac:dyDescent="0.55000000000000004">
      <c r="A58" s="59"/>
      <c r="B58" s="5"/>
      <c r="C58" s="5"/>
      <c r="D58" s="7"/>
      <c r="E58" s="10"/>
    </row>
    <row r="59" spans="1:5" x14ac:dyDescent="0.55000000000000004">
      <c r="A59" s="59"/>
      <c r="B59" s="5"/>
      <c r="C59" s="5"/>
      <c r="D59" s="7"/>
      <c r="E59" s="10"/>
    </row>
    <row r="60" spans="1:5" x14ac:dyDescent="0.55000000000000004">
      <c r="A60" s="59"/>
      <c r="B60" s="5"/>
      <c r="C60" s="5"/>
      <c r="D60" s="7"/>
      <c r="E60" s="10"/>
    </row>
    <row r="61" spans="1:5" x14ac:dyDescent="0.55000000000000004">
      <c r="A61" s="59"/>
      <c r="B61" s="5"/>
      <c r="C61" s="5"/>
      <c r="D61" s="7"/>
      <c r="E61" s="10"/>
    </row>
    <row r="62" spans="1:5" x14ac:dyDescent="0.55000000000000004">
      <c r="A62" s="59"/>
      <c r="B62" s="5"/>
      <c r="C62" s="5"/>
      <c r="D62" s="7"/>
      <c r="E62" s="10"/>
    </row>
    <row r="63" spans="1:5" x14ac:dyDescent="0.55000000000000004">
      <c r="A63" s="59"/>
      <c r="B63" s="5"/>
      <c r="C63" s="5"/>
    </row>
    <row r="64" spans="1:5" x14ac:dyDescent="0.55000000000000004">
      <c r="A64" s="59"/>
      <c r="B64" s="5"/>
      <c r="C64" s="5"/>
    </row>
    <row r="65" spans="1:4" x14ac:dyDescent="0.55000000000000004">
      <c r="A65" s="59"/>
      <c r="B65" s="5" t="s">
        <v>62</v>
      </c>
      <c r="C65" s="5"/>
      <c r="D65" s="2">
        <f>12*7</f>
        <v>84</v>
      </c>
    </row>
    <row r="66" spans="1:4" x14ac:dyDescent="0.55000000000000004">
      <c r="A66" s="59"/>
      <c r="B66" s="5" t="s">
        <v>63</v>
      </c>
      <c r="C66" s="5"/>
      <c r="D66" s="2" t="s">
        <v>769</v>
      </c>
    </row>
    <row r="67" spans="1:4" x14ac:dyDescent="0.55000000000000004">
      <c r="A67" s="59" t="s">
        <v>65</v>
      </c>
      <c r="B67" s="59"/>
      <c r="C67" s="5"/>
    </row>
    <row r="68" spans="1:4" x14ac:dyDescent="0.55000000000000004">
      <c r="A68" s="3" t="s">
        <v>67</v>
      </c>
    </row>
    <row r="69" spans="1:4" x14ac:dyDescent="0.55000000000000004">
      <c r="A69" s="1" t="s">
        <v>68</v>
      </c>
      <c r="C69" s="1">
        <v>25</v>
      </c>
      <c r="D69" s="2">
        <v>26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AMJ69"/>
  <sheetViews>
    <sheetView topLeftCell="A14" zoomScale="90" zoomScaleNormal="90" workbookViewId="0">
      <selection activeCell="D36" sqref="D36"/>
    </sheetView>
  </sheetViews>
  <sheetFormatPr baseColWidth="10" defaultColWidth="11.41796875" defaultRowHeight="14.4" x14ac:dyDescent="0.55000000000000004"/>
  <cols>
    <col min="1" max="1" width="10.83984375" style="1" customWidth="1"/>
    <col min="2" max="2" width="18.83984375" style="1" customWidth="1"/>
    <col min="3" max="3" width="42.15625" style="1" customWidth="1"/>
    <col min="4" max="4" width="56" style="2" customWidth="1"/>
    <col min="5" max="5" width="6.83984375" style="1" customWidth="1"/>
    <col min="6" max="6" width="5.15625" style="1" customWidth="1"/>
    <col min="7" max="7" width="6.15625" style="1" customWidth="1"/>
    <col min="8" max="1024" width="11.41796875" style="1"/>
  </cols>
  <sheetData>
    <row r="1" spans="1:4" x14ac:dyDescent="0.55000000000000004">
      <c r="A1" s="3" t="s">
        <v>0</v>
      </c>
      <c r="D1" s="2" t="s">
        <v>426</v>
      </c>
    </row>
    <row r="2" spans="1:4" x14ac:dyDescent="0.55000000000000004">
      <c r="A2" s="58" t="s">
        <v>2</v>
      </c>
      <c r="B2" s="58"/>
      <c r="D2" s="2" t="s">
        <v>770</v>
      </c>
    </row>
    <row r="3" spans="1:4" x14ac:dyDescent="0.55000000000000004">
      <c r="A3" s="58"/>
      <c r="B3" s="58"/>
      <c r="C3" s="5" t="s">
        <v>4</v>
      </c>
      <c r="D3" s="2" t="s">
        <v>771</v>
      </c>
    </row>
    <row r="4" spans="1:4" x14ac:dyDescent="0.55000000000000004">
      <c r="A4" s="58"/>
      <c r="B4" s="58"/>
      <c r="C4" s="5" t="s">
        <v>6</v>
      </c>
      <c r="D4" s="2">
        <v>1997</v>
      </c>
    </row>
    <row r="5" spans="1:4" ht="26.1" x14ac:dyDescent="0.55000000000000004">
      <c r="A5" s="58"/>
      <c r="B5" s="58"/>
      <c r="C5" s="5" t="s">
        <v>7</v>
      </c>
      <c r="D5" s="2" t="s">
        <v>772</v>
      </c>
    </row>
    <row r="6" spans="1:4" x14ac:dyDescent="0.55000000000000004">
      <c r="A6" s="58"/>
      <c r="B6" s="58"/>
      <c r="C6" s="5" t="s">
        <v>9</v>
      </c>
      <c r="D6" s="2" t="s">
        <v>773</v>
      </c>
    </row>
    <row r="7" spans="1:4" x14ac:dyDescent="0.55000000000000004">
      <c r="A7" s="58"/>
      <c r="B7" s="58"/>
      <c r="C7" s="5" t="s">
        <v>11</v>
      </c>
      <c r="D7" s="2" t="s">
        <v>12</v>
      </c>
    </row>
    <row r="8" spans="1:4" x14ac:dyDescent="0.55000000000000004">
      <c r="A8" s="59" t="s">
        <v>13</v>
      </c>
      <c r="B8" s="59"/>
      <c r="C8" s="5"/>
    </row>
    <row r="9" spans="1:4" ht="26.1" x14ac:dyDescent="0.55000000000000004">
      <c r="A9" s="58"/>
      <c r="B9" s="58"/>
      <c r="C9" s="5" t="s">
        <v>14</v>
      </c>
      <c r="D9" s="2" t="s">
        <v>774</v>
      </c>
    </row>
    <row r="10" spans="1:4" x14ac:dyDescent="0.55000000000000004">
      <c r="A10" s="58"/>
      <c r="B10" s="58"/>
      <c r="C10" s="5" t="s">
        <v>16</v>
      </c>
      <c r="D10" s="2" t="s">
        <v>454</v>
      </c>
    </row>
    <row r="11" spans="1:4" x14ac:dyDescent="0.55000000000000004">
      <c r="A11" s="58"/>
      <c r="B11" s="58"/>
      <c r="C11" s="5" t="s">
        <v>19</v>
      </c>
      <c r="D11" s="2" t="s">
        <v>20</v>
      </c>
    </row>
    <row r="12" spans="1:4" x14ac:dyDescent="0.55000000000000004">
      <c r="A12" s="58"/>
      <c r="B12" s="58"/>
      <c r="C12" s="5" t="s">
        <v>21</v>
      </c>
      <c r="D12" s="2" t="s">
        <v>20</v>
      </c>
    </row>
    <row r="13" spans="1:4" x14ac:dyDescent="0.55000000000000004">
      <c r="A13" s="58"/>
      <c r="B13" s="58"/>
      <c r="C13" s="5" t="s">
        <v>22</v>
      </c>
      <c r="D13" s="2" t="s">
        <v>20</v>
      </c>
    </row>
    <row r="14" spans="1:4" x14ac:dyDescent="0.55000000000000004">
      <c r="A14" s="59" t="s">
        <v>24</v>
      </c>
      <c r="B14" s="59"/>
      <c r="C14" s="5"/>
    </row>
    <row r="15" spans="1:4" x14ac:dyDescent="0.55000000000000004">
      <c r="A15" s="58"/>
      <c r="B15" s="58"/>
      <c r="C15" s="5" t="s">
        <v>25</v>
      </c>
      <c r="D15" s="2" t="s">
        <v>775</v>
      </c>
    </row>
    <row r="16" spans="1:4" x14ac:dyDescent="0.55000000000000004">
      <c r="A16" s="58"/>
      <c r="B16" s="58"/>
      <c r="C16" s="5" t="s">
        <v>27</v>
      </c>
      <c r="D16" s="2" t="s">
        <v>88</v>
      </c>
    </row>
    <row r="17" spans="1:7" x14ac:dyDescent="0.55000000000000004">
      <c r="A17" s="59" t="s">
        <v>29</v>
      </c>
      <c r="B17" s="59"/>
      <c r="C17" s="5"/>
    </row>
    <row r="18" spans="1:7" ht="39" x14ac:dyDescent="0.55000000000000004">
      <c r="A18" s="58"/>
      <c r="B18" s="58"/>
      <c r="C18" s="5" t="s">
        <v>30</v>
      </c>
      <c r="D18" s="2" t="s">
        <v>776</v>
      </c>
    </row>
    <row r="19" spans="1:7" ht="64.8" x14ac:dyDescent="0.55000000000000004">
      <c r="A19" s="58"/>
      <c r="B19" s="58"/>
      <c r="C19" s="5" t="s">
        <v>32</v>
      </c>
      <c r="D19" s="2" t="s">
        <v>777</v>
      </c>
    </row>
    <row r="20" spans="1:7" x14ac:dyDescent="0.55000000000000004">
      <c r="A20" s="59" t="s">
        <v>34</v>
      </c>
      <c r="B20" s="59"/>
      <c r="C20" s="5"/>
      <c r="D20" s="2" t="s">
        <v>778</v>
      </c>
      <c r="E20" s="1" t="s">
        <v>109</v>
      </c>
      <c r="F20" s="1" t="s">
        <v>35</v>
      </c>
    </row>
    <row r="21" spans="1:7" x14ac:dyDescent="0.55000000000000004">
      <c r="A21" s="58"/>
      <c r="B21" s="58"/>
      <c r="C21" s="5" t="s">
        <v>36</v>
      </c>
      <c r="D21" s="29">
        <v>181</v>
      </c>
      <c r="E21" s="1">
        <v>179</v>
      </c>
      <c r="F21" s="1">
        <f>SUM(D21:E21)</f>
        <v>360</v>
      </c>
    </row>
    <row r="22" spans="1:7" x14ac:dyDescent="0.55000000000000004">
      <c r="A22" s="58"/>
      <c r="B22" s="58"/>
      <c r="C22" s="5" t="s">
        <v>37</v>
      </c>
      <c r="D22" s="2">
        <v>181</v>
      </c>
      <c r="E22" s="1">
        <v>179</v>
      </c>
      <c r="F22" s="1">
        <f>SUM(D22:E22)</f>
        <v>360</v>
      </c>
    </row>
    <row r="23" spans="1:7" x14ac:dyDescent="0.55000000000000004">
      <c r="A23" s="58"/>
      <c r="B23" s="58"/>
      <c r="C23" s="5" t="s">
        <v>38</v>
      </c>
      <c r="D23" s="2">
        <f>151</f>
        <v>151</v>
      </c>
      <c r="E23" s="1">
        <f>140</f>
        <v>140</v>
      </c>
      <c r="F23" s="1">
        <f>SUM(D23:E23)</f>
        <v>291</v>
      </c>
    </row>
    <row r="24" spans="1:7" x14ac:dyDescent="0.55000000000000004">
      <c r="A24" s="58"/>
      <c r="B24" s="58"/>
      <c r="C24" s="5" t="s">
        <v>39</v>
      </c>
      <c r="D24" s="2">
        <v>30</v>
      </c>
      <c r="E24" s="1">
        <v>39</v>
      </c>
      <c r="F24" s="1">
        <f>SUM(D24:E24)</f>
        <v>69</v>
      </c>
    </row>
    <row r="25" spans="1:7" x14ac:dyDescent="0.55000000000000004">
      <c r="A25" s="58"/>
      <c r="B25" s="58"/>
      <c r="C25" s="5" t="s">
        <v>40</v>
      </c>
      <c r="D25" s="7">
        <f>62/D21</f>
        <v>0.34254143646408841</v>
      </c>
      <c r="E25" s="10">
        <f>63/E21</f>
        <v>0.35195530726256985</v>
      </c>
      <c r="F25" s="10">
        <f>(62+63)/F21</f>
        <v>0.34722222222222221</v>
      </c>
    </row>
    <row r="26" spans="1:7" x14ac:dyDescent="0.55000000000000004">
      <c r="A26" s="58"/>
      <c r="B26" s="58"/>
      <c r="C26" s="5" t="s">
        <v>41</v>
      </c>
      <c r="D26" s="7">
        <v>63</v>
      </c>
      <c r="E26" s="10">
        <v>62</v>
      </c>
      <c r="F26" s="10">
        <f>(D26*D21+E26*E21)/F21</f>
        <v>62.50277777777778</v>
      </c>
    </row>
    <row r="27" spans="1:7" x14ac:dyDescent="0.55000000000000004">
      <c r="A27" s="58"/>
      <c r="B27" s="58"/>
      <c r="C27" s="5" t="s">
        <v>42</v>
      </c>
    </row>
    <row r="28" spans="1:7" x14ac:dyDescent="0.55000000000000004">
      <c r="A28" s="58"/>
      <c r="B28" s="58"/>
      <c r="C28" s="5" t="s">
        <v>43</v>
      </c>
    </row>
    <row r="29" spans="1:7" x14ac:dyDescent="0.55000000000000004">
      <c r="A29" s="58"/>
      <c r="B29" s="58"/>
      <c r="C29" s="5" t="s">
        <v>44</v>
      </c>
      <c r="D29" s="7">
        <v>2.2999999999999998</v>
      </c>
      <c r="E29" s="10">
        <v>2.2999999999999998</v>
      </c>
      <c r="F29" s="10">
        <v>2.2999999999999998</v>
      </c>
      <c r="G29" s="1" t="s">
        <v>51</v>
      </c>
    </row>
    <row r="30" spans="1:7" x14ac:dyDescent="0.55000000000000004">
      <c r="A30" s="58"/>
      <c r="B30" s="58"/>
      <c r="C30" s="5" t="s">
        <v>45</v>
      </c>
      <c r="D30" s="7">
        <v>22.8</v>
      </c>
      <c r="E30" s="10">
        <v>23.3</v>
      </c>
      <c r="F30" s="10">
        <v>23</v>
      </c>
    </row>
    <row r="31" spans="1:7" x14ac:dyDescent="0.55000000000000004">
      <c r="A31" s="58"/>
      <c r="B31" s="58"/>
      <c r="C31" s="5" t="s">
        <v>46</v>
      </c>
      <c r="D31" s="7"/>
      <c r="E31" s="10"/>
      <c r="F31" s="10"/>
    </row>
    <row r="32" spans="1:7" x14ac:dyDescent="0.55000000000000004">
      <c r="A32" s="59" t="s">
        <v>47</v>
      </c>
      <c r="B32" s="59"/>
      <c r="C32" s="5"/>
    </row>
    <row r="33" spans="1:10" ht="77.7" x14ac:dyDescent="0.55000000000000004">
      <c r="A33" s="58"/>
      <c r="B33" s="58"/>
      <c r="C33" s="5" t="s">
        <v>48</v>
      </c>
      <c r="D33" s="2" t="s">
        <v>779</v>
      </c>
    </row>
    <row r="34" spans="1:10" x14ac:dyDescent="0.55000000000000004">
      <c r="A34" s="59" t="s">
        <v>50</v>
      </c>
      <c r="B34" s="59"/>
      <c r="C34" s="5"/>
    </row>
    <row r="35" spans="1:10" x14ac:dyDescent="0.55000000000000004">
      <c r="A35" s="8"/>
      <c r="B35" s="8"/>
      <c r="C35" s="5"/>
    </row>
    <row r="36" spans="1:10" x14ac:dyDescent="0.55000000000000004">
      <c r="A36" s="59"/>
      <c r="B36" s="5" t="s">
        <v>59</v>
      </c>
      <c r="C36" s="5"/>
      <c r="D36" s="2" t="s">
        <v>51</v>
      </c>
      <c r="E36" s="1" t="s">
        <v>52</v>
      </c>
      <c r="F36" s="1" t="s">
        <v>53</v>
      </c>
      <c r="G36" s="1" t="s">
        <v>54</v>
      </c>
      <c r="H36" s="1" t="s">
        <v>55</v>
      </c>
      <c r="I36" s="1" t="s">
        <v>56</v>
      </c>
      <c r="J36" s="1" t="s">
        <v>57</v>
      </c>
    </row>
    <row r="37" spans="1:10" x14ac:dyDescent="0.55000000000000004">
      <c r="A37" s="59"/>
      <c r="B37" s="5"/>
      <c r="C37" s="5" t="s">
        <v>780</v>
      </c>
      <c r="D37" s="7">
        <v>0.46</v>
      </c>
    </row>
    <row r="38" spans="1:10" x14ac:dyDescent="0.55000000000000004">
      <c r="A38" s="59"/>
      <c r="B38" s="5"/>
      <c r="C38" s="5" t="s">
        <v>781</v>
      </c>
      <c r="D38" s="7">
        <v>0.65</v>
      </c>
    </row>
    <row r="39" spans="1:10" x14ac:dyDescent="0.55000000000000004">
      <c r="A39" s="59"/>
      <c r="B39" s="5"/>
      <c r="C39" s="5"/>
    </row>
    <row r="40" spans="1:10" x14ac:dyDescent="0.55000000000000004">
      <c r="A40" s="59"/>
      <c r="B40" s="5"/>
      <c r="C40" s="5"/>
    </row>
    <row r="41" spans="1:10" x14ac:dyDescent="0.55000000000000004">
      <c r="A41" s="59"/>
      <c r="B41" s="5"/>
      <c r="C41" s="5"/>
    </row>
    <row r="42" spans="1:10" x14ac:dyDescent="0.55000000000000004">
      <c r="A42" s="59"/>
      <c r="B42" s="5"/>
      <c r="C42" s="5"/>
    </row>
    <row r="43" spans="1:10" x14ac:dyDescent="0.55000000000000004">
      <c r="A43" s="59"/>
      <c r="B43" s="5"/>
      <c r="C43" s="5"/>
    </row>
    <row r="44" spans="1:10" x14ac:dyDescent="0.55000000000000004">
      <c r="A44" s="59"/>
      <c r="B44" s="5"/>
      <c r="C44" s="5"/>
    </row>
    <row r="45" spans="1:10" x14ac:dyDescent="0.55000000000000004">
      <c r="A45" s="59"/>
      <c r="B45" s="5" t="s">
        <v>61</v>
      </c>
      <c r="C45" s="5"/>
    </row>
    <row r="46" spans="1:10" x14ac:dyDescent="0.55000000000000004">
      <c r="A46" s="59"/>
      <c r="B46" s="5"/>
      <c r="C46" s="5" t="s">
        <v>206</v>
      </c>
      <c r="D46" s="2">
        <v>1</v>
      </c>
    </row>
    <row r="47" spans="1:10" x14ac:dyDescent="0.55000000000000004">
      <c r="A47" s="59"/>
      <c r="B47" s="5"/>
      <c r="C47" s="5"/>
    </row>
    <row r="48" spans="1:10" x14ac:dyDescent="0.55000000000000004">
      <c r="A48" s="59"/>
      <c r="B48" s="5"/>
      <c r="C48" s="5"/>
    </row>
    <row r="49" spans="1:3" x14ac:dyDescent="0.55000000000000004">
      <c r="A49" s="59"/>
      <c r="B49" s="5"/>
      <c r="C49" s="5"/>
    </row>
    <row r="50" spans="1:3" x14ac:dyDescent="0.55000000000000004">
      <c r="A50" s="59"/>
      <c r="B50" s="5"/>
    </row>
    <row r="51" spans="1:3" x14ac:dyDescent="0.55000000000000004">
      <c r="A51" s="59"/>
      <c r="B51" s="5"/>
      <c r="C51" s="5"/>
    </row>
    <row r="52" spans="1:3" x14ac:dyDescent="0.55000000000000004">
      <c r="A52" s="59"/>
      <c r="B52" s="5"/>
      <c r="C52" s="5"/>
    </row>
    <row r="53" spans="1:3" x14ac:dyDescent="0.55000000000000004">
      <c r="A53" s="59"/>
      <c r="B53" s="5"/>
      <c r="C53" s="5"/>
    </row>
    <row r="54" spans="1:3" x14ac:dyDescent="0.55000000000000004">
      <c r="A54" s="59"/>
      <c r="B54" s="5"/>
      <c r="C54" s="5"/>
    </row>
    <row r="55" spans="1:3" x14ac:dyDescent="0.55000000000000004">
      <c r="A55" s="59"/>
      <c r="B55" s="5"/>
      <c r="C55" s="5"/>
    </row>
    <row r="56" spans="1:3" x14ac:dyDescent="0.55000000000000004">
      <c r="A56" s="59"/>
      <c r="B56" s="5"/>
      <c r="C56" s="5"/>
    </row>
    <row r="57" spans="1:3" x14ac:dyDescent="0.55000000000000004">
      <c r="A57" s="59"/>
      <c r="B57" s="5"/>
      <c r="C57" s="5"/>
    </row>
    <row r="58" spans="1:3" x14ac:dyDescent="0.55000000000000004">
      <c r="A58" s="59"/>
      <c r="B58" s="5"/>
      <c r="C58" s="5"/>
    </row>
    <row r="59" spans="1:3" x14ac:dyDescent="0.55000000000000004">
      <c r="A59" s="59"/>
      <c r="B59" s="5"/>
      <c r="C59" s="5"/>
    </row>
    <row r="60" spans="1:3" x14ac:dyDescent="0.55000000000000004">
      <c r="A60" s="59"/>
      <c r="B60" s="5"/>
      <c r="C60" s="5"/>
    </row>
    <row r="61" spans="1:3" x14ac:dyDescent="0.55000000000000004">
      <c r="A61" s="59"/>
      <c r="B61" s="5"/>
      <c r="C61" s="5"/>
    </row>
    <row r="62" spans="1:3" x14ac:dyDescent="0.55000000000000004">
      <c r="A62" s="59"/>
      <c r="B62" s="5"/>
      <c r="C62" s="5"/>
    </row>
    <row r="63" spans="1:3" x14ac:dyDescent="0.55000000000000004">
      <c r="A63" s="59"/>
      <c r="B63" s="5"/>
      <c r="C63" s="5"/>
    </row>
    <row r="64" spans="1:3" x14ac:dyDescent="0.55000000000000004">
      <c r="A64" s="59"/>
      <c r="B64" s="5"/>
      <c r="C64" s="5"/>
    </row>
    <row r="65" spans="1:5" x14ac:dyDescent="0.55000000000000004">
      <c r="A65" s="59"/>
      <c r="B65" s="5" t="s">
        <v>62</v>
      </c>
      <c r="C65" s="5"/>
      <c r="D65" s="2">
        <f>32*7</f>
        <v>224</v>
      </c>
    </row>
    <row r="66" spans="1:5" x14ac:dyDescent="0.55000000000000004">
      <c r="A66" s="59"/>
      <c r="B66" s="5" t="s">
        <v>63</v>
      </c>
      <c r="C66" s="5"/>
      <c r="D66" s="2" t="s">
        <v>20</v>
      </c>
      <c r="E66" s="1" t="s">
        <v>782</v>
      </c>
    </row>
    <row r="67" spans="1:5" x14ac:dyDescent="0.55000000000000004">
      <c r="A67" s="59" t="s">
        <v>65</v>
      </c>
      <c r="B67" s="59"/>
      <c r="C67" s="5"/>
    </row>
    <row r="68" spans="1:5" x14ac:dyDescent="0.55000000000000004">
      <c r="A68" s="3" t="s">
        <v>67</v>
      </c>
    </row>
    <row r="69" spans="1:5" x14ac:dyDescent="0.55000000000000004">
      <c r="A69" s="1" t="s">
        <v>68</v>
      </c>
      <c r="C69" s="1">
        <v>26</v>
      </c>
      <c r="D69" s="2">
        <v>26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78"/>
  <sheetViews>
    <sheetView zoomScale="90" zoomScaleNormal="90" workbookViewId="0">
      <selection activeCell="D2" sqref="D2"/>
    </sheetView>
  </sheetViews>
  <sheetFormatPr baseColWidth="10" defaultColWidth="11.41796875" defaultRowHeight="14.4" x14ac:dyDescent="0.55000000000000004"/>
  <cols>
    <col min="1" max="1" width="18.41796875" style="11" customWidth="1"/>
    <col min="2" max="2" width="18.83984375" style="11" customWidth="1"/>
    <col min="3" max="3" width="44.15625" style="11" customWidth="1"/>
    <col min="4" max="4" width="56.15625" style="12" customWidth="1"/>
    <col min="5" max="5" width="5.15625" style="11" customWidth="1"/>
    <col min="6" max="1024" width="11.41796875" style="11"/>
  </cols>
  <sheetData>
    <row r="1" spans="1:5" x14ac:dyDescent="0.55000000000000004">
      <c r="A1" s="11" t="s">
        <v>0</v>
      </c>
      <c r="D1" s="12" t="s">
        <v>115</v>
      </c>
    </row>
    <row r="2" spans="1:5" ht="26.1" x14ac:dyDescent="0.55000000000000004">
      <c r="A2" s="60" t="s">
        <v>2</v>
      </c>
      <c r="B2" s="60"/>
      <c r="D2" s="12" t="s">
        <v>116</v>
      </c>
    </row>
    <row r="3" spans="1:5" x14ac:dyDescent="0.55000000000000004">
      <c r="A3" s="61"/>
      <c r="B3" s="61"/>
      <c r="C3" s="14" t="s">
        <v>4</v>
      </c>
      <c r="D3" s="12" t="s">
        <v>117</v>
      </c>
    </row>
    <row r="4" spans="1:5" x14ac:dyDescent="0.55000000000000004">
      <c r="A4" s="61"/>
      <c r="B4" s="61"/>
      <c r="C4" s="14" t="s">
        <v>6</v>
      </c>
      <c r="D4" s="12">
        <v>2018</v>
      </c>
    </row>
    <row r="5" spans="1:5" ht="26.1" x14ac:dyDescent="0.55000000000000004">
      <c r="A5" s="61"/>
      <c r="B5" s="61"/>
      <c r="C5" s="14" t="s">
        <v>7</v>
      </c>
      <c r="D5" s="12" t="s">
        <v>118</v>
      </c>
    </row>
    <row r="6" spans="1:5" x14ac:dyDescent="0.55000000000000004">
      <c r="A6" s="61"/>
      <c r="B6" s="61"/>
      <c r="C6" s="14" t="s">
        <v>9</v>
      </c>
      <c r="D6" s="12" t="s">
        <v>119</v>
      </c>
    </row>
    <row r="7" spans="1:5" x14ac:dyDescent="0.55000000000000004">
      <c r="A7" s="61"/>
      <c r="B7" s="61"/>
      <c r="C7" s="14" t="s">
        <v>11</v>
      </c>
      <c r="D7" s="12" t="s">
        <v>12</v>
      </c>
    </row>
    <row r="8" spans="1:5" x14ac:dyDescent="0.55000000000000004">
      <c r="A8" s="13" t="s">
        <v>13</v>
      </c>
      <c r="B8" s="13"/>
      <c r="C8" s="14"/>
    </row>
    <row r="9" spans="1:5" x14ac:dyDescent="0.55000000000000004">
      <c r="A9" s="61"/>
      <c r="B9" s="61"/>
      <c r="C9" s="14" t="s">
        <v>14</v>
      </c>
      <c r="D9" s="12" t="s">
        <v>120</v>
      </c>
    </row>
    <row r="10" spans="1:5" x14ac:dyDescent="0.55000000000000004">
      <c r="A10" s="61"/>
      <c r="B10" s="61"/>
      <c r="C10" s="14" t="s">
        <v>16</v>
      </c>
      <c r="D10" s="12" t="s">
        <v>86</v>
      </c>
      <c r="E10" s="11" t="s">
        <v>18</v>
      </c>
    </row>
    <row r="11" spans="1:5" x14ac:dyDescent="0.55000000000000004">
      <c r="A11" s="61"/>
      <c r="B11" s="61"/>
      <c r="C11" s="14" t="s">
        <v>19</v>
      </c>
      <c r="D11" s="12" t="s">
        <v>20</v>
      </c>
    </row>
    <row r="12" spans="1:5" x14ac:dyDescent="0.55000000000000004">
      <c r="A12" s="61"/>
      <c r="B12" s="61"/>
      <c r="C12" s="14" t="s">
        <v>21</v>
      </c>
      <c r="D12" s="12" t="s">
        <v>20</v>
      </c>
    </row>
    <row r="13" spans="1:5" x14ac:dyDescent="0.55000000000000004">
      <c r="A13" s="61"/>
      <c r="B13" s="61"/>
      <c r="C13" s="14" t="s">
        <v>22</v>
      </c>
      <c r="D13" s="12" t="s">
        <v>121</v>
      </c>
    </row>
    <row r="14" spans="1:5" x14ac:dyDescent="0.55000000000000004">
      <c r="A14" s="60" t="s">
        <v>24</v>
      </c>
      <c r="B14" s="60"/>
      <c r="C14" s="14"/>
    </row>
    <row r="15" spans="1:5" x14ac:dyDescent="0.55000000000000004">
      <c r="A15" s="61"/>
      <c r="B15" s="61"/>
      <c r="C15" s="14" t="s">
        <v>25</v>
      </c>
      <c r="D15" s="12" t="s">
        <v>122</v>
      </c>
    </row>
    <row r="16" spans="1:5" x14ac:dyDescent="0.55000000000000004">
      <c r="A16" s="61"/>
      <c r="B16" s="61"/>
      <c r="C16" s="14" t="s">
        <v>27</v>
      </c>
      <c r="D16" s="12" t="s">
        <v>123</v>
      </c>
    </row>
    <row r="17" spans="1:4" x14ac:dyDescent="0.55000000000000004">
      <c r="A17" s="60" t="s">
        <v>29</v>
      </c>
      <c r="B17" s="60"/>
      <c r="C17" s="14"/>
    </row>
    <row r="18" spans="1:4" ht="51.9" x14ac:dyDescent="0.55000000000000004">
      <c r="A18" s="61"/>
      <c r="B18" s="61"/>
      <c r="C18" s="14" t="s">
        <v>30</v>
      </c>
      <c r="D18" s="15" t="s">
        <v>124</v>
      </c>
    </row>
    <row r="19" spans="1:4" ht="64.8" x14ac:dyDescent="0.55000000000000004">
      <c r="A19" s="61"/>
      <c r="B19" s="61"/>
      <c r="C19" s="14" t="s">
        <v>32</v>
      </c>
      <c r="D19" s="12" t="s">
        <v>125</v>
      </c>
    </row>
    <row r="20" spans="1:4" x14ac:dyDescent="0.55000000000000004">
      <c r="A20" s="60" t="s">
        <v>34</v>
      </c>
      <c r="B20" s="60"/>
      <c r="C20" s="14"/>
      <c r="D20" s="12" t="s">
        <v>35</v>
      </c>
    </row>
    <row r="21" spans="1:4" x14ac:dyDescent="0.55000000000000004">
      <c r="A21" s="61"/>
      <c r="B21" s="61"/>
      <c r="C21" s="14" t="s">
        <v>36</v>
      </c>
      <c r="D21" s="12">
        <v>15</v>
      </c>
    </row>
    <row r="22" spans="1:4" x14ac:dyDescent="0.55000000000000004">
      <c r="A22" s="61"/>
      <c r="B22" s="61"/>
      <c r="C22" s="14" t="s">
        <v>37</v>
      </c>
      <c r="D22" s="12">
        <v>15</v>
      </c>
    </row>
    <row r="23" spans="1:4" x14ac:dyDescent="0.55000000000000004">
      <c r="A23" s="61"/>
      <c r="B23" s="61"/>
      <c r="C23" s="14" t="s">
        <v>38</v>
      </c>
      <c r="D23" s="12">
        <v>15</v>
      </c>
    </row>
    <row r="24" spans="1:4" x14ac:dyDescent="0.55000000000000004">
      <c r="A24" s="61"/>
      <c r="B24" s="61"/>
      <c r="C24" s="14" t="s">
        <v>39</v>
      </c>
      <c r="D24" s="12">
        <v>0</v>
      </c>
    </row>
    <row r="25" spans="1:4" x14ac:dyDescent="0.55000000000000004">
      <c r="A25" s="61"/>
      <c r="B25" s="61"/>
      <c r="C25" s="14" t="s">
        <v>40</v>
      </c>
      <c r="D25" s="16">
        <f>4/15*100</f>
        <v>26.666666666666668</v>
      </c>
    </row>
    <row r="26" spans="1:4" x14ac:dyDescent="0.55000000000000004">
      <c r="A26" s="61"/>
      <c r="B26" s="61"/>
      <c r="C26" s="14" t="s">
        <v>41</v>
      </c>
      <c r="D26" s="16">
        <v>65.599999999999994</v>
      </c>
    </row>
    <row r="27" spans="1:4" x14ac:dyDescent="0.55000000000000004">
      <c r="A27" s="61"/>
      <c r="B27" s="61"/>
      <c r="C27" s="14" t="s">
        <v>42</v>
      </c>
      <c r="D27" s="16">
        <v>7.6</v>
      </c>
    </row>
    <row r="28" spans="1:4" x14ac:dyDescent="0.55000000000000004">
      <c r="A28" s="61"/>
      <c r="B28" s="61"/>
      <c r="C28" s="14" t="s">
        <v>43</v>
      </c>
    </row>
    <row r="29" spans="1:4" x14ac:dyDescent="0.55000000000000004">
      <c r="A29" s="61"/>
      <c r="B29" s="61"/>
      <c r="C29" s="14" t="s">
        <v>44</v>
      </c>
    </row>
    <row r="30" spans="1:4" x14ac:dyDescent="0.55000000000000004">
      <c r="A30" s="61"/>
      <c r="B30" s="61"/>
      <c r="C30" s="14" t="s">
        <v>45</v>
      </c>
      <c r="D30" s="16">
        <v>24.3</v>
      </c>
    </row>
    <row r="31" spans="1:4" x14ac:dyDescent="0.55000000000000004">
      <c r="A31" s="61"/>
      <c r="B31" s="61"/>
      <c r="C31" s="14" t="s">
        <v>46</v>
      </c>
      <c r="D31" s="16">
        <v>8.5</v>
      </c>
    </row>
    <row r="32" spans="1:4" x14ac:dyDescent="0.55000000000000004">
      <c r="A32" s="60" t="s">
        <v>47</v>
      </c>
      <c r="B32" s="60"/>
      <c r="C32" s="14"/>
    </row>
    <row r="33" spans="1:11" ht="26.1" x14ac:dyDescent="0.55000000000000004">
      <c r="A33" s="61"/>
      <c r="B33" s="61"/>
      <c r="C33" s="14" t="s">
        <v>48</v>
      </c>
      <c r="D33" s="12" t="s">
        <v>126</v>
      </c>
    </row>
    <row r="34" spans="1:11" x14ac:dyDescent="0.55000000000000004">
      <c r="A34" s="60" t="s">
        <v>50</v>
      </c>
      <c r="B34" s="60"/>
      <c r="C34" s="14"/>
    </row>
    <row r="35" spans="1:11" x14ac:dyDescent="0.55000000000000004">
      <c r="C35" s="14"/>
      <c r="D35" s="2" t="s">
        <v>51</v>
      </c>
      <c r="E35" s="1" t="s">
        <v>52</v>
      </c>
      <c r="F35" s="1" t="s">
        <v>53</v>
      </c>
      <c r="G35" s="1" t="s">
        <v>54</v>
      </c>
      <c r="H35" s="1" t="s">
        <v>55</v>
      </c>
      <c r="I35" s="1" t="s">
        <v>56</v>
      </c>
      <c r="J35" s="1" t="s">
        <v>57</v>
      </c>
      <c r="K35" s="11" t="s">
        <v>58</v>
      </c>
    </row>
    <row r="36" spans="1:11" x14ac:dyDescent="0.55000000000000004">
      <c r="B36" s="5" t="s">
        <v>59</v>
      </c>
      <c r="D36" s="2"/>
    </row>
    <row r="37" spans="1:11" x14ac:dyDescent="0.55000000000000004">
      <c r="B37" s="5"/>
      <c r="C37" s="5" t="s">
        <v>127</v>
      </c>
      <c r="D37" s="16">
        <v>4.9000000000000004</v>
      </c>
      <c r="E37" s="17">
        <v>1.8</v>
      </c>
    </row>
    <row r="38" spans="1:11" x14ac:dyDescent="0.55000000000000004">
      <c r="B38" s="5"/>
      <c r="C38" s="5" t="s">
        <v>128</v>
      </c>
      <c r="D38" s="16">
        <v>2.1</v>
      </c>
      <c r="E38" s="17">
        <v>1</v>
      </c>
    </row>
    <row r="39" spans="1:11" x14ac:dyDescent="0.55000000000000004">
      <c r="B39" s="5"/>
      <c r="C39" s="5" t="s">
        <v>129</v>
      </c>
      <c r="D39" s="16">
        <v>4.9000000000000004</v>
      </c>
      <c r="E39" s="17">
        <v>2</v>
      </c>
    </row>
    <row r="40" spans="1:11" x14ac:dyDescent="0.55000000000000004">
      <c r="B40" s="5"/>
      <c r="C40" s="5" t="s">
        <v>130</v>
      </c>
      <c r="D40" s="16">
        <v>3.3</v>
      </c>
      <c r="E40" s="17">
        <v>1.5</v>
      </c>
    </row>
    <row r="41" spans="1:11" x14ac:dyDescent="0.55000000000000004">
      <c r="B41" s="5"/>
    </row>
    <row r="42" spans="1:11" x14ac:dyDescent="0.55000000000000004">
      <c r="B42" s="5"/>
    </row>
    <row r="43" spans="1:11" x14ac:dyDescent="0.55000000000000004">
      <c r="B43" s="5"/>
    </row>
    <row r="44" spans="1:11" x14ac:dyDescent="0.55000000000000004">
      <c r="B44" s="5"/>
      <c r="D44" s="2"/>
    </row>
    <row r="45" spans="1:11" x14ac:dyDescent="0.55000000000000004">
      <c r="B45" s="5" t="s">
        <v>61</v>
      </c>
      <c r="C45" s="14"/>
    </row>
    <row r="64" spans="2:4" x14ac:dyDescent="0.55000000000000004">
      <c r="B64" s="5" t="s">
        <v>62</v>
      </c>
      <c r="C64" s="5"/>
      <c r="D64" s="12">
        <f>1/1440*45</f>
        <v>3.125E-2</v>
      </c>
    </row>
    <row r="65" spans="1:6" x14ac:dyDescent="0.55000000000000004">
      <c r="B65" s="5" t="s">
        <v>63</v>
      </c>
      <c r="C65" s="5"/>
      <c r="D65" s="12" t="s">
        <v>131</v>
      </c>
    </row>
    <row r="66" spans="1:6" x14ac:dyDescent="0.55000000000000004">
      <c r="A66" s="59" t="s">
        <v>65</v>
      </c>
      <c r="B66" s="59"/>
      <c r="C66" s="5"/>
      <c r="D66" s="2"/>
    </row>
    <row r="67" spans="1:6" x14ac:dyDescent="0.55000000000000004">
      <c r="A67" s="3" t="s">
        <v>67</v>
      </c>
    </row>
    <row r="69" spans="1:6" x14ac:dyDescent="0.55000000000000004">
      <c r="A69" s="11" t="s">
        <v>68</v>
      </c>
      <c r="C69" s="11">
        <v>15</v>
      </c>
      <c r="D69" s="12">
        <v>28</v>
      </c>
      <c r="E69" s="11">
        <v>22</v>
      </c>
      <c r="F69" s="11">
        <v>26</v>
      </c>
    </row>
    <row r="70" spans="1:6" x14ac:dyDescent="0.55000000000000004">
      <c r="B70" s="11" t="s">
        <v>94</v>
      </c>
    </row>
    <row r="71" spans="1:6" x14ac:dyDescent="0.55000000000000004">
      <c r="C71" s="5" t="s">
        <v>132</v>
      </c>
      <c r="D71" s="16">
        <v>175</v>
      </c>
      <c r="E71" s="11">
        <v>192</v>
      </c>
    </row>
    <row r="72" spans="1:6" x14ac:dyDescent="0.55000000000000004">
      <c r="C72" s="5" t="s">
        <v>133</v>
      </c>
      <c r="D72" s="2">
        <v>32</v>
      </c>
      <c r="E72" s="11">
        <v>55</v>
      </c>
    </row>
    <row r="73" spans="1:6" x14ac:dyDescent="0.55000000000000004">
      <c r="C73" s="5" t="s">
        <v>134</v>
      </c>
      <c r="D73" s="2">
        <v>151</v>
      </c>
      <c r="E73" s="11">
        <v>122</v>
      </c>
    </row>
    <row r="74" spans="1:6" x14ac:dyDescent="0.55000000000000004">
      <c r="C74" s="5" t="s">
        <v>135</v>
      </c>
      <c r="D74" s="16">
        <v>124</v>
      </c>
      <c r="E74" s="11">
        <v>161</v>
      </c>
    </row>
    <row r="78" spans="1:6" x14ac:dyDescent="0.55000000000000004">
      <c r="D78" s="2"/>
    </row>
  </sheetData>
  <mergeCells count="13">
    <mergeCell ref="A33:B33"/>
    <mergeCell ref="A34:B34"/>
    <mergeCell ref="A66:B66"/>
    <mergeCell ref="A17:B17"/>
    <mergeCell ref="A18:B19"/>
    <mergeCell ref="A20:B20"/>
    <mergeCell ref="A21:B31"/>
    <mergeCell ref="A32:B32"/>
    <mergeCell ref="A2:B2"/>
    <mergeCell ref="A3:B7"/>
    <mergeCell ref="A9:B13"/>
    <mergeCell ref="A14:B14"/>
    <mergeCell ref="A15:B16"/>
  </mergeCells>
  <pageMargins left="0.7" right="0.7" top="0.78749999999999998" bottom="0.78749999999999998" header="0.511811023622047" footer="0.511811023622047"/>
  <pageSetup paperSize="9" orientation="portrait" horizontalDpi="300" verticalDpi="30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AMJ71"/>
  <sheetViews>
    <sheetView topLeftCell="A13" zoomScale="90" zoomScaleNormal="90" workbookViewId="0">
      <selection activeCell="D15" sqref="D15"/>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5.15625" style="1" customWidth="1"/>
    <col min="6" max="1024" width="11.41796875" style="1"/>
  </cols>
  <sheetData>
    <row r="1" spans="1:4" x14ac:dyDescent="0.55000000000000004">
      <c r="A1" s="3" t="s">
        <v>0</v>
      </c>
      <c r="D1" s="2" t="s">
        <v>783</v>
      </c>
    </row>
    <row r="2" spans="1:4" x14ac:dyDescent="0.55000000000000004">
      <c r="A2" s="58" t="s">
        <v>2</v>
      </c>
      <c r="B2" s="58"/>
      <c r="D2" s="2" t="s">
        <v>784</v>
      </c>
    </row>
    <row r="3" spans="1:4" x14ac:dyDescent="0.55000000000000004">
      <c r="A3" s="58"/>
      <c r="B3" s="58"/>
      <c r="C3" s="5" t="s">
        <v>4</v>
      </c>
      <c r="D3" s="2" t="s">
        <v>785</v>
      </c>
    </row>
    <row r="4" spans="1:4" x14ac:dyDescent="0.55000000000000004">
      <c r="A4" s="58"/>
      <c r="B4" s="58"/>
      <c r="C4" s="5" t="s">
        <v>6</v>
      </c>
      <c r="D4" s="2">
        <v>2014</v>
      </c>
    </row>
    <row r="5" spans="1:4" ht="26.1" x14ac:dyDescent="0.55000000000000004">
      <c r="A5" s="58"/>
      <c r="B5" s="58"/>
      <c r="C5" s="5" t="s">
        <v>7</v>
      </c>
      <c r="D5" s="2" t="s">
        <v>786</v>
      </c>
    </row>
    <row r="6" spans="1:4" x14ac:dyDescent="0.55000000000000004">
      <c r="A6" s="58"/>
      <c r="B6" s="58"/>
      <c r="C6" s="5" t="s">
        <v>9</v>
      </c>
      <c r="D6" s="2" t="s">
        <v>787</v>
      </c>
    </row>
    <row r="7" spans="1:4" x14ac:dyDescent="0.55000000000000004">
      <c r="A7" s="58"/>
      <c r="B7" s="58"/>
      <c r="C7" s="5" t="s">
        <v>11</v>
      </c>
      <c r="D7" s="2" t="s">
        <v>12</v>
      </c>
    </row>
    <row r="8" spans="1:4" x14ac:dyDescent="0.55000000000000004">
      <c r="A8" s="59" t="s">
        <v>13</v>
      </c>
      <c r="B8" s="59"/>
      <c r="C8" s="5"/>
    </row>
    <row r="9" spans="1:4" x14ac:dyDescent="0.55000000000000004">
      <c r="A9" s="58"/>
      <c r="B9" s="58"/>
      <c r="C9" s="5" t="s">
        <v>14</v>
      </c>
      <c r="D9" s="2" t="s">
        <v>20</v>
      </c>
    </row>
    <row r="10" spans="1:4" x14ac:dyDescent="0.55000000000000004">
      <c r="A10" s="58"/>
      <c r="B10" s="58"/>
      <c r="C10" s="5" t="s">
        <v>16</v>
      </c>
      <c r="D10" s="2" t="s">
        <v>17</v>
      </c>
    </row>
    <row r="11" spans="1:4" x14ac:dyDescent="0.55000000000000004">
      <c r="A11" s="58"/>
      <c r="B11" s="58"/>
      <c r="C11" s="5" t="s">
        <v>19</v>
      </c>
      <c r="D11" s="31">
        <v>40695</v>
      </c>
    </row>
    <row r="12" spans="1:4" x14ac:dyDescent="0.55000000000000004">
      <c r="A12" s="58"/>
      <c r="B12" s="58"/>
      <c r="C12" s="5" t="s">
        <v>21</v>
      </c>
      <c r="D12" s="31">
        <v>41000</v>
      </c>
    </row>
    <row r="13" spans="1:4" x14ac:dyDescent="0.55000000000000004">
      <c r="A13" s="58"/>
      <c r="B13" s="58"/>
      <c r="C13" s="5" t="s">
        <v>22</v>
      </c>
    </row>
    <row r="14" spans="1:4" x14ac:dyDescent="0.55000000000000004">
      <c r="A14" s="59" t="s">
        <v>24</v>
      </c>
      <c r="B14" s="59"/>
      <c r="C14" s="5"/>
    </row>
    <row r="15" spans="1:4" x14ac:dyDescent="0.55000000000000004">
      <c r="A15" s="58"/>
      <c r="B15" s="58"/>
      <c r="C15" s="5" t="s">
        <v>25</v>
      </c>
      <c r="D15" s="2" t="s">
        <v>511</v>
      </c>
    </row>
    <row r="16" spans="1:4" x14ac:dyDescent="0.55000000000000004">
      <c r="A16" s="58"/>
      <c r="B16" s="58"/>
      <c r="C16" s="5" t="s">
        <v>27</v>
      </c>
      <c r="D16" s="2" t="s">
        <v>788</v>
      </c>
    </row>
    <row r="17" spans="1:4" x14ac:dyDescent="0.55000000000000004">
      <c r="A17" s="59" t="s">
        <v>29</v>
      </c>
      <c r="B17" s="59"/>
      <c r="C17" s="5"/>
    </row>
    <row r="18" spans="1:4" ht="51.9" x14ac:dyDescent="0.55000000000000004">
      <c r="A18" s="58"/>
      <c r="B18" s="58"/>
      <c r="C18" s="5" t="s">
        <v>30</v>
      </c>
      <c r="D18" s="2" t="s">
        <v>789</v>
      </c>
    </row>
    <row r="19" spans="1:4" x14ac:dyDescent="0.55000000000000004">
      <c r="A19" s="58"/>
      <c r="B19" s="58"/>
      <c r="C19" s="5" t="s">
        <v>32</v>
      </c>
    </row>
    <row r="20" spans="1:4" x14ac:dyDescent="0.55000000000000004">
      <c r="A20" s="59" t="s">
        <v>34</v>
      </c>
      <c r="B20" s="59"/>
      <c r="C20" s="5"/>
      <c r="D20" s="2" t="s">
        <v>35</v>
      </c>
    </row>
    <row r="21" spans="1:4" x14ac:dyDescent="0.55000000000000004">
      <c r="A21" s="58"/>
      <c r="B21" s="58"/>
      <c r="C21" s="5" t="s">
        <v>36</v>
      </c>
      <c r="D21" s="2">
        <v>28</v>
      </c>
    </row>
    <row r="22" spans="1:4" x14ac:dyDescent="0.55000000000000004">
      <c r="A22" s="58"/>
      <c r="B22" s="58"/>
      <c r="C22" s="5" t="s">
        <v>37</v>
      </c>
      <c r="D22" s="2">
        <v>28</v>
      </c>
    </row>
    <row r="23" spans="1:4" x14ac:dyDescent="0.55000000000000004">
      <c r="A23" s="58"/>
      <c r="B23" s="58"/>
      <c r="C23" s="5" t="s">
        <v>38</v>
      </c>
      <c r="D23" s="2">
        <v>22</v>
      </c>
    </row>
    <row r="24" spans="1:4" x14ac:dyDescent="0.55000000000000004">
      <c r="A24" s="58"/>
      <c r="B24" s="58"/>
      <c r="C24" s="5" t="s">
        <v>39</v>
      </c>
      <c r="D24" s="2">
        <v>6</v>
      </c>
    </row>
    <row r="25" spans="1:4" x14ac:dyDescent="0.55000000000000004">
      <c r="A25" s="58"/>
      <c r="B25" s="58"/>
      <c r="C25" s="5" t="s">
        <v>40</v>
      </c>
      <c r="D25" s="7">
        <f>9/22</f>
        <v>0.40909090909090912</v>
      </c>
    </row>
    <row r="26" spans="1:4" x14ac:dyDescent="0.55000000000000004">
      <c r="A26" s="58"/>
      <c r="B26" s="58"/>
      <c r="C26" s="5" t="s">
        <v>41</v>
      </c>
      <c r="D26" s="2">
        <v>65</v>
      </c>
    </row>
    <row r="27" spans="1:4" x14ac:dyDescent="0.55000000000000004">
      <c r="A27" s="58"/>
      <c r="B27" s="58"/>
      <c r="C27" s="5" t="s">
        <v>42</v>
      </c>
      <c r="D27" s="7">
        <v>10.199999999999999</v>
      </c>
    </row>
    <row r="28" spans="1:4" x14ac:dyDescent="0.55000000000000004">
      <c r="A28" s="58"/>
      <c r="B28" s="58"/>
      <c r="C28" s="5" t="s">
        <v>43</v>
      </c>
    </row>
    <row r="29" spans="1:4" x14ac:dyDescent="0.55000000000000004">
      <c r="A29" s="58"/>
      <c r="B29" s="58"/>
      <c r="C29" s="5" t="s">
        <v>44</v>
      </c>
      <c r="D29" s="7">
        <v>1.5</v>
      </c>
    </row>
    <row r="30" spans="1:4" x14ac:dyDescent="0.55000000000000004">
      <c r="A30" s="58"/>
      <c r="B30" s="58"/>
      <c r="C30" s="5" t="s">
        <v>45</v>
      </c>
      <c r="D30" s="7">
        <v>33.1</v>
      </c>
    </row>
    <row r="31" spans="1:4" x14ac:dyDescent="0.55000000000000004">
      <c r="A31" s="58"/>
      <c r="B31" s="58"/>
      <c r="C31" s="5" t="s">
        <v>46</v>
      </c>
      <c r="D31" s="7">
        <v>13.8</v>
      </c>
    </row>
    <row r="32" spans="1:4" x14ac:dyDescent="0.55000000000000004">
      <c r="A32" s="59" t="s">
        <v>47</v>
      </c>
      <c r="B32" s="59"/>
      <c r="C32" s="5"/>
    </row>
    <row r="33" spans="1:11" ht="39" x14ac:dyDescent="0.55000000000000004">
      <c r="A33" s="58"/>
      <c r="B33" s="58"/>
      <c r="C33" s="5" t="s">
        <v>48</v>
      </c>
      <c r="D33" s="2" t="s">
        <v>790</v>
      </c>
    </row>
    <row r="34" spans="1:11" x14ac:dyDescent="0.55000000000000004">
      <c r="A34" s="59" t="s">
        <v>50</v>
      </c>
      <c r="B34" s="59"/>
      <c r="C34" s="5"/>
    </row>
    <row r="35" spans="1:11" x14ac:dyDescent="0.55000000000000004">
      <c r="A35" s="8"/>
      <c r="B35" s="8"/>
      <c r="C35" s="5"/>
    </row>
    <row r="36" spans="1:11" x14ac:dyDescent="0.55000000000000004">
      <c r="A36" s="59"/>
      <c r="B36" s="5" t="s">
        <v>59</v>
      </c>
      <c r="C36" s="5"/>
      <c r="D36" s="2" t="s">
        <v>51</v>
      </c>
      <c r="E36" s="1" t="s">
        <v>52</v>
      </c>
      <c r="F36" s="1" t="s">
        <v>53</v>
      </c>
      <c r="G36" s="1" t="s">
        <v>54</v>
      </c>
      <c r="H36" s="1" t="s">
        <v>55</v>
      </c>
      <c r="I36" s="1" t="s">
        <v>56</v>
      </c>
      <c r="J36" s="1" t="s">
        <v>57</v>
      </c>
      <c r="K36" s="1" t="s">
        <v>58</v>
      </c>
    </row>
    <row r="37" spans="1:11" x14ac:dyDescent="0.55000000000000004">
      <c r="A37" s="59"/>
      <c r="B37" s="5"/>
      <c r="C37" s="5" t="s">
        <v>791</v>
      </c>
      <c r="D37" s="7">
        <v>7.55</v>
      </c>
      <c r="E37" s="10">
        <v>4.79</v>
      </c>
    </row>
    <row r="38" spans="1:11" x14ac:dyDescent="0.55000000000000004">
      <c r="A38" s="59"/>
      <c r="B38" s="5"/>
      <c r="C38" s="5" t="s">
        <v>792</v>
      </c>
      <c r="D38" s="7">
        <v>3.63</v>
      </c>
      <c r="E38" s="10">
        <v>2.8</v>
      </c>
    </row>
    <row r="39" spans="1:11" x14ac:dyDescent="0.55000000000000004">
      <c r="A39" s="59"/>
      <c r="B39" s="5"/>
      <c r="C39" s="5"/>
      <c r="D39" s="7"/>
      <c r="E39" s="10"/>
    </row>
    <row r="40" spans="1:11" x14ac:dyDescent="0.55000000000000004">
      <c r="A40" s="59"/>
      <c r="B40" s="5"/>
      <c r="C40" s="5"/>
      <c r="D40" s="7"/>
      <c r="E40" s="10"/>
    </row>
    <row r="41" spans="1:11" x14ac:dyDescent="0.55000000000000004">
      <c r="A41" s="59"/>
      <c r="B41" s="5"/>
      <c r="C41" s="5"/>
      <c r="D41" s="7"/>
      <c r="E41" s="10"/>
    </row>
    <row r="42" spans="1:11" x14ac:dyDescent="0.55000000000000004">
      <c r="A42" s="59"/>
      <c r="B42" s="5"/>
      <c r="C42" s="5"/>
      <c r="D42" s="7"/>
      <c r="E42" s="10"/>
    </row>
    <row r="43" spans="1:11" x14ac:dyDescent="0.55000000000000004">
      <c r="A43" s="59"/>
      <c r="B43" s="5"/>
      <c r="C43" s="5"/>
      <c r="D43" s="7"/>
      <c r="E43" s="10"/>
    </row>
    <row r="44" spans="1:11" x14ac:dyDescent="0.55000000000000004">
      <c r="A44" s="59"/>
      <c r="B44" s="5"/>
      <c r="C44" s="5"/>
      <c r="D44" s="7"/>
      <c r="E44" s="10"/>
    </row>
    <row r="45" spans="1:11" x14ac:dyDescent="0.55000000000000004">
      <c r="A45" s="59"/>
      <c r="B45" s="5" t="s">
        <v>61</v>
      </c>
      <c r="C45" s="5"/>
      <c r="D45" s="7"/>
      <c r="E45" s="10"/>
    </row>
    <row r="46" spans="1:11" x14ac:dyDescent="0.55000000000000004">
      <c r="A46" s="59"/>
      <c r="B46" s="5"/>
    </row>
    <row r="47" spans="1:11" x14ac:dyDescent="0.55000000000000004">
      <c r="A47" s="59"/>
      <c r="B47" s="5"/>
    </row>
    <row r="48" spans="1:11" x14ac:dyDescent="0.55000000000000004">
      <c r="A48" s="59"/>
      <c r="B48" s="5"/>
      <c r="C48" s="5"/>
      <c r="D48" s="7"/>
      <c r="E48" s="10"/>
    </row>
    <row r="49" spans="1:5" x14ac:dyDescent="0.55000000000000004">
      <c r="A49" s="59"/>
      <c r="B49" s="5"/>
      <c r="C49" s="5"/>
      <c r="D49" s="7"/>
      <c r="E49" s="10"/>
    </row>
    <row r="50" spans="1:5" x14ac:dyDescent="0.55000000000000004">
      <c r="A50" s="59"/>
      <c r="B50" s="5"/>
      <c r="C50" s="5"/>
      <c r="D50" s="7"/>
      <c r="E50" s="10"/>
    </row>
    <row r="51" spans="1:5" x14ac:dyDescent="0.55000000000000004">
      <c r="A51" s="59"/>
      <c r="B51" s="5"/>
      <c r="C51" s="5"/>
      <c r="D51" s="7"/>
      <c r="E51" s="10"/>
    </row>
    <row r="52" spans="1:5" x14ac:dyDescent="0.55000000000000004">
      <c r="A52" s="59"/>
      <c r="B52" s="5"/>
      <c r="C52" s="5"/>
      <c r="D52" s="7"/>
      <c r="E52" s="10"/>
    </row>
    <row r="53" spans="1:5" x14ac:dyDescent="0.55000000000000004">
      <c r="A53" s="59"/>
      <c r="B53" s="5"/>
      <c r="C53" s="5"/>
      <c r="D53" s="7"/>
      <c r="E53" s="10"/>
    </row>
    <row r="54" spans="1:5" x14ac:dyDescent="0.55000000000000004">
      <c r="A54" s="59"/>
      <c r="B54" s="5"/>
      <c r="C54" s="5"/>
    </row>
    <row r="55" spans="1:5" x14ac:dyDescent="0.55000000000000004">
      <c r="A55" s="59"/>
      <c r="B55" s="5"/>
      <c r="C55" s="5"/>
    </row>
    <row r="56" spans="1:5" x14ac:dyDescent="0.55000000000000004">
      <c r="A56" s="59"/>
      <c r="B56" s="5"/>
      <c r="C56" s="5"/>
    </row>
    <row r="57" spans="1:5" x14ac:dyDescent="0.55000000000000004">
      <c r="A57" s="59"/>
      <c r="B57" s="5"/>
      <c r="C57" s="5"/>
    </row>
    <row r="58" spans="1:5" x14ac:dyDescent="0.55000000000000004">
      <c r="A58" s="59"/>
      <c r="B58" s="5"/>
      <c r="C58" s="5"/>
    </row>
    <row r="59" spans="1:5" x14ac:dyDescent="0.55000000000000004">
      <c r="A59" s="59"/>
      <c r="B59" s="5"/>
      <c r="C59" s="5"/>
    </row>
    <row r="60" spans="1:5" x14ac:dyDescent="0.55000000000000004">
      <c r="A60" s="59"/>
      <c r="B60" s="5"/>
      <c r="C60" s="5"/>
    </row>
    <row r="61" spans="1:5" x14ac:dyDescent="0.55000000000000004">
      <c r="A61" s="59"/>
      <c r="B61" s="5"/>
      <c r="C61" s="5"/>
    </row>
    <row r="62" spans="1:5" x14ac:dyDescent="0.55000000000000004">
      <c r="A62" s="59"/>
      <c r="B62" s="5"/>
      <c r="C62" s="5"/>
    </row>
    <row r="63" spans="1:5" x14ac:dyDescent="0.55000000000000004">
      <c r="A63" s="59"/>
      <c r="B63" s="5"/>
      <c r="C63" s="5"/>
    </row>
    <row r="64" spans="1:5" x14ac:dyDescent="0.55000000000000004">
      <c r="A64" s="59"/>
      <c r="B64" s="5"/>
      <c r="C64" s="5"/>
    </row>
    <row r="65" spans="1:6" x14ac:dyDescent="0.55000000000000004">
      <c r="A65" s="59"/>
      <c r="B65" s="5" t="s">
        <v>62</v>
      </c>
      <c r="C65" s="5"/>
      <c r="D65" s="7">
        <f>1/1440*30</f>
        <v>2.0833333333333336E-2</v>
      </c>
    </row>
    <row r="66" spans="1:6" x14ac:dyDescent="0.55000000000000004">
      <c r="A66" s="59"/>
      <c r="B66" s="5" t="s">
        <v>63</v>
      </c>
      <c r="C66" s="5"/>
      <c r="D66" s="2" t="s">
        <v>793</v>
      </c>
    </row>
    <row r="67" spans="1:6" x14ac:dyDescent="0.55000000000000004">
      <c r="A67" s="59" t="s">
        <v>65</v>
      </c>
      <c r="B67" s="59"/>
      <c r="C67" s="5"/>
    </row>
    <row r="68" spans="1:6" x14ac:dyDescent="0.55000000000000004">
      <c r="A68" s="3" t="s">
        <v>67</v>
      </c>
    </row>
    <row r="69" spans="1:6" x14ac:dyDescent="0.55000000000000004">
      <c r="A69" s="1" t="s">
        <v>68</v>
      </c>
      <c r="C69" s="1">
        <v>19</v>
      </c>
      <c r="D69" s="2">
        <v>20</v>
      </c>
      <c r="E69" s="1">
        <v>16</v>
      </c>
      <c r="F69" s="1">
        <v>22</v>
      </c>
    </row>
    <row r="70" spans="1:6" x14ac:dyDescent="0.55000000000000004">
      <c r="B70" s="1" t="s">
        <v>94</v>
      </c>
      <c r="C70" s="5" t="s">
        <v>794</v>
      </c>
      <c r="D70" s="7">
        <v>33.1</v>
      </c>
      <c r="E70" s="10">
        <v>13.8</v>
      </c>
    </row>
    <row r="71" spans="1:6" x14ac:dyDescent="0.55000000000000004">
      <c r="C71" s="5" t="s">
        <v>795</v>
      </c>
      <c r="D71" s="7">
        <v>23.2</v>
      </c>
      <c r="E71" s="10">
        <v>10.5</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AMJ82"/>
  <sheetViews>
    <sheetView zoomScale="90" zoomScaleNormal="90" workbookViewId="0">
      <selection activeCell="C43" sqref="C43"/>
    </sheetView>
  </sheetViews>
  <sheetFormatPr baseColWidth="10" defaultColWidth="11.41796875" defaultRowHeight="14.4" x14ac:dyDescent="0.55000000000000004"/>
  <cols>
    <col min="1" max="1" width="29.83984375" style="1" customWidth="1"/>
    <col min="2" max="2" width="18.83984375" style="1" customWidth="1"/>
    <col min="3" max="3" width="44.15625" style="1" customWidth="1"/>
    <col min="4" max="4" width="56.15625" style="2" customWidth="1"/>
    <col min="5" max="5" width="7.578125" style="1" customWidth="1"/>
    <col min="6" max="6" width="13.15625" style="1" customWidth="1"/>
    <col min="7" max="7" width="8.41796875" style="1" customWidth="1"/>
    <col min="8" max="8" width="3.41796875" style="1" customWidth="1"/>
    <col min="9" max="1024" width="11.41796875" style="1"/>
  </cols>
  <sheetData>
    <row r="1" spans="1:4" x14ac:dyDescent="0.55000000000000004">
      <c r="A1" s="3" t="s">
        <v>0</v>
      </c>
      <c r="D1" s="2" t="s">
        <v>796</v>
      </c>
    </row>
    <row r="2" spans="1:4" x14ac:dyDescent="0.55000000000000004">
      <c r="A2" s="5" t="s">
        <v>2</v>
      </c>
      <c r="B2" s="5"/>
      <c r="D2" s="2" t="s">
        <v>797</v>
      </c>
    </row>
    <row r="3" spans="1:4" x14ac:dyDescent="0.55000000000000004">
      <c r="A3" s="5"/>
      <c r="B3" s="5"/>
      <c r="C3" s="5" t="s">
        <v>4</v>
      </c>
      <c r="D3" s="2" t="s">
        <v>798</v>
      </c>
    </row>
    <row r="4" spans="1:4" x14ac:dyDescent="0.55000000000000004">
      <c r="A4" s="5"/>
      <c r="B4" s="5"/>
      <c r="C4" s="5" t="s">
        <v>6</v>
      </c>
      <c r="D4" s="2">
        <v>2000</v>
      </c>
    </row>
    <row r="5" spans="1:4" x14ac:dyDescent="0.55000000000000004">
      <c r="A5" s="5"/>
      <c r="B5" s="5"/>
      <c r="C5" s="5" t="s">
        <v>7</v>
      </c>
      <c r="D5" s="2" t="s">
        <v>799</v>
      </c>
    </row>
    <row r="6" spans="1:4" x14ac:dyDescent="0.55000000000000004">
      <c r="A6" s="5"/>
      <c r="B6" s="5"/>
      <c r="C6" s="5" t="s">
        <v>9</v>
      </c>
      <c r="D6" s="2" t="s">
        <v>800</v>
      </c>
    </row>
    <row r="7" spans="1:4" x14ac:dyDescent="0.55000000000000004">
      <c r="A7" s="5"/>
      <c r="B7" s="5"/>
      <c r="C7" s="5" t="s">
        <v>11</v>
      </c>
      <c r="D7" s="2" t="s">
        <v>431</v>
      </c>
    </row>
    <row r="8" spans="1:4" x14ac:dyDescent="0.55000000000000004">
      <c r="A8" s="8" t="s">
        <v>13</v>
      </c>
      <c r="B8" s="8"/>
      <c r="C8" s="5"/>
    </row>
    <row r="9" spans="1:4" ht="26.1" x14ac:dyDescent="0.55000000000000004">
      <c r="A9" s="5"/>
      <c r="B9" s="5"/>
      <c r="C9" s="5" t="s">
        <v>14</v>
      </c>
      <c r="D9" s="2" t="s">
        <v>801</v>
      </c>
    </row>
    <row r="10" spans="1:4" x14ac:dyDescent="0.55000000000000004">
      <c r="A10" s="5"/>
      <c r="B10" s="5"/>
      <c r="C10" s="5" t="s">
        <v>16</v>
      </c>
      <c r="D10" s="2" t="s">
        <v>165</v>
      </c>
    </row>
    <row r="11" spans="1:4" x14ac:dyDescent="0.55000000000000004">
      <c r="A11" s="5"/>
      <c r="B11" s="5"/>
      <c r="C11" s="5" t="s">
        <v>19</v>
      </c>
      <c r="D11" s="2" t="s">
        <v>20</v>
      </c>
    </row>
    <row r="12" spans="1:4" x14ac:dyDescent="0.55000000000000004">
      <c r="A12" s="5"/>
      <c r="B12" s="5"/>
      <c r="C12" s="5" t="s">
        <v>21</v>
      </c>
      <c r="D12" s="2" t="s">
        <v>20</v>
      </c>
    </row>
    <row r="13" spans="1:4" x14ac:dyDescent="0.55000000000000004">
      <c r="A13" s="5"/>
      <c r="B13" s="5"/>
      <c r="C13" s="5" t="s">
        <v>22</v>
      </c>
    </row>
    <row r="14" spans="1:4" x14ac:dyDescent="0.55000000000000004">
      <c r="A14" s="8" t="s">
        <v>24</v>
      </c>
      <c r="B14" s="8"/>
      <c r="C14" s="5"/>
    </row>
    <row r="15" spans="1:4" x14ac:dyDescent="0.55000000000000004">
      <c r="A15" s="5"/>
      <c r="B15" s="5"/>
      <c r="C15" s="5" t="s">
        <v>25</v>
      </c>
      <c r="D15" s="2" t="s">
        <v>87</v>
      </c>
    </row>
    <row r="16" spans="1:4" x14ac:dyDescent="0.55000000000000004">
      <c r="A16" s="5"/>
      <c r="B16" s="5"/>
      <c r="C16" s="5" t="s">
        <v>27</v>
      </c>
      <c r="D16" s="2" t="s">
        <v>802</v>
      </c>
    </row>
    <row r="17" spans="1:5" x14ac:dyDescent="0.55000000000000004">
      <c r="A17" s="8" t="s">
        <v>29</v>
      </c>
      <c r="B17" s="8"/>
      <c r="C17" s="5"/>
    </row>
    <row r="18" spans="1:5" x14ac:dyDescent="0.55000000000000004">
      <c r="A18" s="5"/>
      <c r="B18" s="5"/>
      <c r="C18" s="5" t="s">
        <v>30</v>
      </c>
      <c r="D18" s="2" t="s">
        <v>31</v>
      </c>
    </row>
    <row r="19" spans="1:5" ht="26.1" x14ac:dyDescent="0.55000000000000004">
      <c r="A19" s="5"/>
      <c r="B19" s="5"/>
      <c r="C19" s="5" t="s">
        <v>32</v>
      </c>
      <c r="D19" s="2" t="s">
        <v>803</v>
      </c>
    </row>
    <row r="20" spans="1:5" x14ac:dyDescent="0.55000000000000004">
      <c r="A20" s="8" t="s">
        <v>34</v>
      </c>
      <c r="B20" s="8"/>
      <c r="C20" s="5"/>
      <c r="D20" s="2" t="s">
        <v>35</v>
      </c>
    </row>
    <row r="21" spans="1:5" x14ac:dyDescent="0.55000000000000004">
      <c r="A21" s="5"/>
      <c r="B21" s="5"/>
      <c r="C21" s="5" t="s">
        <v>36</v>
      </c>
      <c r="D21" s="2" t="s">
        <v>20</v>
      </c>
    </row>
    <row r="22" spans="1:5" x14ac:dyDescent="0.55000000000000004">
      <c r="A22" s="5"/>
      <c r="B22" s="5"/>
      <c r="C22" s="5" t="s">
        <v>37</v>
      </c>
      <c r="D22" s="2">
        <v>24</v>
      </c>
      <c r="E22" s="18"/>
    </row>
    <row r="23" spans="1:5" x14ac:dyDescent="0.55000000000000004">
      <c r="A23" s="5"/>
      <c r="B23" s="5"/>
      <c r="C23" s="5" t="s">
        <v>38</v>
      </c>
      <c r="D23" s="2">
        <v>24</v>
      </c>
    </row>
    <row r="24" spans="1:5" x14ac:dyDescent="0.55000000000000004">
      <c r="A24" s="5"/>
      <c r="B24" s="5"/>
      <c r="C24" s="5" t="s">
        <v>39</v>
      </c>
      <c r="D24" s="2">
        <v>0</v>
      </c>
    </row>
    <row r="25" spans="1:5" x14ac:dyDescent="0.55000000000000004">
      <c r="A25" s="5"/>
      <c r="B25" s="5"/>
      <c r="C25" s="5" t="s">
        <v>40</v>
      </c>
      <c r="D25" s="7">
        <f>7/24*100</f>
        <v>29.166666666666668</v>
      </c>
    </row>
    <row r="26" spans="1:5" x14ac:dyDescent="0.55000000000000004">
      <c r="A26" s="5"/>
      <c r="B26" s="5"/>
      <c r="C26" s="5" t="s">
        <v>41</v>
      </c>
      <c r="D26" s="7">
        <v>63</v>
      </c>
    </row>
    <row r="27" spans="1:5" x14ac:dyDescent="0.55000000000000004">
      <c r="A27" s="5"/>
      <c r="B27" s="5"/>
      <c r="C27" s="5" t="s">
        <v>42</v>
      </c>
      <c r="D27" s="7">
        <v>7.1</v>
      </c>
    </row>
    <row r="28" spans="1:5" x14ac:dyDescent="0.55000000000000004">
      <c r="A28" s="5"/>
      <c r="B28" s="5"/>
      <c r="C28" s="5" t="s">
        <v>43</v>
      </c>
      <c r="D28" s="2" t="s">
        <v>20</v>
      </c>
    </row>
    <row r="29" spans="1:5" x14ac:dyDescent="0.55000000000000004">
      <c r="A29" s="5"/>
      <c r="B29" s="5"/>
      <c r="C29" s="5" t="s">
        <v>44</v>
      </c>
      <c r="D29" s="7">
        <v>2.5</v>
      </c>
    </row>
    <row r="30" spans="1:5" x14ac:dyDescent="0.55000000000000004">
      <c r="A30" s="5"/>
      <c r="B30" s="5"/>
      <c r="C30" s="5" t="s">
        <v>45</v>
      </c>
      <c r="D30" s="2" t="s">
        <v>20</v>
      </c>
    </row>
    <row r="31" spans="1:5" x14ac:dyDescent="0.55000000000000004">
      <c r="A31" s="5"/>
      <c r="B31" s="5"/>
      <c r="C31" s="5" t="s">
        <v>46</v>
      </c>
      <c r="D31" s="2" t="s">
        <v>20</v>
      </c>
    </row>
    <row r="32" spans="1:5" x14ac:dyDescent="0.55000000000000004">
      <c r="A32" s="8" t="s">
        <v>47</v>
      </c>
      <c r="B32" s="8"/>
      <c r="C32" s="5"/>
    </row>
    <row r="33" spans="1:10" ht="51.9" x14ac:dyDescent="0.55000000000000004">
      <c r="A33" s="5"/>
      <c r="B33" s="5"/>
      <c r="C33" s="5" t="s">
        <v>48</v>
      </c>
      <c r="D33" s="2" t="s">
        <v>804</v>
      </c>
    </row>
    <row r="34" spans="1:10" x14ac:dyDescent="0.55000000000000004">
      <c r="A34" s="8" t="s">
        <v>50</v>
      </c>
      <c r="B34" s="8"/>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8"/>
      <c r="B36" s="5" t="s">
        <v>59</v>
      </c>
      <c r="C36" s="5"/>
    </row>
    <row r="37" spans="1:10" x14ac:dyDescent="0.55000000000000004">
      <c r="A37" s="8"/>
      <c r="B37" s="5"/>
    </row>
    <row r="38" spans="1:10" x14ac:dyDescent="0.55000000000000004">
      <c r="A38" s="8"/>
      <c r="B38" s="5"/>
    </row>
    <row r="39" spans="1:10" x14ac:dyDescent="0.55000000000000004">
      <c r="A39" s="8"/>
      <c r="B39" s="5"/>
    </row>
    <row r="40" spans="1:10" x14ac:dyDescent="0.55000000000000004">
      <c r="A40" s="8"/>
      <c r="B40" s="5"/>
      <c r="C40" s="5"/>
    </row>
    <row r="41" spans="1:10" x14ac:dyDescent="0.55000000000000004">
      <c r="A41" s="8"/>
      <c r="C41" s="5"/>
    </row>
    <row r="42" spans="1:10" x14ac:dyDescent="0.55000000000000004">
      <c r="C42" s="5"/>
    </row>
    <row r="43" spans="1:10" x14ac:dyDescent="0.55000000000000004">
      <c r="C43" s="5"/>
    </row>
    <row r="45" spans="1:10" x14ac:dyDescent="0.55000000000000004">
      <c r="B45" s="5" t="s">
        <v>61</v>
      </c>
    </row>
    <row r="46" spans="1:10" x14ac:dyDescent="0.55000000000000004">
      <c r="C46" s="5" t="s">
        <v>805</v>
      </c>
      <c r="D46" s="2">
        <f>AVERAGE(D75,D79)</f>
        <v>8.5749999999999993</v>
      </c>
      <c r="E46" s="10">
        <f>SQRT(((($D$23-1)*E75^2)+(($D$23-1)*E79^2))/($D$23+$D$23-2))</f>
        <v>11.997035050378074</v>
      </c>
    </row>
    <row r="47" spans="1:10" x14ac:dyDescent="0.55000000000000004">
      <c r="C47" s="5" t="s">
        <v>806</v>
      </c>
      <c r="D47" s="2">
        <f>AVERAGE(D76,D80)</f>
        <v>8.18</v>
      </c>
      <c r="E47" s="10">
        <f>SQRT(((($D$23-1)*E76^2)+(($D$23-1)*E80^2))/($D$23+$D$23-2))</f>
        <v>12.71519759972294</v>
      </c>
    </row>
    <row r="48" spans="1:10" x14ac:dyDescent="0.55000000000000004">
      <c r="C48" s="5" t="s">
        <v>807</v>
      </c>
      <c r="D48" s="2">
        <f>AVERAGE(D77,D81)</f>
        <v>29.490000000000002</v>
      </c>
      <c r="E48" s="10">
        <f>SQRT(((($D$23-1)*E77^2)+(($D$23-1)*E81^2))/($D$23+$D$23-2))</f>
        <v>44.052329109821194</v>
      </c>
    </row>
    <row r="49" spans="3:5" x14ac:dyDescent="0.55000000000000004">
      <c r="C49" s="5" t="s">
        <v>808</v>
      </c>
      <c r="D49" s="2">
        <f>AVERAGE(D78,D82)</f>
        <v>24.32</v>
      </c>
      <c r="E49" s="10">
        <f>SQRT(((($D$23-1)*E78^2)+(($D$23-1)*E82^2))/($D$23+$D$23-2))</f>
        <v>40.958787213490581</v>
      </c>
    </row>
    <row r="58" spans="3:5" x14ac:dyDescent="0.55000000000000004">
      <c r="C58" s="5"/>
    </row>
    <row r="59" spans="3:5" x14ac:dyDescent="0.55000000000000004">
      <c r="C59" s="5"/>
    </row>
    <row r="60" spans="3:5" x14ac:dyDescent="0.55000000000000004">
      <c r="C60" s="5"/>
    </row>
    <row r="61" spans="3:5" x14ac:dyDescent="0.55000000000000004">
      <c r="C61" s="5"/>
    </row>
    <row r="62" spans="3:5" x14ac:dyDescent="0.55000000000000004">
      <c r="C62" s="5"/>
    </row>
    <row r="65" spans="1:6" x14ac:dyDescent="0.55000000000000004">
      <c r="A65" s="8"/>
      <c r="B65" s="5" t="s">
        <v>62</v>
      </c>
      <c r="C65" s="5"/>
      <c r="D65" s="2">
        <v>5</v>
      </c>
    </row>
    <row r="66" spans="1:6" x14ac:dyDescent="0.55000000000000004">
      <c r="A66" s="8"/>
      <c r="B66" s="5" t="s">
        <v>63</v>
      </c>
      <c r="C66" s="5"/>
      <c r="D66" s="2" t="s">
        <v>809</v>
      </c>
    </row>
    <row r="67" spans="1:6" x14ac:dyDescent="0.55000000000000004">
      <c r="A67" s="8" t="s">
        <v>65</v>
      </c>
      <c r="B67" s="8"/>
      <c r="C67" s="5"/>
      <c r="D67" s="2">
        <v>12</v>
      </c>
    </row>
    <row r="68" spans="1:6" x14ac:dyDescent="0.55000000000000004">
      <c r="A68" s="3" t="s">
        <v>67</v>
      </c>
    </row>
    <row r="69" spans="1:6" x14ac:dyDescent="0.55000000000000004">
      <c r="A69" s="1" t="s">
        <v>68</v>
      </c>
      <c r="C69" s="1">
        <v>12</v>
      </c>
      <c r="D69" s="2">
        <v>28</v>
      </c>
      <c r="E69" s="1">
        <v>14</v>
      </c>
      <c r="F69" s="1">
        <v>26</v>
      </c>
    </row>
    <row r="70" spans="1:6" x14ac:dyDescent="0.55000000000000004">
      <c r="B70" s="1" t="s">
        <v>94</v>
      </c>
    </row>
    <row r="71" spans="1:6" x14ac:dyDescent="0.55000000000000004">
      <c r="C71" s="5" t="s">
        <v>810</v>
      </c>
      <c r="D71" s="2">
        <v>1.92</v>
      </c>
      <c r="E71" s="1">
        <v>1.71</v>
      </c>
    </row>
    <row r="72" spans="1:6" x14ac:dyDescent="0.55000000000000004">
      <c r="C72" s="5" t="s">
        <v>811</v>
      </c>
      <c r="D72" s="2">
        <v>1.08</v>
      </c>
      <c r="E72" s="1">
        <v>0.86</v>
      </c>
    </row>
    <row r="73" spans="1:6" x14ac:dyDescent="0.55000000000000004">
      <c r="C73" s="5" t="s">
        <v>812</v>
      </c>
      <c r="D73" s="2">
        <v>1.63</v>
      </c>
      <c r="E73" s="1">
        <v>1.47</v>
      </c>
    </row>
    <row r="74" spans="1:6" x14ac:dyDescent="0.55000000000000004">
      <c r="C74" s="5" t="s">
        <v>813</v>
      </c>
      <c r="D74" s="2">
        <v>1.29</v>
      </c>
      <c r="E74" s="1">
        <v>1.59</v>
      </c>
    </row>
    <row r="75" spans="1:6" x14ac:dyDescent="0.55000000000000004">
      <c r="C75" s="5" t="s">
        <v>814</v>
      </c>
      <c r="D75" s="2">
        <v>11.06</v>
      </c>
      <c r="E75" s="1">
        <v>14.56</v>
      </c>
    </row>
    <row r="76" spans="1:6" x14ac:dyDescent="0.55000000000000004">
      <c r="C76" s="5" t="s">
        <v>815</v>
      </c>
      <c r="D76" s="2">
        <v>9.99</v>
      </c>
      <c r="E76" s="1">
        <v>16.25</v>
      </c>
    </row>
    <row r="77" spans="1:6" x14ac:dyDescent="0.55000000000000004">
      <c r="C77" s="5" t="s">
        <v>816</v>
      </c>
      <c r="D77" s="2">
        <v>22.39</v>
      </c>
      <c r="E77" s="1">
        <v>35.450000000000003</v>
      </c>
    </row>
    <row r="78" spans="1:6" x14ac:dyDescent="0.55000000000000004">
      <c r="C78" s="5" t="s">
        <v>817</v>
      </c>
      <c r="D78" s="2">
        <v>20.99</v>
      </c>
      <c r="E78" s="1">
        <v>38.61</v>
      </c>
    </row>
    <row r="79" spans="1:6" x14ac:dyDescent="0.55000000000000004">
      <c r="C79" s="5" t="s">
        <v>818</v>
      </c>
      <c r="D79" s="2">
        <v>6.09</v>
      </c>
      <c r="E79" s="1">
        <v>8.7100000000000009</v>
      </c>
    </row>
    <row r="80" spans="1:6" x14ac:dyDescent="0.55000000000000004">
      <c r="C80" s="5" t="s">
        <v>819</v>
      </c>
      <c r="D80" s="2">
        <v>6.37</v>
      </c>
      <c r="E80" s="1">
        <v>7.7</v>
      </c>
    </row>
    <row r="81" spans="3:5" x14ac:dyDescent="0.55000000000000004">
      <c r="C81" s="5" t="s">
        <v>820</v>
      </c>
      <c r="D81" s="2">
        <v>36.590000000000003</v>
      </c>
      <c r="E81" s="1">
        <v>51.23</v>
      </c>
    </row>
    <row r="82" spans="3:5" x14ac:dyDescent="0.55000000000000004">
      <c r="C82" s="5" t="s">
        <v>821</v>
      </c>
      <c r="D82" s="2">
        <v>27.65</v>
      </c>
      <c r="E82" s="1">
        <v>43.18</v>
      </c>
    </row>
  </sheetData>
  <pageMargins left="0.7" right="0.7" top="0.75" bottom="0.75" header="0.511811023622047" footer="0.511811023622047"/>
  <pageSetup paperSize="9" orientation="portrait" horizontalDpi="300" verticalDpi="30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AMJ72"/>
  <sheetViews>
    <sheetView zoomScale="90" zoomScaleNormal="90" workbookViewId="0">
      <selection activeCell="D21" sqref="D21"/>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4.15625" style="1" customWidth="1"/>
    <col min="6" max="1024" width="11.41796875" style="1"/>
  </cols>
  <sheetData>
    <row r="1" spans="1:4" x14ac:dyDescent="0.55000000000000004">
      <c r="A1" s="3" t="s">
        <v>0</v>
      </c>
      <c r="D1" s="2" t="s">
        <v>547</v>
      </c>
    </row>
    <row r="2" spans="1:4" x14ac:dyDescent="0.55000000000000004">
      <c r="A2" s="58" t="s">
        <v>2</v>
      </c>
      <c r="B2" s="58"/>
      <c r="D2" s="2" t="s">
        <v>822</v>
      </c>
    </row>
    <row r="3" spans="1:4" x14ac:dyDescent="0.55000000000000004">
      <c r="A3" s="58"/>
      <c r="B3" s="58"/>
      <c r="C3" s="5" t="s">
        <v>4</v>
      </c>
      <c r="D3" s="2" t="s">
        <v>823</v>
      </c>
    </row>
    <row r="4" spans="1:4" x14ac:dyDescent="0.55000000000000004">
      <c r="A4" s="58"/>
      <c r="B4" s="58"/>
      <c r="C4" s="5" t="s">
        <v>6</v>
      </c>
      <c r="D4" s="2">
        <v>2015</v>
      </c>
    </row>
    <row r="5" spans="1:4" x14ac:dyDescent="0.55000000000000004">
      <c r="A5" s="58"/>
      <c r="B5" s="58"/>
      <c r="C5" s="5" t="s">
        <v>7</v>
      </c>
      <c r="D5" s="2" t="s">
        <v>824</v>
      </c>
    </row>
    <row r="6" spans="1:4" x14ac:dyDescent="0.55000000000000004">
      <c r="A6" s="58"/>
      <c r="B6" s="58"/>
      <c r="C6" s="5" t="s">
        <v>9</v>
      </c>
      <c r="D6" s="2" t="s">
        <v>825</v>
      </c>
    </row>
    <row r="7" spans="1:4" x14ac:dyDescent="0.55000000000000004">
      <c r="A7" s="58"/>
      <c r="B7" s="58"/>
      <c r="C7" s="5" t="s">
        <v>11</v>
      </c>
      <c r="D7" s="2" t="s">
        <v>12</v>
      </c>
    </row>
    <row r="8" spans="1:4" x14ac:dyDescent="0.55000000000000004">
      <c r="A8" s="59" t="s">
        <v>13</v>
      </c>
      <c r="B8" s="59"/>
      <c r="C8" s="5"/>
    </row>
    <row r="9" spans="1:4" x14ac:dyDescent="0.55000000000000004">
      <c r="A9" s="58"/>
      <c r="B9" s="58"/>
      <c r="C9" s="5" t="s">
        <v>14</v>
      </c>
      <c r="D9" s="2" t="s">
        <v>826</v>
      </c>
    </row>
    <row r="10" spans="1:4" x14ac:dyDescent="0.55000000000000004">
      <c r="A10" s="58"/>
      <c r="B10" s="58"/>
      <c r="C10" s="5" t="s">
        <v>16</v>
      </c>
      <c r="D10" s="2" t="s">
        <v>86</v>
      </c>
    </row>
    <row r="11" spans="1:4" x14ac:dyDescent="0.55000000000000004">
      <c r="A11" s="58"/>
      <c r="B11" s="58"/>
      <c r="C11" s="5" t="s">
        <v>19</v>
      </c>
      <c r="D11" s="21">
        <v>40848</v>
      </c>
    </row>
    <row r="12" spans="1:4" x14ac:dyDescent="0.55000000000000004">
      <c r="A12" s="58"/>
      <c r="B12" s="58"/>
      <c r="C12" s="5" t="s">
        <v>21</v>
      </c>
      <c r="D12" s="21">
        <v>41244</v>
      </c>
    </row>
    <row r="13" spans="1:4" ht="26.1" x14ac:dyDescent="0.55000000000000004">
      <c r="A13" s="58"/>
      <c r="B13" s="58"/>
      <c r="C13" s="5" t="s">
        <v>22</v>
      </c>
      <c r="D13" s="2" t="s">
        <v>827</v>
      </c>
    </row>
    <row r="14" spans="1:4" x14ac:dyDescent="0.55000000000000004">
      <c r="A14" s="59" t="s">
        <v>24</v>
      </c>
      <c r="B14" s="59"/>
      <c r="C14" s="5"/>
    </row>
    <row r="15" spans="1:4" x14ac:dyDescent="0.55000000000000004">
      <c r="A15" s="58"/>
      <c r="B15" s="58"/>
      <c r="C15" s="5" t="s">
        <v>25</v>
      </c>
      <c r="D15" s="2" t="s">
        <v>553</v>
      </c>
    </row>
    <row r="16" spans="1:4" x14ac:dyDescent="0.55000000000000004">
      <c r="A16" s="58"/>
      <c r="B16" s="58"/>
      <c r="C16" s="5" t="s">
        <v>27</v>
      </c>
      <c r="D16" s="2" t="s">
        <v>828</v>
      </c>
    </row>
    <row r="17" spans="1:4" x14ac:dyDescent="0.55000000000000004">
      <c r="A17" s="59" t="s">
        <v>29</v>
      </c>
      <c r="B17" s="59"/>
      <c r="C17" s="5"/>
    </row>
    <row r="18" spans="1:4" ht="39" x14ac:dyDescent="0.55000000000000004">
      <c r="A18" s="58"/>
      <c r="B18" s="58"/>
      <c r="C18" s="5" t="s">
        <v>30</v>
      </c>
      <c r="D18" s="2" t="s">
        <v>829</v>
      </c>
    </row>
    <row r="19" spans="1:4" x14ac:dyDescent="0.55000000000000004">
      <c r="A19" s="58"/>
      <c r="B19" s="58"/>
      <c r="C19" s="5" t="s">
        <v>32</v>
      </c>
      <c r="D19" s="2" t="s">
        <v>20</v>
      </c>
    </row>
    <row r="20" spans="1:4" x14ac:dyDescent="0.55000000000000004">
      <c r="A20" s="59" t="s">
        <v>34</v>
      </c>
      <c r="B20" s="59"/>
      <c r="C20" s="5"/>
      <c r="D20" s="2" t="s">
        <v>35</v>
      </c>
    </row>
    <row r="21" spans="1:4" x14ac:dyDescent="0.55000000000000004">
      <c r="A21" s="58"/>
      <c r="B21" s="58"/>
      <c r="C21" s="5" t="s">
        <v>36</v>
      </c>
      <c r="D21" s="2">
        <v>13</v>
      </c>
    </row>
    <row r="22" spans="1:4" x14ac:dyDescent="0.55000000000000004">
      <c r="A22" s="58"/>
      <c r="B22" s="58"/>
      <c r="C22" s="5" t="s">
        <v>37</v>
      </c>
      <c r="D22" s="2">
        <v>13</v>
      </c>
    </row>
    <row r="23" spans="1:4" x14ac:dyDescent="0.55000000000000004">
      <c r="A23" s="58"/>
      <c r="B23" s="58"/>
      <c r="C23" s="5" t="s">
        <v>38</v>
      </c>
      <c r="D23" s="2">
        <v>11</v>
      </c>
    </row>
    <row r="24" spans="1:4" x14ac:dyDescent="0.55000000000000004">
      <c r="A24" s="58"/>
      <c r="B24" s="58"/>
      <c r="C24" s="5" t="s">
        <v>39</v>
      </c>
      <c r="D24" s="2">
        <v>2</v>
      </c>
    </row>
    <row r="25" spans="1:4" x14ac:dyDescent="0.55000000000000004">
      <c r="A25" s="58"/>
      <c r="B25" s="58"/>
      <c r="C25" s="5" t="s">
        <v>40</v>
      </c>
      <c r="D25" s="7">
        <v>63.4</v>
      </c>
    </row>
    <row r="26" spans="1:4" x14ac:dyDescent="0.55000000000000004">
      <c r="A26" s="58"/>
      <c r="B26" s="58"/>
      <c r="C26" s="5" t="s">
        <v>41</v>
      </c>
      <c r="D26" s="7">
        <v>71.2</v>
      </c>
    </row>
    <row r="27" spans="1:4" x14ac:dyDescent="0.55000000000000004">
      <c r="A27" s="58"/>
      <c r="B27" s="58"/>
      <c r="C27" s="5" t="s">
        <v>42</v>
      </c>
      <c r="D27" s="7">
        <v>5.9</v>
      </c>
    </row>
    <row r="28" spans="1:4" x14ac:dyDescent="0.55000000000000004">
      <c r="A28" s="58"/>
      <c r="B28" s="58"/>
      <c r="C28" s="5" t="s">
        <v>43</v>
      </c>
    </row>
    <row r="29" spans="1:4" x14ac:dyDescent="0.55000000000000004">
      <c r="A29" s="58"/>
      <c r="B29" s="58"/>
      <c r="C29" s="5" t="s">
        <v>44</v>
      </c>
      <c r="D29" s="2">
        <v>2</v>
      </c>
    </row>
    <row r="30" spans="1:4" x14ac:dyDescent="0.55000000000000004">
      <c r="A30" s="58"/>
      <c r="B30" s="58"/>
      <c r="C30" s="5" t="s">
        <v>45</v>
      </c>
      <c r="D30" s="7">
        <v>24.1</v>
      </c>
    </row>
    <row r="31" spans="1:4" x14ac:dyDescent="0.55000000000000004">
      <c r="A31" s="58"/>
      <c r="B31" s="58"/>
      <c r="C31" s="5" t="s">
        <v>46</v>
      </c>
      <c r="D31" s="7">
        <v>7.7</v>
      </c>
    </row>
    <row r="32" spans="1:4" x14ac:dyDescent="0.55000000000000004">
      <c r="A32" s="59" t="s">
        <v>47</v>
      </c>
      <c r="B32" s="59"/>
      <c r="C32" s="5"/>
    </row>
    <row r="33" spans="1:10" ht="26.1" x14ac:dyDescent="0.55000000000000004">
      <c r="A33" s="58"/>
      <c r="B33" s="58"/>
      <c r="C33" s="5" t="s">
        <v>48</v>
      </c>
      <c r="D33" s="2" t="s">
        <v>830</v>
      </c>
    </row>
    <row r="34" spans="1:10" x14ac:dyDescent="0.55000000000000004">
      <c r="A34" s="59" t="s">
        <v>50</v>
      </c>
      <c r="B34" s="59"/>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9"/>
      <c r="B36" s="5" t="s">
        <v>59</v>
      </c>
      <c r="C36" s="5"/>
    </row>
    <row r="37" spans="1:10" x14ac:dyDescent="0.55000000000000004">
      <c r="A37" s="59"/>
      <c r="B37" s="5"/>
      <c r="C37" s="5" t="s">
        <v>831</v>
      </c>
      <c r="D37" s="7">
        <v>4.5999999999999996</v>
      </c>
      <c r="E37" s="10">
        <v>2.4</v>
      </c>
    </row>
    <row r="38" spans="1:10" x14ac:dyDescent="0.55000000000000004">
      <c r="A38" s="59"/>
      <c r="B38" s="5"/>
      <c r="C38" s="5" t="s">
        <v>832</v>
      </c>
      <c r="D38" s="7">
        <v>2.5</v>
      </c>
      <c r="E38" s="10">
        <v>3.1</v>
      </c>
    </row>
    <row r="39" spans="1:10" x14ac:dyDescent="0.55000000000000004">
      <c r="A39" s="59"/>
      <c r="B39" s="5"/>
    </row>
    <row r="40" spans="1:10" x14ac:dyDescent="0.55000000000000004">
      <c r="A40" s="59"/>
      <c r="B40" s="5"/>
      <c r="C40" s="5"/>
    </row>
    <row r="41" spans="1:10" x14ac:dyDescent="0.55000000000000004">
      <c r="A41" s="59"/>
      <c r="B41" s="5"/>
      <c r="C41" s="5"/>
    </row>
    <row r="42" spans="1:10" x14ac:dyDescent="0.55000000000000004">
      <c r="A42" s="59"/>
      <c r="B42" s="5"/>
      <c r="C42" s="5"/>
    </row>
    <row r="43" spans="1:10" x14ac:dyDescent="0.55000000000000004">
      <c r="A43" s="59"/>
      <c r="B43" s="5"/>
      <c r="C43" s="5"/>
    </row>
    <row r="44" spans="1:10" x14ac:dyDescent="0.55000000000000004">
      <c r="A44" s="59"/>
      <c r="B44" s="5"/>
      <c r="C44" s="5"/>
    </row>
    <row r="45" spans="1:10" x14ac:dyDescent="0.55000000000000004">
      <c r="A45" s="59"/>
      <c r="B45" s="5" t="s">
        <v>61</v>
      </c>
      <c r="C45" s="5"/>
    </row>
    <row r="46" spans="1:10" x14ac:dyDescent="0.55000000000000004">
      <c r="A46" s="59"/>
      <c r="B46" s="5"/>
    </row>
    <row r="47" spans="1:10" x14ac:dyDescent="0.55000000000000004">
      <c r="A47" s="59"/>
      <c r="B47" s="5"/>
    </row>
    <row r="48" spans="1:10" x14ac:dyDescent="0.55000000000000004">
      <c r="A48" s="59"/>
      <c r="B48" s="5"/>
      <c r="C48" s="5"/>
    </row>
    <row r="49" spans="1:3" x14ac:dyDescent="0.55000000000000004">
      <c r="A49" s="59"/>
      <c r="B49" s="5"/>
      <c r="C49" s="5"/>
    </row>
    <row r="50" spans="1:3" x14ac:dyDescent="0.55000000000000004">
      <c r="A50" s="59"/>
      <c r="B50" s="5"/>
      <c r="C50" s="5"/>
    </row>
    <row r="51" spans="1:3" x14ac:dyDescent="0.55000000000000004">
      <c r="A51" s="59"/>
      <c r="B51" s="5"/>
      <c r="C51" s="5"/>
    </row>
    <row r="52" spans="1:3" x14ac:dyDescent="0.55000000000000004">
      <c r="A52" s="59"/>
      <c r="B52" s="5"/>
      <c r="C52" s="5"/>
    </row>
    <row r="53" spans="1:3" x14ac:dyDescent="0.55000000000000004">
      <c r="A53" s="59"/>
      <c r="B53" s="5"/>
      <c r="C53" s="5"/>
    </row>
    <row r="54" spans="1:3" x14ac:dyDescent="0.55000000000000004">
      <c r="A54" s="59"/>
      <c r="B54" s="5"/>
      <c r="C54" s="5"/>
    </row>
    <row r="55" spans="1:3" x14ac:dyDescent="0.55000000000000004">
      <c r="A55" s="59"/>
      <c r="B55" s="5"/>
      <c r="C55" s="5"/>
    </row>
    <row r="56" spans="1:3" x14ac:dyDescent="0.55000000000000004">
      <c r="A56" s="59"/>
      <c r="B56" s="5"/>
      <c r="C56" s="5"/>
    </row>
    <row r="57" spans="1:3" x14ac:dyDescent="0.55000000000000004">
      <c r="A57" s="59"/>
      <c r="B57" s="5"/>
      <c r="C57" s="5"/>
    </row>
    <row r="58" spans="1:3" x14ac:dyDescent="0.55000000000000004">
      <c r="A58" s="59"/>
      <c r="B58" s="5"/>
      <c r="C58" s="5"/>
    </row>
    <row r="59" spans="1:3" x14ac:dyDescent="0.55000000000000004">
      <c r="A59" s="59"/>
      <c r="B59" s="5"/>
      <c r="C59" s="5"/>
    </row>
    <row r="60" spans="1:3" x14ac:dyDescent="0.55000000000000004">
      <c r="A60" s="59"/>
      <c r="B60" s="5"/>
      <c r="C60" s="5"/>
    </row>
    <row r="61" spans="1:3" x14ac:dyDescent="0.55000000000000004">
      <c r="A61" s="59"/>
      <c r="B61" s="5"/>
      <c r="C61" s="5"/>
    </row>
    <row r="62" spans="1:3" x14ac:dyDescent="0.55000000000000004">
      <c r="A62" s="59"/>
      <c r="B62" s="5"/>
      <c r="C62" s="5"/>
    </row>
    <row r="63" spans="1:3" x14ac:dyDescent="0.55000000000000004">
      <c r="A63" s="59"/>
      <c r="B63" s="5"/>
      <c r="C63" s="5"/>
    </row>
    <row r="64" spans="1:3" x14ac:dyDescent="0.55000000000000004">
      <c r="A64" s="59"/>
      <c r="B64" s="5"/>
      <c r="C64" s="5"/>
    </row>
    <row r="65" spans="1:5" x14ac:dyDescent="0.55000000000000004">
      <c r="A65" s="59"/>
      <c r="B65" s="5" t="s">
        <v>62</v>
      </c>
      <c r="C65" s="5"/>
      <c r="D65" s="2">
        <f>28*7</f>
        <v>196</v>
      </c>
    </row>
    <row r="66" spans="1:5" x14ac:dyDescent="0.55000000000000004">
      <c r="A66" s="59"/>
      <c r="B66" s="5" t="s">
        <v>63</v>
      </c>
      <c r="C66" s="5"/>
      <c r="D66" s="2" t="s">
        <v>833</v>
      </c>
      <c r="E66" s="1" t="s">
        <v>834</v>
      </c>
    </row>
    <row r="67" spans="1:5" x14ac:dyDescent="0.55000000000000004">
      <c r="A67" s="59" t="s">
        <v>65</v>
      </c>
      <c r="B67" s="59"/>
      <c r="C67" s="5"/>
    </row>
    <row r="68" spans="1:5" x14ac:dyDescent="0.55000000000000004">
      <c r="A68" s="3" t="s">
        <v>67</v>
      </c>
    </row>
    <row r="69" spans="1:5" x14ac:dyDescent="0.55000000000000004">
      <c r="A69" s="1" t="s">
        <v>68</v>
      </c>
      <c r="C69" s="1">
        <v>26</v>
      </c>
      <c r="D69" s="2">
        <v>26</v>
      </c>
    </row>
    <row r="70" spans="1:5" x14ac:dyDescent="0.55000000000000004">
      <c r="B70" s="1" t="s">
        <v>94</v>
      </c>
    </row>
    <row r="71" spans="1:5" x14ac:dyDescent="0.55000000000000004">
      <c r="C71" s="5" t="s">
        <v>835</v>
      </c>
      <c r="D71" s="7">
        <v>24.1</v>
      </c>
      <c r="E71" s="10">
        <v>7.7</v>
      </c>
    </row>
    <row r="72" spans="1:5" x14ac:dyDescent="0.55000000000000004">
      <c r="C72" s="5" t="s">
        <v>836</v>
      </c>
      <c r="D72" s="7">
        <v>13.1</v>
      </c>
      <c r="E72" s="10">
        <v>9.4</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AMJ69"/>
  <sheetViews>
    <sheetView topLeftCell="A19" zoomScale="90" zoomScaleNormal="90" workbookViewId="0">
      <selection activeCell="D36" sqref="D36"/>
    </sheetView>
  </sheetViews>
  <sheetFormatPr baseColWidth="10" defaultColWidth="11.41796875" defaultRowHeight="14.4" x14ac:dyDescent="0.55000000000000004"/>
  <cols>
    <col min="1" max="1" width="10.83984375" style="1" customWidth="1"/>
    <col min="2" max="2" width="18.83984375" style="1" customWidth="1"/>
    <col min="3" max="3" width="53.15625" style="1" customWidth="1"/>
    <col min="4" max="4" width="56.15625" style="2" customWidth="1"/>
    <col min="5" max="1024" width="11.41796875" style="1"/>
  </cols>
  <sheetData>
    <row r="1" spans="1:4" x14ac:dyDescent="0.55000000000000004">
      <c r="A1" s="3" t="s">
        <v>0</v>
      </c>
      <c r="D1" s="2" t="s">
        <v>837</v>
      </c>
    </row>
    <row r="2" spans="1:4" x14ac:dyDescent="0.55000000000000004">
      <c r="A2" s="58" t="s">
        <v>2</v>
      </c>
      <c r="B2" s="58"/>
      <c r="D2" s="2" t="s">
        <v>838</v>
      </c>
    </row>
    <row r="3" spans="1:4" x14ac:dyDescent="0.55000000000000004">
      <c r="A3" s="58"/>
      <c r="B3" s="58"/>
      <c r="C3" s="5" t="s">
        <v>4</v>
      </c>
      <c r="D3" s="2" t="s">
        <v>839</v>
      </c>
    </row>
    <row r="4" spans="1:4" x14ac:dyDescent="0.55000000000000004">
      <c r="A4" s="58"/>
      <c r="B4" s="58"/>
      <c r="C4" s="5" t="s">
        <v>6</v>
      </c>
      <c r="D4" s="2">
        <v>2011</v>
      </c>
    </row>
    <row r="5" spans="1:4" x14ac:dyDescent="0.55000000000000004">
      <c r="A5" s="58"/>
      <c r="B5" s="58"/>
      <c r="C5" s="5" t="s">
        <v>7</v>
      </c>
      <c r="D5" s="2" t="s">
        <v>840</v>
      </c>
    </row>
    <row r="6" spans="1:4" x14ac:dyDescent="0.55000000000000004">
      <c r="A6" s="58"/>
      <c r="B6" s="58"/>
      <c r="C6" s="5" t="s">
        <v>9</v>
      </c>
      <c r="D6" s="2" t="s">
        <v>841</v>
      </c>
    </row>
    <row r="7" spans="1:4" x14ac:dyDescent="0.55000000000000004">
      <c r="A7" s="58"/>
      <c r="B7" s="58"/>
      <c r="C7" s="5" t="s">
        <v>11</v>
      </c>
      <c r="D7" s="2" t="s">
        <v>12</v>
      </c>
    </row>
    <row r="8" spans="1:4" x14ac:dyDescent="0.55000000000000004">
      <c r="A8" s="59" t="s">
        <v>13</v>
      </c>
      <c r="B8" s="59"/>
      <c r="C8" s="5"/>
    </row>
    <row r="9" spans="1:4" x14ac:dyDescent="0.55000000000000004">
      <c r="A9" s="58"/>
      <c r="B9" s="58"/>
      <c r="C9" s="5" t="s">
        <v>14</v>
      </c>
      <c r="D9" s="2" t="s">
        <v>842</v>
      </c>
    </row>
    <row r="10" spans="1:4" x14ac:dyDescent="0.55000000000000004">
      <c r="A10" s="58"/>
      <c r="B10" s="58"/>
      <c r="C10" s="5" t="s">
        <v>16</v>
      </c>
      <c r="D10" s="2" t="s">
        <v>17</v>
      </c>
    </row>
    <row r="11" spans="1:4" x14ac:dyDescent="0.55000000000000004">
      <c r="A11" s="58"/>
      <c r="B11" s="58"/>
      <c r="C11" s="5" t="s">
        <v>19</v>
      </c>
      <c r="D11" s="2" t="s">
        <v>20</v>
      </c>
    </row>
    <row r="12" spans="1:4" x14ac:dyDescent="0.55000000000000004">
      <c r="A12" s="58"/>
      <c r="B12" s="58"/>
      <c r="C12" s="5" t="s">
        <v>21</v>
      </c>
      <c r="D12" s="2" t="s">
        <v>20</v>
      </c>
    </row>
    <row r="13" spans="1:4" x14ac:dyDescent="0.55000000000000004">
      <c r="A13" s="58"/>
      <c r="B13" s="58"/>
      <c r="C13" s="5" t="s">
        <v>22</v>
      </c>
      <c r="D13" s="2" t="s">
        <v>843</v>
      </c>
    </row>
    <row r="14" spans="1:4" x14ac:dyDescent="0.55000000000000004">
      <c r="A14" s="59" t="s">
        <v>24</v>
      </c>
      <c r="B14" s="59"/>
      <c r="C14" s="5"/>
    </row>
    <row r="15" spans="1:4" x14ac:dyDescent="0.55000000000000004">
      <c r="A15" s="58"/>
      <c r="B15" s="58"/>
      <c r="C15" s="5" t="s">
        <v>25</v>
      </c>
      <c r="D15" s="2" t="s">
        <v>87</v>
      </c>
    </row>
    <row r="16" spans="1:4" x14ac:dyDescent="0.55000000000000004">
      <c r="A16" s="58"/>
      <c r="B16" s="58"/>
      <c r="C16" s="5" t="s">
        <v>27</v>
      </c>
      <c r="D16" s="2" t="s">
        <v>20</v>
      </c>
    </row>
    <row r="17" spans="1:5" x14ac:dyDescent="0.55000000000000004">
      <c r="A17" s="59" t="s">
        <v>29</v>
      </c>
      <c r="B17" s="59"/>
      <c r="C17" s="5"/>
    </row>
    <row r="18" spans="1:5" ht="26.1" x14ac:dyDescent="0.55000000000000004">
      <c r="A18" s="58"/>
      <c r="B18" s="58"/>
      <c r="C18" s="5" t="s">
        <v>30</v>
      </c>
      <c r="D18" s="2" t="s">
        <v>844</v>
      </c>
    </row>
    <row r="19" spans="1:5" x14ac:dyDescent="0.55000000000000004">
      <c r="A19" s="58"/>
      <c r="B19" s="58"/>
      <c r="C19" s="5" t="s">
        <v>32</v>
      </c>
      <c r="D19" s="2" t="s">
        <v>20</v>
      </c>
    </row>
    <row r="20" spans="1:5" x14ac:dyDescent="0.55000000000000004">
      <c r="A20" s="59" t="s">
        <v>34</v>
      </c>
      <c r="B20" s="59"/>
      <c r="C20" s="5"/>
      <c r="D20" s="2" t="s">
        <v>35</v>
      </c>
    </row>
    <row r="21" spans="1:5" x14ac:dyDescent="0.55000000000000004">
      <c r="A21" s="58"/>
      <c r="B21" s="58"/>
      <c r="C21" s="5" t="s">
        <v>36</v>
      </c>
      <c r="D21" s="2" t="s">
        <v>20</v>
      </c>
    </row>
    <row r="22" spans="1:5" x14ac:dyDescent="0.55000000000000004">
      <c r="A22" s="58"/>
      <c r="B22" s="58"/>
      <c r="C22" s="5" t="s">
        <v>37</v>
      </c>
      <c r="D22" s="2">
        <v>294</v>
      </c>
    </row>
    <row r="23" spans="1:5" x14ac:dyDescent="0.55000000000000004">
      <c r="A23" s="58"/>
      <c r="B23" s="58"/>
      <c r="C23" s="5" t="s">
        <v>38</v>
      </c>
      <c r="D23" s="2" t="s">
        <v>20</v>
      </c>
    </row>
    <row r="24" spans="1:5" x14ac:dyDescent="0.55000000000000004">
      <c r="A24" s="58"/>
      <c r="B24" s="58"/>
      <c r="C24" s="5" t="s">
        <v>39</v>
      </c>
      <c r="D24" s="2" t="s">
        <v>20</v>
      </c>
    </row>
    <row r="25" spans="1:5" x14ac:dyDescent="0.55000000000000004">
      <c r="A25" s="58"/>
      <c r="B25" s="58"/>
      <c r="C25" s="5" t="s">
        <v>40</v>
      </c>
      <c r="D25" s="32">
        <v>41.2</v>
      </c>
    </row>
    <row r="26" spans="1:5" x14ac:dyDescent="0.55000000000000004">
      <c r="A26" s="58"/>
      <c r="B26" s="58"/>
      <c r="C26" s="5" t="s">
        <v>41</v>
      </c>
      <c r="D26" s="32">
        <v>68.599999999999994</v>
      </c>
    </row>
    <row r="27" spans="1:5" x14ac:dyDescent="0.55000000000000004">
      <c r="A27" s="58"/>
      <c r="B27" s="58"/>
      <c r="C27" s="5" t="s">
        <v>42</v>
      </c>
      <c r="D27" s="32">
        <v>8.6999999999999993</v>
      </c>
      <c r="E27" s="18"/>
    </row>
    <row r="28" spans="1:5" x14ac:dyDescent="0.55000000000000004">
      <c r="A28" s="58"/>
      <c r="B28" s="58"/>
      <c r="C28" s="5" t="s">
        <v>43</v>
      </c>
      <c r="D28" s="33" t="s">
        <v>20</v>
      </c>
    </row>
    <row r="29" spans="1:5" x14ac:dyDescent="0.55000000000000004">
      <c r="A29" s="58"/>
      <c r="B29" s="58"/>
      <c r="C29" s="5" t="s">
        <v>44</v>
      </c>
      <c r="D29" s="2" t="s">
        <v>20</v>
      </c>
    </row>
    <row r="30" spans="1:5" x14ac:dyDescent="0.55000000000000004">
      <c r="A30" s="58"/>
      <c r="B30" s="58"/>
      <c r="C30" s="5" t="s">
        <v>45</v>
      </c>
      <c r="D30" s="2" t="s">
        <v>20</v>
      </c>
    </row>
    <row r="31" spans="1:5" x14ac:dyDescent="0.55000000000000004">
      <c r="A31" s="58"/>
      <c r="B31" s="58"/>
      <c r="C31" s="5" t="s">
        <v>46</v>
      </c>
      <c r="D31" s="2" t="s">
        <v>20</v>
      </c>
    </row>
    <row r="32" spans="1:5" x14ac:dyDescent="0.55000000000000004">
      <c r="A32" s="59" t="s">
        <v>47</v>
      </c>
      <c r="B32" s="59"/>
      <c r="C32" s="5"/>
    </row>
    <row r="33" spans="1:10" ht="39" x14ac:dyDescent="0.55000000000000004">
      <c r="A33" s="58"/>
      <c r="B33" s="58"/>
      <c r="C33" s="5" t="s">
        <v>48</v>
      </c>
      <c r="D33" s="2" t="s">
        <v>845</v>
      </c>
    </row>
    <row r="34" spans="1:10" x14ac:dyDescent="0.55000000000000004">
      <c r="A34" s="59" t="s">
        <v>50</v>
      </c>
      <c r="B34" s="59"/>
      <c r="C34" s="5"/>
    </row>
    <row r="35" spans="1:10" x14ac:dyDescent="0.55000000000000004">
      <c r="A35" s="8"/>
      <c r="B35" s="8"/>
      <c r="C35" s="5"/>
    </row>
    <row r="36" spans="1:10" x14ac:dyDescent="0.55000000000000004">
      <c r="A36" s="59"/>
      <c r="B36" s="5" t="s">
        <v>59</v>
      </c>
      <c r="C36" s="5"/>
      <c r="D36" s="2" t="s">
        <v>51</v>
      </c>
      <c r="E36" s="1" t="s">
        <v>52</v>
      </c>
      <c r="F36" s="1" t="s">
        <v>53</v>
      </c>
      <c r="G36" s="1" t="s">
        <v>54</v>
      </c>
      <c r="H36" s="1" t="s">
        <v>55</v>
      </c>
      <c r="I36" s="1" t="s">
        <v>56</v>
      </c>
      <c r="J36" s="1" t="s">
        <v>57</v>
      </c>
    </row>
    <row r="37" spans="1:10" x14ac:dyDescent="0.55000000000000004">
      <c r="A37" s="59"/>
      <c r="B37" s="5"/>
    </row>
    <row r="38" spans="1:10" x14ac:dyDescent="0.55000000000000004">
      <c r="A38" s="59"/>
      <c r="B38" s="5"/>
    </row>
    <row r="39" spans="1:10" x14ac:dyDescent="0.55000000000000004">
      <c r="A39" s="59"/>
      <c r="B39" s="5"/>
    </row>
    <row r="40" spans="1:10" x14ac:dyDescent="0.55000000000000004">
      <c r="A40" s="59"/>
      <c r="B40" s="5"/>
    </row>
    <row r="41" spans="1:10" x14ac:dyDescent="0.55000000000000004">
      <c r="A41" s="59"/>
      <c r="B41" s="5"/>
    </row>
    <row r="42" spans="1:10" x14ac:dyDescent="0.55000000000000004">
      <c r="A42" s="59"/>
      <c r="B42" s="5"/>
    </row>
    <row r="43" spans="1:10" x14ac:dyDescent="0.55000000000000004">
      <c r="A43" s="59"/>
      <c r="B43" s="5"/>
    </row>
    <row r="44" spans="1:10" x14ac:dyDescent="0.55000000000000004">
      <c r="A44" s="59"/>
      <c r="B44" s="5"/>
    </row>
    <row r="45" spans="1:10" x14ac:dyDescent="0.55000000000000004">
      <c r="A45" s="59"/>
      <c r="B45" s="5" t="s">
        <v>61</v>
      </c>
      <c r="C45" s="5"/>
    </row>
    <row r="46" spans="1:10" x14ac:dyDescent="0.55000000000000004">
      <c r="A46" s="59"/>
      <c r="B46" s="5"/>
      <c r="C46" s="5" t="s">
        <v>846</v>
      </c>
      <c r="D46" s="7">
        <v>37.9</v>
      </c>
    </row>
    <row r="47" spans="1:10" x14ac:dyDescent="0.55000000000000004">
      <c r="A47" s="59"/>
      <c r="B47" s="5"/>
      <c r="C47" s="5" t="s">
        <v>847</v>
      </c>
      <c r="D47" s="7">
        <v>52.1</v>
      </c>
    </row>
    <row r="48" spans="1:10" x14ac:dyDescent="0.55000000000000004">
      <c r="A48" s="59"/>
      <c r="B48" s="5"/>
      <c r="C48" s="5" t="s">
        <v>848</v>
      </c>
      <c r="D48" s="7">
        <v>35</v>
      </c>
    </row>
    <row r="49" spans="1:4" x14ac:dyDescent="0.55000000000000004">
      <c r="A49" s="59"/>
      <c r="B49" s="5"/>
      <c r="C49" s="5" t="s">
        <v>849</v>
      </c>
      <c r="D49" s="7">
        <v>48.5</v>
      </c>
    </row>
    <row r="50" spans="1:4" x14ac:dyDescent="0.55000000000000004">
      <c r="A50" s="59"/>
      <c r="B50" s="5"/>
      <c r="C50" s="5" t="s">
        <v>850</v>
      </c>
      <c r="D50" s="7">
        <v>39.200000000000003</v>
      </c>
    </row>
    <row r="51" spans="1:4" x14ac:dyDescent="0.55000000000000004">
      <c r="A51" s="59"/>
      <c r="B51" s="5"/>
      <c r="C51" s="5" t="s">
        <v>851</v>
      </c>
      <c r="D51" s="7">
        <v>50</v>
      </c>
    </row>
    <row r="52" spans="1:4" x14ac:dyDescent="0.55000000000000004">
      <c r="A52" s="59"/>
      <c r="B52" s="5"/>
      <c r="C52" s="5" t="s">
        <v>852</v>
      </c>
      <c r="D52" s="7">
        <v>39.1</v>
      </c>
    </row>
    <row r="53" spans="1:4" x14ac:dyDescent="0.55000000000000004">
      <c r="A53" s="59"/>
      <c r="B53" s="5"/>
      <c r="C53" s="5" t="s">
        <v>853</v>
      </c>
      <c r="D53" s="7">
        <v>51.4</v>
      </c>
    </row>
    <row r="54" spans="1:4" x14ac:dyDescent="0.55000000000000004">
      <c r="A54" s="59"/>
      <c r="B54" s="5"/>
      <c r="C54" s="5" t="s">
        <v>79</v>
      </c>
      <c r="D54" s="2">
        <v>1</v>
      </c>
    </row>
    <row r="55" spans="1:4" x14ac:dyDescent="0.55000000000000004">
      <c r="A55" s="59"/>
      <c r="B55" s="5"/>
      <c r="C55" s="5"/>
    </row>
    <row r="56" spans="1:4" x14ac:dyDescent="0.55000000000000004">
      <c r="A56" s="59"/>
      <c r="B56" s="5"/>
      <c r="C56" s="5"/>
    </row>
    <row r="57" spans="1:4" x14ac:dyDescent="0.55000000000000004">
      <c r="A57" s="59"/>
      <c r="B57" s="5"/>
      <c r="C57" s="5"/>
    </row>
    <row r="58" spans="1:4" x14ac:dyDescent="0.55000000000000004">
      <c r="A58" s="59"/>
      <c r="B58" s="5"/>
      <c r="C58" s="5"/>
    </row>
    <row r="59" spans="1:4" x14ac:dyDescent="0.55000000000000004">
      <c r="A59" s="59"/>
      <c r="B59" s="5"/>
      <c r="C59" s="5"/>
    </row>
    <row r="60" spans="1:4" x14ac:dyDescent="0.55000000000000004">
      <c r="A60" s="59"/>
      <c r="B60" s="5"/>
      <c r="C60" s="5"/>
    </row>
    <row r="61" spans="1:4" x14ac:dyDescent="0.55000000000000004">
      <c r="A61" s="59"/>
      <c r="B61" s="5"/>
      <c r="C61" s="5"/>
    </row>
    <row r="62" spans="1:4" x14ac:dyDescent="0.55000000000000004">
      <c r="A62" s="59"/>
      <c r="B62" s="5"/>
      <c r="C62" s="5"/>
    </row>
    <row r="63" spans="1:4" x14ac:dyDescent="0.55000000000000004">
      <c r="A63" s="59"/>
      <c r="B63" s="5"/>
      <c r="C63" s="5"/>
    </row>
    <row r="64" spans="1:4" x14ac:dyDescent="0.55000000000000004">
      <c r="A64" s="59"/>
      <c r="B64" s="5"/>
      <c r="C64" s="5"/>
    </row>
    <row r="65" spans="1:4" x14ac:dyDescent="0.55000000000000004">
      <c r="A65" s="59"/>
      <c r="B65" s="5" t="s">
        <v>62</v>
      </c>
      <c r="C65" s="5"/>
      <c r="D65" s="2">
        <v>182</v>
      </c>
    </row>
    <row r="66" spans="1:4" x14ac:dyDescent="0.55000000000000004">
      <c r="A66" s="59"/>
      <c r="B66" s="5" t="s">
        <v>63</v>
      </c>
      <c r="C66" s="5"/>
      <c r="D66" s="2" t="s">
        <v>20</v>
      </c>
    </row>
    <row r="67" spans="1:4" x14ac:dyDescent="0.55000000000000004">
      <c r="A67" s="59" t="s">
        <v>65</v>
      </c>
      <c r="B67" s="59"/>
      <c r="C67" s="5"/>
    </row>
    <row r="68" spans="1:4" x14ac:dyDescent="0.55000000000000004">
      <c r="A68" s="3" t="s">
        <v>67</v>
      </c>
      <c r="D68" s="2" t="s">
        <v>20</v>
      </c>
    </row>
    <row r="69" spans="1:4" x14ac:dyDescent="0.55000000000000004">
      <c r="A69" s="1" t="s">
        <v>68</v>
      </c>
      <c r="C69" s="1">
        <v>14</v>
      </c>
      <c r="D69" s="2">
        <v>18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AMJ72"/>
  <sheetViews>
    <sheetView topLeftCell="A34" zoomScale="90" zoomScaleNormal="90" workbookViewId="0">
      <selection activeCell="D26" sqref="D26"/>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0.41796875" style="1" customWidth="1"/>
    <col min="6" max="6" width="4.83984375" style="1" customWidth="1"/>
    <col min="7" max="1024" width="11.41796875" style="1"/>
  </cols>
  <sheetData>
    <row r="1" spans="1:4" x14ac:dyDescent="0.55000000000000004">
      <c r="A1" s="3" t="s">
        <v>0</v>
      </c>
      <c r="D1" s="2" t="s">
        <v>854</v>
      </c>
    </row>
    <row r="2" spans="1:4" x14ac:dyDescent="0.55000000000000004">
      <c r="A2" s="58" t="s">
        <v>2</v>
      </c>
      <c r="B2" s="58"/>
      <c r="D2" s="2" t="s">
        <v>855</v>
      </c>
    </row>
    <row r="3" spans="1:4" x14ac:dyDescent="0.55000000000000004">
      <c r="A3" s="58"/>
      <c r="B3" s="58"/>
      <c r="C3" s="5" t="s">
        <v>4</v>
      </c>
      <c r="D3" s="2" t="s">
        <v>856</v>
      </c>
    </row>
    <row r="4" spans="1:4" x14ac:dyDescent="0.55000000000000004">
      <c r="A4" s="58"/>
      <c r="B4" s="58"/>
      <c r="C4" s="5" t="s">
        <v>6</v>
      </c>
      <c r="D4" s="2">
        <v>2001</v>
      </c>
    </row>
    <row r="5" spans="1:4" ht="26.1" x14ac:dyDescent="0.55000000000000004">
      <c r="A5" s="58"/>
      <c r="B5" s="58"/>
      <c r="C5" s="5" t="s">
        <v>7</v>
      </c>
      <c r="D5" s="2" t="s">
        <v>857</v>
      </c>
    </row>
    <row r="6" spans="1:4" x14ac:dyDescent="0.55000000000000004">
      <c r="A6" s="58"/>
      <c r="B6" s="58"/>
      <c r="C6" s="5" t="s">
        <v>9</v>
      </c>
      <c r="D6" s="2" t="s">
        <v>858</v>
      </c>
    </row>
    <row r="7" spans="1:4" x14ac:dyDescent="0.55000000000000004">
      <c r="A7" s="58"/>
      <c r="B7" s="58"/>
      <c r="C7" s="5" t="s">
        <v>11</v>
      </c>
      <c r="D7" s="2" t="s">
        <v>431</v>
      </c>
    </row>
    <row r="8" spans="1:4" x14ac:dyDescent="0.55000000000000004">
      <c r="A8" s="59" t="s">
        <v>13</v>
      </c>
      <c r="B8" s="59"/>
      <c r="C8" s="5"/>
    </row>
    <row r="9" spans="1:4" ht="26.1" x14ac:dyDescent="0.55000000000000004">
      <c r="A9" s="58"/>
      <c r="B9" s="58"/>
      <c r="C9" s="5" t="s">
        <v>14</v>
      </c>
      <c r="D9" s="2" t="s">
        <v>859</v>
      </c>
    </row>
    <row r="10" spans="1:4" x14ac:dyDescent="0.55000000000000004">
      <c r="A10" s="58"/>
      <c r="B10" s="58"/>
      <c r="C10" s="5" t="s">
        <v>16</v>
      </c>
      <c r="D10" s="2" t="s">
        <v>454</v>
      </c>
    </row>
    <row r="11" spans="1:4" x14ac:dyDescent="0.55000000000000004">
      <c r="A11" s="58"/>
      <c r="B11" s="58"/>
      <c r="C11" s="5" t="s">
        <v>19</v>
      </c>
      <c r="D11" s="2" t="s">
        <v>20</v>
      </c>
    </row>
    <row r="12" spans="1:4" x14ac:dyDescent="0.55000000000000004">
      <c r="A12" s="58"/>
      <c r="B12" s="58"/>
      <c r="C12" s="5" t="s">
        <v>21</v>
      </c>
      <c r="D12" s="2" t="s">
        <v>20</v>
      </c>
    </row>
    <row r="13" spans="1:4" x14ac:dyDescent="0.55000000000000004">
      <c r="A13" s="58"/>
      <c r="B13" s="58"/>
      <c r="C13" s="5" t="s">
        <v>22</v>
      </c>
      <c r="D13" s="2" t="s">
        <v>20</v>
      </c>
    </row>
    <row r="14" spans="1:4" x14ac:dyDescent="0.55000000000000004">
      <c r="A14" s="59" t="s">
        <v>24</v>
      </c>
      <c r="B14" s="59"/>
      <c r="C14" s="5"/>
    </row>
    <row r="15" spans="1:4" x14ac:dyDescent="0.55000000000000004">
      <c r="A15" s="58"/>
      <c r="B15" s="58"/>
      <c r="C15" s="5" t="s">
        <v>25</v>
      </c>
      <c r="D15" s="2" t="s">
        <v>87</v>
      </c>
    </row>
    <row r="16" spans="1:4" x14ac:dyDescent="0.55000000000000004">
      <c r="A16" s="58"/>
      <c r="B16" s="58"/>
      <c r="C16" s="5" t="s">
        <v>27</v>
      </c>
      <c r="D16" s="2" t="s">
        <v>860</v>
      </c>
    </row>
    <row r="17" spans="1:6" x14ac:dyDescent="0.55000000000000004">
      <c r="A17" s="59" t="s">
        <v>29</v>
      </c>
      <c r="B17" s="59"/>
      <c r="C17" s="5"/>
    </row>
    <row r="18" spans="1:6" x14ac:dyDescent="0.55000000000000004">
      <c r="A18" s="58"/>
      <c r="B18" s="58"/>
      <c r="C18" s="5" t="s">
        <v>30</v>
      </c>
      <c r="D18" s="2" t="s">
        <v>31</v>
      </c>
    </row>
    <row r="19" spans="1:6" x14ac:dyDescent="0.55000000000000004">
      <c r="A19" s="58"/>
      <c r="B19" s="58"/>
      <c r="C19" s="5" t="s">
        <v>32</v>
      </c>
      <c r="D19" s="2" t="s">
        <v>20</v>
      </c>
    </row>
    <row r="20" spans="1:6" x14ac:dyDescent="0.55000000000000004">
      <c r="A20" s="59" t="s">
        <v>34</v>
      </c>
      <c r="B20" s="59"/>
      <c r="C20" s="5"/>
      <c r="D20" s="2" t="s">
        <v>861</v>
      </c>
      <c r="E20" s="1" t="s">
        <v>862</v>
      </c>
      <c r="F20" s="1" t="s">
        <v>35</v>
      </c>
    </row>
    <row r="21" spans="1:6" x14ac:dyDescent="0.55000000000000004">
      <c r="A21" s="58"/>
      <c r="B21" s="58"/>
      <c r="C21" s="5" t="s">
        <v>36</v>
      </c>
      <c r="D21" s="2">
        <v>27</v>
      </c>
      <c r="E21" s="1">
        <v>26</v>
      </c>
      <c r="F21" s="1">
        <f>SUM(D21:E21)</f>
        <v>53</v>
      </c>
    </row>
    <row r="22" spans="1:6" x14ac:dyDescent="0.55000000000000004">
      <c r="A22" s="58"/>
      <c r="B22" s="58"/>
      <c r="C22" s="5" t="s">
        <v>37</v>
      </c>
      <c r="D22" s="2">
        <v>27</v>
      </c>
      <c r="E22" s="1">
        <v>26</v>
      </c>
      <c r="F22" s="1">
        <f>SUM(D22:E22)</f>
        <v>53</v>
      </c>
    </row>
    <row r="23" spans="1:6" x14ac:dyDescent="0.55000000000000004">
      <c r="A23" s="58"/>
      <c r="B23" s="58"/>
      <c r="C23" s="5" t="s">
        <v>38</v>
      </c>
      <c r="D23" s="2">
        <v>26</v>
      </c>
      <c r="E23" s="1">
        <v>15</v>
      </c>
      <c r="F23" s="1">
        <f>SUM(D23:E23)</f>
        <v>41</v>
      </c>
    </row>
    <row r="24" spans="1:6" x14ac:dyDescent="0.55000000000000004">
      <c r="A24" s="58"/>
      <c r="B24" s="58"/>
      <c r="C24" s="5" t="s">
        <v>39</v>
      </c>
      <c r="D24" s="2">
        <v>0</v>
      </c>
      <c r="E24" s="1">
        <v>1</v>
      </c>
      <c r="F24" s="1">
        <f>SUM(D24:E24)</f>
        <v>1</v>
      </c>
    </row>
    <row r="25" spans="1:6" x14ac:dyDescent="0.55000000000000004">
      <c r="A25" s="58"/>
      <c r="B25" s="58"/>
      <c r="C25" s="5" t="s">
        <v>40</v>
      </c>
      <c r="D25" s="7"/>
      <c r="E25" s="10"/>
      <c r="F25" s="10">
        <f>27/F21</f>
        <v>0.50943396226415094</v>
      </c>
    </row>
    <row r="26" spans="1:6" x14ac:dyDescent="0.55000000000000004">
      <c r="A26" s="58"/>
      <c r="B26" s="58"/>
      <c r="C26" s="5" t="s">
        <v>41</v>
      </c>
      <c r="D26" s="7">
        <v>71</v>
      </c>
      <c r="E26" s="10">
        <v>67</v>
      </c>
      <c r="F26" s="10">
        <f>(D26*D21+E26*E21)/F21</f>
        <v>69.037735849056602</v>
      </c>
    </row>
    <row r="27" spans="1:6" x14ac:dyDescent="0.55000000000000004">
      <c r="A27" s="58"/>
      <c r="B27" s="58"/>
      <c r="C27" s="5" t="s">
        <v>42</v>
      </c>
      <c r="D27" s="2" t="s">
        <v>20</v>
      </c>
    </row>
    <row r="28" spans="1:6" x14ac:dyDescent="0.55000000000000004">
      <c r="A28" s="58"/>
      <c r="B28" s="58"/>
      <c r="C28" s="5" t="s">
        <v>43</v>
      </c>
      <c r="D28" s="2" t="s">
        <v>20</v>
      </c>
    </row>
    <row r="29" spans="1:6" x14ac:dyDescent="0.55000000000000004">
      <c r="A29" s="58"/>
      <c r="B29" s="58"/>
      <c r="C29" s="5" t="s">
        <v>44</v>
      </c>
      <c r="D29" s="2" t="s">
        <v>20</v>
      </c>
    </row>
    <row r="30" spans="1:6" x14ac:dyDescent="0.55000000000000004">
      <c r="A30" s="58"/>
      <c r="B30" s="58"/>
      <c r="C30" s="5" t="s">
        <v>45</v>
      </c>
      <c r="D30" s="2" t="s">
        <v>20</v>
      </c>
    </row>
    <row r="31" spans="1:6" x14ac:dyDescent="0.55000000000000004">
      <c r="A31" s="58"/>
      <c r="B31" s="58"/>
      <c r="C31" s="5" t="s">
        <v>46</v>
      </c>
      <c r="D31" s="2" t="s">
        <v>20</v>
      </c>
    </row>
    <row r="32" spans="1:6" x14ac:dyDescent="0.55000000000000004">
      <c r="A32" s="59" t="s">
        <v>47</v>
      </c>
      <c r="B32" s="59"/>
      <c r="C32" s="5"/>
    </row>
    <row r="33" spans="1:10" ht="39" x14ac:dyDescent="0.55000000000000004">
      <c r="A33" s="58"/>
      <c r="B33" s="58"/>
      <c r="C33" s="5" t="s">
        <v>48</v>
      </c>
      <c r="D33" s="2" t="s">
        <v>863</v>
      </c>
    </row>
    <row r="34" spans="1:10" x14ac:dyDescent="0.55000000000000004">
      <c r="A34" s="59" t="s">
        <v>50</v>
      </c>
      <c r="B34" s="59"/>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9"/>
      <c r="B36" s="5" t="s">
        <v>59</v>
      </c>
      <c r="C36" s="5"/>
    </row>
    <row r="37" spans="1:10" x14ac:dyDescent="0.55000000000000004">
      <c r="A37" s="59"/>
      <c r="B37" s="5"/>
    </row>
    <row r="38" spans="1:10" x14ac:dyDescent="0.55000000000000004">
      <c r="A38" s="59"/>
      <c r="B38" s="5"/>
    </row>
    <row r="39" spans="1:10" x14ac:dyDescent="0.55000000000000004">
      <c r="A39" s="59"/>
      <c r="B39" s="5"/>
    </row>
    <row r="40" spans="1:10" x14ac:dyDescent="0.55000000000000004">
      <c r="A40" s="59"/>
      <c r="B40" s="5"/>
    </row>
    <row r="41" spans="1:10" x14ac:dyDescent="0.55000000000000004">
      <c r="A41" s="59"/>
      <c r="B41" s="5"/>
      <c r="C41" s="5"/>
    </row>
    <row r="42" spans="1:10" x14ac:dyDescent="0.55000000000000004">
      <c r="A42" s="59"/>
      <c r="B42" s="5"/>
      <c r="C42" s="5"/>
    </row>
    <row r="43" spans="1:10" x14ac:dyDescent="0.55000000000000004">
      <c r="A43" s="59"/>
      <c r="B43" s="5"/>
      <c r="C43" s="5"/>
    </row>
    <row r="44" spans="1:10" x14ac:dyDescent="0.55000000000000004">
      <c r="A44" s="59"/>
      <c r="B44" s="5"/>
      <c r="C44" s="5"/>
    </row>
    <row r="45" spans="1:10" x14ac:dyDescent="0.55000000000000004">
      <c r="A45" s="59"/>
      <c r="B45" s="5" t="s">
        <v>61</v>
      </c>
      <c r="C45" s="5"/>
    </row>
    <row r="46" spans="1:10" x14ac:dyDescent="0.55000000000000004">
      <c r="A46" s="59"/>
      <c r="B46" s="5"/>
      <c r="C46" s="5" t="s">
        <v>864</v>
      </c>
      <c r="D46" s="7">
        <v>1.06235565819861</v>
      </c>
      <c r="E46" s="10">
        <f>F46*SQRT(D23)</f>
        <v>0.98918623358384172</v>
      </c>
      <c r="F46" s="10">
        <v>0.19399538106236</v>
      </c>
      <c r="J46" s="1">
        <v>1.8</v>
      </c>
    </row>
    <row r="47" spans="1:10" x14ac:dyDescent="0.55000000000000004">
      <c r="A47" s="59"/>
      <c r="B47" s="5"/>
      <c r="C47" s="5" t="s">
        <v>865</v>
      </c>
      <c r="D47" s="7">
        <v>0.57736720554272503</v>
      </c>
      <c r="E47" s="10">
        <f>F47*SQRT(E23)</f>
        <v>0.51878298863748218</v>
      </c>
      <c r="F47" s="10">
        <v>0.13394919168591199</v>
      </c>
      <c r="J47" s="1">
        <v>1.4</v>
      </c>
    </row>
    <row r="48" spans="1:10" x14ac:dyDescent="0.55000000000000004">
      <c r="A48" s="59"/>
      <c r="B48" s="5"/>
      <c r="C48" s="5" t="s">
        <v>206</v>
      </c>
      <c r="D48" s="2">
        <v>1</v>
      </c>
    </row>
    <row r="49" spans="1:4" x14ac:dyDescent="0.55000000000000004">
      <c r="A49" s="59"/>
      <c r="B49" s="5"/>
    </row>
    <row r="50" spans="1:4" x14ac:dyDescent="0.55000000000000004">
      <c r="A50" s="59"/>
      <c r="B50" s="5"/>
    </row>
    <row r="51" spans="1:4" x14ac:dyDescent="0.55000000000000004">
      <c r="A51" s="59"/>
      <c r="B51" s="5"/>
    </row>
    <row r="52" spans="1:4" x14ac:dyDescent="0.55000000000000004">
      <c r="A52" s="59"/>
      <c r="B52" s="5"/>
    </row>
    <row r="53" spans="1:4" x14ac:dyDescent="0.55000000000000004">
      <c r="A53" s="59"/>
      <c r="B53" s="5"/>
      <c r="C53" s="5"/>
      <c r="D53" s="7"/>
    </row>
    <row r="54" spans="1:4" x14ac:dyDescent="0.55000000000000004">
      <c r="A54" s="59"/>
      <c r="B54" s="5"/>
    </row>
    <row r="55" spans="1:4" x14ac:dyDescent="0.55000000000000004">
      <c r="A55" s="59"/>
      <c r="B55" s="5"/>
      <c r="C55" s="5"/>
    </row>
    <row r="56" spans="1:4" x14ac:dyDescent="0.55000000000000004">
      <c r="A56" s="59"/>
      <c r="B56" s="5"/>
      <c r="C56" s="5"/>
    </row>
    <row r="57" spans="1:4" x14ac:dyDescent="0.55000000000000004">
      <c r="A57" s="59"/>
      <c r="B57" s="5"/>
      <c r="C57" s="5"/>
    </row>
    <row r="58" spans="1:4" x14ac:dyDescent="0.55000000000000004">
      <c r="A58" s="59"/>
      <c r="B58" s="5"/>
      <c r="C58" s="5"/>
    </row>
    <row r="59" spans="1:4" x14ac:dyDescent="0.55000000000000004">
      <c r="A59" s="59"/>
      <c r="B59" s="5"/>
      <c r="C59" s="5"/>
    </row>
    <row r="60" spans="1:4" x14ac:dyDescent="0.55000000000000004">
      <c r="A60" s="59"/>
      <c r="B60" s="5"/>
      <c r="C60" s="5"/>
    </row>
    <row r="61" spans="1:4" x14ac:dyDescent="0.55000000000000004">
      <c r="A61" s="59"/>
      <c r="B61" s="5"/>
      <c r="C61" s="5"/>
    </row>
    <row r="62" spans="1:4" x14ac:dyDescent="0.55000000000000004">
      <c r="A62" s="59"/>
      <c r="B62" s="5"/>
      <c r="C62" s="5"/>
    </row>
    <row r="63" spans="1:4" x14ac:dyDescent="0.55000000000000004">
      <c r="A63" s="59"/>
      <c r="B63" s="5"/>
      <c r="C63" s="5"/>
    </row>
    <row r="64" spans="1:4" x14ac:dyDescent="0.55000000000000004">
      <c r="A64" s="59"/>
      <c r="B64" s="5"/>
      <c r="C64" s="5"/>
    </row>
    <row r="65" spans="1:4" x14ac:dyDescent="0.55000000000000004">
      <c r="A65" s="59"/>
      <c r="B65" s="5" t="s">
        <v>62</v>
      </c>
      <c r="C65" s="5"/>
      <c r="D65" s="2">
        <f>12*7</f>
        <v>84</v>
      </c>
    </row>
    <row r="66" spans="1:4" x14ac:dyDescent="0.55000000000000004">
      <c r="A66" s="59"/>
      <c r="B66" s="5" t="s">
        <v>63</v>
      </c>
      <c r="C66" s="5"/>
      <c r="D66" s="2" t="s">
        <v>866</v>
      </c>
    </row>
    <row r="67" spans="1:4" x14ac:dyDescent="0.55000000000000004">
      <c r="A67" s="59" t="s">
        <v>65</v>
      </c>
      <c r="B67" s="59"/>
      <c r="C67" s="5"/>
    </row>
    <row r="68" spans="1:4" x14ac:dyDescent="0.55000000000000004">
      <c r="A68" s="3" t="s">
        <v>67</v>
      </c>
    </row>
    <row r="69" spans="1:4" x14ac:dyDescent="0.55000000000000004">
      <c r="A69" s="1" t="s">
        <v>68</v>
      </c>
      <c r="C69" s="1">
        <v>22</v>
      </c>
      <c r="D69" s="2">
        <v>24</v>
      </c>
    </row>
    <row r="70" spans="1:4" x14ac:dyDescent="0.55000000000000004">
      <c r="B70" s="1" t="s">
        <v>94</v>
      </c>
    </row>
    <row r="71" spans="1:4" x14ac:dyDescent="0.55000000000000004">
      <c r="C71" s="5" t="s">
        <v>867</v>
      </c>
      <c r="D71" s="7">
        <v>0.8</v>
      </c>
    </row>
    <row r="72" spans="1:4" x14ac:dyDescent="0.55000000000000004">
      <c r="C72" s="5" t="s">
        <v>868</v>
      </c>
      <c r="D72" s="7">
        <v>0.9</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AMJ69"/>
  <sheetViews>
    <sheetView topLeftCell="A24" zoomScale="90" zoomScaleNormal="90" workbookViewId="0">
      <selection activeCell="D36" sqref="D36"/>
    </sheetView>
  </sheetViews>
  <sheetFormatPr baseColWidth="10" defaultColWidth="11.41796875" defaultRowHeight="14.4" x14ac:dyDescent="0.55000000000000004"/>
  <cols>
    <col min="1" max="1" width="29.83984375" style="1" customWidth="1"/>
    <col min="2" max="2" width="18.83984375" style="1" customWidth="1"/>
    <col min="3" max="3" width="44.15625" style="1" customWidth="1"/>
    <col min="4" max="4" width="56.15625" style="2" customWidth="1"/>
    <col min="5" max="1024" width="11.41796875" style="1"/>
  </cols>
  <sheetData>
    <row r="1" spans="1:4" x14ac:dyDescent="0.55000000000000004">
      <c r="A1" s="3" t="s">
        <v>0</v>
      </c>
      <c r="D1" s="2" t="s">
        <v>69</v>
      </c>
    </row>
    <row r="2" spans="1:4" x14ac:dyDescent="0.55000000000000004">
      <c r="A2" s="5" t="s">
        <v>2</v>
      </c>
      <c r="B2" s="5"/>
      <c r="D2" s="2" t="s">
        <v>869</v>
      </c>
    </row>
    <row r="3" spans="1:4" x14ac:dyDescent="0.55000000000000004">
      <c r="A3" s="5"/>
      <c r="B3" s="5"/>
      <c r="C3" s="5" t="s">
        <v>4</v>
      </c>
      <c r="D3" s="2" t="s">
        <v>870</v>
      </c>
    </row>
    <row r="4" spans="1:4" x14ac:dyDescent="0.55000000000000004">
      <c r="A4" s="5"/>
      <c r="B4" s="5"/>
      <c r="C4" s="5" t="s">
        <v>6</v>
      </c>
      <c r="D4" s="2">
        <v>1989</v>
      </c>
    </row>
    <row r="5" spans="1:4" ht="26.1" x14ac:dyDescent="0.55000000000000004">
      <c r="A5" s="5"/>
      <c r="B5" s="5"/>
      <c r="C5" s="5" t="s">
        <v>7</v>
      </c>
      <c r="D5" s="2" t="s">
        <v>871</v>
      </c>
    </row>
    <row r="6" spans="1:4" x14ac:dyDescent="0.55000000000000004">
      <c r="A6" s="5"/>
      <c r="B6" s="5"/>
      <c r="C6" s="5" t="s">
        <v>9</v>
      </c>
      <c r="D6" s="2" t="s">
        <v>872</v>
      </c>
    </row>
    <row r="7" spans="1:4" x14ac:dyDescent="0.55000000000000004">
      <c r="A7" s="5"/>
      <c r="B7" s="5"/>
      <c r="C7" s="5" t="s">
        <v>11</v>
      </c>
      <c r="D7" s="2" t="s">
        <v>12</v>
      </c>
    </row>
    <row r="8" spans="1:4" x14ac:dyDescent="0.55000000000000004">
      <c r="A8" s="8" t="s">
        <v>13</v>
      </c>
      <c r="B8" s="8"/>
      <c r="C8" s="5"/>
    </row>
    <row r="9" spans="1:4" ht="26.1" x14ac:dyDescent="0.55000000000000004">
      <c r="A9" s="5"/>
      <c r="B9" s="5"/>
      <c r="C9" s="5" t="s">
        <v>14</v>
      </c>
      <c r="D9" s="2" t="s">
        <v>873</v>
      </c>
    </row>
    <row r="10" spans="1:4" x14ac:dyDescent="0.55000000000000004">
      <c r="A10" s="5"/>
      <c r="B10" s="5"/>
      <c r="C10" s="5" t="s">
        <v>16</v>
      </c>
      <c r="D10" s="2" t="s">
        <v>17</v>
      </c>
    </row>
    <row r="11" spans="1:4" x14ac:dyDescent="0.55000000000000004">
      <c r="A11" s="5"/>
      <c r="B11" s="5"/>
      <c r="C11" s="5" t="s">
        <v>19</v>
      </c>
      <c r="D11" s="2" t="s">
        <v>20</v>
      </c>
    </row>
    <row r="12" spans="1:4" x14ac:dyDescent="0.55000000000000004">
      <c r="A12" s="5"/>
      <c r="B12" s="5"/>
      <c r="C12" s="5" t="s">
        <v>21</v>
      </c>
      <c r="D12" s="2" t="s">
        <v>20</v>
      </c>
    </row>
    <row r="13" spans="1:4" x14ac:dyDescent="0.55000000000000004">
      <c r="A13" s="5"/>
      <c r="B13" s="5"/>
      <c r="C13" s="5" t="s">
        <v>22</v>
      </c>
      <c r="D13" s="2" t="s">
        <v>20</v>
      </c>
    </row>
    <row r="14" spans="1:4" x14ac:dyDescent="0.55000000000000004">
      <c r="A14" s="8" t="s">
        <v>24</v>
      </c>
      <c r="B14" s="8"/>
      <c r="C14" s="5"/>
    </row>
    <row r="15" spans="1:4" x14ac:dyDescent="0.55000000000000004">
      <c r="A15" s="5"/>
      <c r="B15" s="5"/>
      <c r="C15" s="5" t="s">
        <v>25</v>
      </c>
      <c r="D15" s="2" t="s">
        <v>181</v>
      </c>
    </row>
    <row r="16" spans="1:4" x14ac:dyDescent="0.55000000000000004">
      <c r="A16" s="5"/>
      <c r="B16" s="5"/>
      <c r="C16" s="5" t="s">
        <v>27</v>
      </c>
      <c r="D16" s="2" t="s">
        <v>874</v>
      </c>
    </row>
    <row r="17" spans="1:4" x14ac:dyDescent="0.55000000000000004">
      <c r="A17" s="8" t="s">
        <v>29</v>
      </c>
      <c r="B17" s="8"/>
      <c r="C17" s="5"/>
    </row>
    <row r="18" spans="1:4" ht="39" x14ac:dyDescent="0.55000000000000004">
      <c r="A18" s="5"/>
      <c r="B18" s="5"/>
      <c r="C18" s="5" t="s">
        <v>30</v>
      </c>
      <c r="D18" s="2" t="s">
        <v>875</v>
      </c>
    </row>
    <row r="19" spans="1:4" x14ac:dyDescent="0.55000000000000004">
      <c r="A19" s="5"/>
      <c r="B19" s="5"/>
      <c r="C19" s="5" t="s">
        <v>32</v>
      </c>
      <c r="D19" s="2" t="s">
        <v>20</v>
      </c>
    </row>
    <row r="20" spans="1:4" x14ac:dyDescent="0.55000000000000004">
      <c r="A20" s="8" t="s">
        <v>34</v>
      </c>
      <c r="B20" s="8"/>
      <c r="C20" s="5"/>
      <c r="D20" s="2" t="s">
        <v>35</v>
      </c>
    </row>
    <row r="21" spans="1:4" x14ac:dyDescent="0.55000000000000004">
      <c r="A21" s="5"/>
      <c r="B21" s="5"/>
      <c r="C21" s="5" t="s">
        <v>36</v>
      </c>
      <c r="D21" s="2">
        <v>24</v>
      </c>
    </row>
    <row r="22" spans="1:4" x14ac:dyDescent="0.55000000000000004">
      <c r="A22" s="5"/>
      <c r="B22" s="5"/>
      <c r="C22" s="5" t="s">
        <v>37</v>
      </c>
      <c r="D22" s="2">
        <v>21</v>
      </c>
    </row>
    <row r="23" spans="1:4" x14ac:dyDescent="0.55000000000000004">
      <c r="A23" s="5"/>
      <c r="B23" s="5"/>
      <c r="C23" s="5" t="s">
        <v>38</v>
      </c>
      <c r="D23" s="2">
        <v>21</v>
      </c>
    </row>
    <row r="24" spans="1:4" x14ac:dyDescent="0.55000000000000004">
      <c r="A24" s="5"/>
      <c r="B24" s="5"/>
      <c r="C24" s="5" t="s">
        <v>39</v>
      </c>
      <c r="D24" s="2">
        <v>0</v>
      </c>
    </row>
    <row r="25" spans="1:4" x14ac:dyDescent="0.55000000000000004">
      <c r="A25" s="5"/>
      <c r="B25" s="5"/>
      <c r="C25" s="5" t="s">
        <v>40</v>
      </c>
      <c r="D25" s="2" t="s">
        <v>20</v>
      </c>
    </row>
    <row r="26" spans="1:4" x14ac:dyDescent="0.55000000000000004">
      <c r="A26" s="5"/>
      <c r="B26" s="5"/>
      <c r="C26" s="5" t="s">
        <v>41</v>
      </c>
      <c r="D26" s="2">
        <v>64.900000000000006</v>
      </c>
    </row>
    <row r="27" spans="1:4" x14ac:dyDescent="0.55000000000000004">
      <c r="A27" s="5"/>
      <c r="B27" s="5"/>
      <c r="C27" s="5" t="s">
        <v>42</v>
      </c>
    </row>
    <row r="28" spans="1:4" x14ac:dyDescent="0.55000000000000004">
      <c r="A28" s="5"/>
      <c r="B28" s="5"/>
      <c r="C28" s="5" t="s">
        <v>43</v>
      </c>
      <c r="D28" s="2" t="s">
        <v>20</v>
      </c>
    </row>
    <row r="29" spans="1:4" x14ac:dyDescent="0.55000000000000004">
      <c r="A29" s="5"/>
      <c r="B29" s="5"/>
      <c r="C29" s="5" t="s">
        <v>44</v>
      </c>
      <c r="D29" s="2" t="s">
        <v>20</v>
      </c>
    </row>
    <row r="30" spans="1:4" x14ac:dyDescent="0.55000000000000004">
      <c r="A30" s="5"/>
      <c r="B30" s="5"/>
      <c r="C30" s="5" t="s">
        <v>45</v>
      </c>
      <c r="D30" s="2" t="s">
        <v>20</v>
      </c>
    </row>
    <row r="31" spans="1:4" x14ac:dyDescent="0.55000000000000004">
      <c r="A31" s="5"/>
      <c r="B31" s="5"/>
      <c r="C31" s="5" t="s">
        <v>46</v>
      </c>
      <c r="D31" s="2" t="s">
        <v>20</v>
      </c>
    </row>
    <row r="32" spans="1:4" x14ac:dyDescent="0.55000000000000004">
      <c r="A32" s="8" t="s">
        <v>47</v>
      </c>
      <c r="B32" s="8"/>
      <c r="C32" s="5"/>
    </row>
    <row r="33" spans="1:10" ht="39" x14ac:dyDescent="0.55000000000000004">
      <c r="A33" s="5"/>
      <c r="B33" s="5"/>
      <c r="C33" s="5" t="s">
        <v>48</v>
      </c>
      <c r="D33" s="2" t="s">
        <v>876</v>
      </c>
    </row>
    <row r="34" spans="1:10" x14ac:dyDescent="0.55000000000000004">
      <c r="A34" s="8" t="s">
        <v>50</v>
      </c>
      <c r="B34" s="8"/>
      <c r="C34" s="5"/>
    </row>
    <row r="35" spans="1:10" x14ac:dyDescent="0.55000000000000004">
      <c r="A35" s="8"/>
      <c r="B35" s="8"/>
      <c r="C35" s="5"/>
    </row>
    <row r="36" spans="1:10" x14ac:dyDescent="0.55000000000000004">
      <c r="A36" s="8"/>
      <c r="B36" s="5" t="s">
        <v>59</v>
      </c>
      <c r="C36" s="5"/>
      <c r="D36" s="2" t="s">
        <v>51</v>
      </c>
      <c r="E36" s="1" t="s">
        <v>52</v>
      </c>
      <c r="F36" s="1" t="s">
        <v>53</v>
      </c>
      <c r="G36" s="1" t="s">
        <v>54</v>
      </c>
      <c r="H36" s="1" t="s">
        <v>55</v>
      </c>
      <c r="I36" s="1" t="s">
        <v>56</v>
      </c>
      <c r="J36" s="1" t="s">
        <v>57</v>
      </c>
    </row>
    <row r="37" spans="1:10" x14ac:dyDescent="0.55000000000000004">
      <c r="A37" s="8"/>
      <c r="B37" s="5"/>
      <c r="C37" s="5" t="s">
        <v>877</v>
      </c>
      <c r="D37" s="7">
        <f>6/21</f>
        <v>0.2857142857142857</v>
      </c>
    </row>
    <row r="38" spans="1:10" x14ac:dyDescent="0.55000000000000004">
      <c r="A38" s="8"/>
      <c r="B38" s="5"/>
      <c r="C38" s="5"/>
    </row>
    <row r="39" spans="1:10" x14ac:dyDescent="0.55000000000000004">
      <c r="A39" s="8"/>
      <c r="B39" s="5"/>
      <c r="C39" s="5"/>
    </row>
    <row r="40" spans="1:10" x14ac:dyDescent="0.55000000000000004">
      <c r="A40" s="8"/>
      <c r="B40" s="5"/>
      <c r="C40" s="5"/>
    </row>
    <row r="41" spans="1:10" x14ac:dyDescent="0.55000000000000004">
      <c r="A41" s="8"/>
      <c r="B41" s="5"/>
    </row>
    <row r="42" spans="1:10" x14ac:dyDescent="0.55000000000000004">
      <c r="A42" s="8"/>
      <c r="B42" s="5"/>
      <c r="C42" s="5"/>
    </row>
    <row r="43" spans="1:10" x14ac:dyDescent="0.55000000000000004">
      <c r="A43" s="8"/>
      <c r="B43" s="5"/>
      <c r="C43" s="5"/>
    </row>
    <row r="44" spans="1:10" x14ac:dyDescent="0.55000000000000004">
      <c r="A44" s="8"/>
      <c r="B44" s="5"/>
      <c r="C44" s="5"/>
    </row>
    <row r="45" spans="1:10" x14ac:dyDescent="0.55000000000000004">
      <c r="A45" s="8"/>
      <c r="B45" s="5" t="s">
        <v>61</v>
      </c>
      <c r="C45" s="5"/>
    </row>
    <row r="46" spans="1:10" x14ac:dyDescent="0.55000000000000004">
      <c r="A46" s="8"/>
      <c r="B46" s="5"/>
      <c r="C46" s="5"/>
    </row>
    <row r="47" spans="1:10" x14ac:dyDescent="0.55000000000000004">
      <c r="A47" s="8"/>
      <c r="B47" s="5"/>
      <c r="C47" s="5"/>
    </row>
    <row r="48" spans="1:10" x14ac:dyDescent="0.55000000000000004">
      <c r="A48" s="8"/>
      <c r="B48" s="5"/>
      <c r="C48" s="5"/>
    </row>
    <row r="49" spans="1:3" x14ac:dyDescent="0.55000000000000004">
      <c r="A49" s="8"/>
      <c r="B49" s="5"/>
      <c r="C49" s="5"/>
    </row>
    <row r="50" spans="1:3" x14ac:dyDescent="0.55000000000000004">
      <c r="A50" s="8"/>
      <c r="B50" s="5"/>
      <c r="C50" s="5"/>
    </row>
    <row r="51" spans="1:3" x14ac:dyDescent="0.55000000000000004">
      <c r="A51" s="8"/>
      <c r="B51" s="5"/>
      <c r="C51" s="5"/>
    </row>
    <row r="52" spans="1:3" x14ac:dyDescent="0.55000000000000004">
      <c r="A52" s="8"/>
      <c r="B52" s="5"/>
      <c r="C52" s="5"/>
    </row>
    <row r="53" spans="1:3" x14ac:dyDescent="0.55000000000000004">
      <c r="A53" s="8"/>
      <c r="B53" s="5"/>
      <c r="C53" s="5"/>
    </row>
    <row r="54" spans="1:3" x14ac:dyDescent="0.55000000000000004">
      <c r="A54" s="8"/>
      <c r="B54" s="5"/>
      <c r="C54" s="5"/>
    </row>
    <row r="55" spans="1:3" x14ac:dyDescent="0.55000000000000004">
      <c r="A55" s="8"/>
      <c r="B55" s="5"/>
      <c r="C55" s="5"/>
    </row>
    <row r="56" spans="1:3" x14ac:dyDescent="0.55000000000000004">
      <c r="A56" s="8"/>
      <c r="B56" s="5"/>
      <c r="C56" s="5"/>
    </row>
    <row r="57" spans="1:3" x14ac:dyDescent="0.55000000000000004">
      <c r="A57" s="8"/>
      <c r="B57" s="5"/>
      <c r="C57" s="5"/>
    </row>
    <row r="65" spans="1:4" x14ac:dyDescent="0.55000000000000004">
      <c r="A65" s="8"/>
      <c r="B65" s="5" t="s">
        <v>62</v>
      </c>
      <c r="C65" s="5"/>
      <c r="D65" s="2">
        <f>365</f>
        <v>365</v>
      </c>
    </row>
    <row r="66" spans="1:4" x14ac:dyDescent="0.55000000000000004">
      <c r="A66" s="8"/>
      <c r="B66" s="5" t="s">
        <v>63</v>
      </c>
      <c r="C66" s="5"/>
      <c r="D66" s="2" t="s">
        <v>20</v>
      </c>
    </row>
    <row r="67" spans="1:4" ht="26.1" x14ac:dyDescent="0.55000000000000004">
      <c r="A67" s="8" t="s">
        <v>65</v>
      </c>
      <c r="B67" s="8"/>
      <c r="C67" s="5"/>
      <c r="D67" s="2" t="s">
        <v>878</v>
      </c>
    </row>
    <row r="68" spans="1:4" x14ac:dyDescent="0.55000000000000004">
      <c r="A68" s="3" t="s">
        <v>67</v>
      </c>
      <c r="D68" s="2">
        <v>6</v>
      </c>
    </row>
    <row r="69" spans="1:4" x14ac:dyDescent="0.55000000000000004">
      <c r="A69" s="1" t="s">
        <v>68</v>
      </c>
      <c r="C69" s="1">
        <v>6</v>
      </c>
      <c r="D69" s="2">
        <v>28</v>
      </c>
    </row>
  </sheetData>
  <pageMargins left="0.7" right="0.7" top="0.75" bottom="0.75" header="0.511811023622047" footer="0.511811023622047"/>
  <pageSetup paperSize="9" orientation="portrait" horizontalDpi="300" verticalDpi="30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AMJ73"/>
  <sheetViews>
    <sheetView zoomScale="90" zoomScaleNormal="90" workbookViewId="0">
      <selection activeCell="C49" sqref="C49"/>
    </sheetView>
  </sheetViews>
  <sheetFormatPr baseColWidth="10" defaultColWidth="11.41796875" defaultRowHeight="14.4" x14ac:dyDescent="0.55000000000000004"/>
  <cols>
    <col min="1" max="1" width="10.83984375" style="1" customWidth="1"/>
    <col min="2" max="2" width="18.83984375" style="1" customWidth="1"/>
    <col min="3" max="3" width="50.41796875" style="1" customWidth="1"/>
    <col min="4" max="4" width="56.15625" style="2" customWidth="1"/>
    <col min="5" max="5" width="3.41796875" style="1" customWidth="1"/>
    <col min="6" max="6" width="4.83984375" style="1" customWidth="1"/>
    <col min="7" max="7" width="2.41796875" style="1" customWidth="1"/>
    <col min="8" max="1024" width="11.41796875" style="1"/>
  </cols>
  <sheetData>
    <row r="1" spans="1:4" x14ac:dyDescent="0.55000000000000004">
      <c r="A1" s="3" t="s">
        <v>0</v>
      </c>
      <c r="D1" s="2" t="s">
        <v>426</v>
      </c>
    </row>
    <row r="2" spans="1:4" x14ac:dyDescent="0.55000000000000004">
      <c r="A2" s="58" t="s">
        <v>2</v>
      </c>
      <c r="B2" s="58"/>
      <c r="D2" s="2" t="s">
        <v>879</v>
      </c>
    </row>
    <row r="3" spans="1:4" x14ac:dyDescent="0.55000000000000004">
      <c r="A3" s="58"/>
      <c r="B3" s="58"/>
      <c r="C3" s="5" t="s">
        <v>4</v>
      </c>
      <c r="D3" s="2" t="s">
        <v>880</v>
      </c>
    </row>
    <row r="4" spans="1:4" x14ac:dyDescent="0.55000000000000004">
      <c r="A4" s="58"/>
      <c r="B4" s="58"/>
      <c r="C4" s="5" t="s">
        <v>6</v>
      </c>
      <c r="D4" s="2">
        <v>1989</v>
      </c>
    </row>
    <row r="5" spans="1:4" x14ac:dyDescent="0.55000000000000004">
      <c r="A5" s="58"/>
      <c r="B5" s="58"/>
      <c r="C5" s="5" t="s">
        <v>7</v>
      </c>
      <c r="D5" s="2" t="s">
        <v>881</v>
      </c>
    </row>
    <row r="6" spans="1:4" x14ac:dyDescent="0.55000000000000004">
      <c r="A6" s="58"/>
      <c r="B6" s="58"/>
      <c r="C6" s="5" t="s">
        <v>9</v>
      </c>
      <c r="D6" s="2" t="s">
        <v>535</v>
      </c>
    </row>
    <row r="7" spans="1:4" x14ac:dyDescent="0.55000000000000004">
      <c r="A7" s="58"/>
      <c r="B7" s="58"/>
      <c r="C7" s="5" t="s">
        <v>11</v>
      </c>
      <c r="D7" s="2" t="s">
        <v>12</v>
      </c>
    </row>
    <row r="8" spans="1:4" x14ac:dyDescent="0.55000000000000004">
      <c r="A8" s="59" t="s">
        <v>13</v>
      </c>
      <c r="B8" s="59"/>
      <c r="C8" s="5"/>
    </row>
    <row r="9" spans="1:4" x14ac:dyDescent="0.55000000000000004">
      <c r="A9" s="58"/>
      <c r="B9" s="58"/>
      <c r="C9" s="5" t="s">
        <v>14</v>
      </c>
      <c r="D9" s="2" t="s">
        <v>882</v>
      </c>
    </row>
    <row r="10" spans="1:4" x14ac:dyDescent="0.55000000000000004">
      <c r="A10" s="58"/>
      <c r="B10" s="58"/>
      <c r="C10" s="5" t="s">
        <v>16</v>
      </c>
      <c r="D10" s="2" t="s">
        <v>86</v>
      </c>
    </row>
    <row r="11" spans="1:4" x14ac:dyDescent="0.55000000000000004">
      <c r="A11" s="58"/>
      <c r="B11" s="58"/>
      <c r="C11" s="5" t="s">
        <v>19</v>
      </c>
      <c r="D11" s="2" t="s">
        <v>20</v>
      </c>
    </row>
    <row r="12" spans="1:4" x14ac:dyDescent="0.55000000000000004">
      <c r="A12" s="58"/>
      <c r="B12" s="58"/>
      <c r="C12" s="5" t="s">
        <v>21</v>
      </c>
      <c r="D12" s="2" t="s">
        <v>20</v>
      </c>
    </row>
    <row r="13" spans="1:4" x14ac:dyDescent="0.55000000000000004">
      <c r="A13" s="58"/>
      <c r="B13" s="58"/>
      <c r="C13" s="5" t="s">
        <v>22</v>
      </c>
      <c r="D13" s="2" t="s">
        <v>20</v>
      </c>
    </row>
    <row r="14" spans="1:4" x14ac:dyDescent="0.55000000000000004">
      <c r="A14" s="59" t="s">
        <v>24</v>
      </c>
      <c r="B14" s="59"/>
      <c r="C14" s="5"/>
    </row>
    <row r="15" spans="1:4" x14ac:dyDescent="0.55000000000000004">
      <c r="A15" s="58"/>
      <c r="B15" s="58"/>
      <c r="C15" s="5" t="s">
        <v>25</v>
      </c>
      <c r="D15" s="2" t="s">
        <v>883</v>
      </c>
    </row>
    <row r="16" spans="1:4" x14ac:dyDescent="0.55000000000000004">
      <c r="A16" s="58"/>
      <c r="B16" s="58"/>
      <c r="C16" s="5" t="s">
        <v>27</v>
      </c>
      <c r="D16" s="2" t="s">
        <v>884</v>
      </c>
    </row>
    <row r="17" spans="1:4" x14ac:dyDescent="0.55000000000000004">
      <c r="A17" s="59" t="s">
        <v>29</v>
      </c>
      <c r="B17" s="59"/>
      <c r="C17" s="5"/>
    </row>
    <row r="18" spans="1:4" x14ac:dyDescent="0.55000000000000004">
      <c r="A18" s="58"/>
      <c r="B18" s="58"/>
      <c r="C18" s="5" t="s">
        <v>30</v>
      </c>
      <c r="D18" s="2" t="s">
        <v>31</v>
      </c>
    </row>
    <row r="19" spans="1:4" x14ac:dyDescent="0.55000000000000004">
      <c r="A19" s="58"/>
      <c r="B19" s="58"/>
      <c r="C19" s="5" t="s">
        <v>32</v>
      </c>
      <c r="D19" s="2" t="s">
        <v>20</v>
      </c>
    </row>
    <row r="20" spans="1:4" x14ac:dyDescent="0.55000000000000004">
      <c r="A20" s="59" t="s">
        <v>34</v>
      </c>
      <c r="B20" s="59"/>
      <c r="C20" s="5"/>
      <c r="D20" s="2" t="s">
        <v>35</v>
      </c>
    </row>
    <row r="21" spans="1:4" x14ac:dyDescent="0.55000000000000004">
      <c r="A21" s="58"/>
      <c r="B21" s="58"/>
      <c r="C21" s="5" t="s">
        <v>36</v>
      </c>
      <c r="D21" s="2" t="s">
        <v>20</v>
      </c>
    </row>
    <row r="22" spans="1:4" x14ac:dyDescent="0.55000000000000004">
      <c r="A22" s="58"/>
      <c r="B22" s="58"/>
      <c r="C22" s="5" t="s">
        <v>37</v>
      </c>
      <c r="D22" s="2">
        <v>35</v>
      </c>
    </row>
    <row r="23" spans="1:4" x14ac:dyDescent="0.55000000000000004">
      <c r="A23" s="58"/>
      <c r="B23" s="58"/>
      <c r="C23" s="5" t="s">
        <v>38</v>
      </c>
      <c r="D23" s="2">
        <v>30</v>
      </c>
    </row>
    <row r="24" spans="1:4" x14ac:dyDescent="0.55000000000000004">
      <c r="A24" s="58"/>
      <c r="B24" s="58"/>
      <c r="C24" s="5" t="s">
        <v>39</v>
      </c>
      <c r="D24" s="2">
        <v>5</v>
      </c>
    </row>
    <row r="25" spans="1:4" x14ac:dyDescent="0.55000000000000004">
      <c r="A25" s="58"/>
      <c r="B25" s="58"/>
      <c r="C25" s="5" t="s">
        <v>40</v>
      </c>
      <c r="D25" s="7">
        <f>10/30</f>
        <v>0.33333333333333331</v>
      </c>
    </row>
    <row r="26" spans="1:4" x14ac:dyDescent="0.55000000000000004">
      <c r="A26" s="58"/>
      <c r="B26" s="58"/>
      <c r="C26" s="5" t="s">
        <v>41</v>
      </c>
      <c r="D26" s="7">
        <v>61.4</v>
      </c>
    </row>
    <row r="27" spans="1:4" x14ac:dyDescent="0.55000000000000004">
      <c r="A27" s="58"/>
      <c r="B27" s="58"/>
      <c r="C27" s="5" t="s">
        <v>42</v>
      </c>
      <c r="D27" s="7">
        <v>9.5</v>
      </c>
    </row>
    <row r="28" spans="1:4" x14ac:dyDescent="0.55000000000000004">
      <c r="A28" s="58"/>
      <c r="B28" s="58"/>
      <c r="C28" s="5" t="s">
        <v>43</v>
      </c>
      <c r="D28" s="2" t="s">
        <v>20</v>
      </c>
    </row>
    <row r="29" spans="1:4" x14ac:dyDescent="0.55000000000000004">
      <c r="A29" s="58"/>
      <c r="B29" s="58"/>
      <c r="C29" s="5" t="s">
        <v>44</v>
      </c>
      <c r="D29" s="2">
        <v>2</v>
      </c>
    </row>
    <row r="30" spans="1:4" x14ac:dyDescent="0.55000000000000004">
      <c r="A30" s="58"/>
      <c r="B30" s="58"/>
      <c r="C30" s="5" t="s">
        <v>45</v>
      </c>
      <c r="D30" s="2" t="s">
        <v>20</v>
      </c>
    </row>
    <row r="31" spans="1:4" x14ac:dyDescent="0.55000000000000004">
      <c r="A31" s="58"/>
      <c r="B31" s="58"/>
      <c r="C31" s="5" t="s">
        <v>46</v>
      </c>
      <c r="D31" s="2" t="s">
        <v>20</v>
      </c>
    </row>
    <row r="32" spans="1:4" x14ac:dyDescent="0.55000000000000004">
      <c r="A32" s="59" t="s">
        <v>47</v>
      </c>
      <c r="B32" s="59"/>
      <c r="C32" s="5"/>
    </row>
    <row r="33" spans="1:10" ht="64.8" x14ac:dyDescent="0.55000000000000004">
      <c r="A33" s="58"/>
      <c r="B33" s="58"/>
      <c r="C33" s="5" t="s">
        <v>48</v>
      </c>
      <c r="D33" s="2" t="s">
        <v>885</v>
      </c>
    </row>
    <row r="34" spans="1:10" x14ac:dyDescent="0.55000000000000004">
      <c r="A34" s="59" t="s">
        <v>50</v>
      </c>
      <c r="B34" s="59"/>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9"/>
      <c r="B36" s="5" t="s">
        <v>59</v>
      </c>
      <c r="C36" s="5"/>
    </row>
    <row r="37" spans="1:10" x14ac:dyDescent="0.55000000000000004">
      <c r="A37" s="59"/>
      <c r="B37" s="5"/>
    </row>
    <row r="38" spans="1:10" x14ac:dyDescent="0.55000000000000004">
      <c r="A38" s="59"/>
      <c r="B38" s="5"/>
      <c r="C38" s="5"/>
    </row>
    <row r="39" spans="1:10" x14ac:dyDescent="0.55000000000000004">
      <c r="A39" s="59"/>
      <c r="B39" s="5"/>
      <c r="C39" s="5"/>
    </row>
    <row r="40" spans="1:10" x14ac:dyDescent="0.55000000000000004">
      <c r="A40" s="59"/>
      <c r="B40" s="5"/>
      <c r="C40" s="5"/>
    </row>
    <row r="41" spans="1:10" x14ac:dyDescent="0.55000000000000004">
      <c r="A41" s="59"/>
      <c r="B41" s="5"/>
      <c r="C41" s="5"/>
    </row>
    <row r="42" spans="1:10" x14ac:dyDescent="0.55000000000000004">
      <c r="A42" s="59"/>
      <c r="B42" s="5"/>
      <c r="C42" s="5"/>
    </row>
    <row r="43" spans="1:10" x14ac:dyDescent="0.55000000000000004">
      <c r="A43" s="59"/>
      <c r="B43" s="5"/>
      <c r="C43" s="5"/>
    </row>
    <row r="44" spans="1:10" x14ac:dyDescent="0.55000000000000004">
      <c r="A44" s="59"/>
      <c r="B44" s="5"/>
      <c r="C44" s="5"/>
    </row>
    <row r="45" spans="1:10" x14ac:dyDescent="0.55000000000000004">
      <c r="A45" s="59"/>
      <c r="B45" s="5" t="s">
        <v>61</v>
      </c>
      <c r="C45" s="5"/>
    </row>
    <row r="46" spans="1:10" x14ac:dyDescent="0.55000000000000004">
      <c r="A46" s="59"/>
      <c r="B46" s="5"/>
      <c r="C46" s="1" t="s">
        <v>886</v>
      </c>
      <c r="D46" s="2">
        <v>340</v>
      </c>
      <c r="E46" s="1">
        <f>F46*SQRT(30)</f>
        <v>54.772255750516614</v>
      </c>
      <c r="F46" s="1">
        <v>10</v>
      </c>
    </row>
    <row r="47" spans="1:10" x14ac:dyDescent="0.55000000000000004">
      <c r="A47" s="59"/>
      <c r="B47" s="5"/>
      <c r="C47" s="1" t="s">
        <v>887</v>
      </c>
      <c r="D47" s="2">
        <v>275</v>
      </c>
      <c r="E47" s="1">
        <f>F47*SQRT(30)</f>
        <v>43.81780460041329</v>
      </c>
      <c r="F47" s="1">
        <v>8</v>
      </c>
    </row>
    <row r="48" spans="1:10" x14ac:dyDescent="0.55000000000000004">
      <c r="A48" s="59"/>
      <c r="B48" s="5"/>
      <c r="C48" s="5" t="s">
        <v>79</v>
      </c>
      <c r="D48" s="2">
        <v>1</v>
      </c>
    </row>
    <row r="49" spans="1:3" x14ac:dyDescent="0.55000000000000004">
      <c r="A49" s="59"/>
      <c r="B49" s="5"/>
    </row>
    <row r="50" spans="1:3" x14ac:dyDescent="0.55000000000000004">
      <c r="A50" s="59"/>
      <c r="B50" s="5"/>
    </row>
    <row r="51" spans="1:3" x14ac:dyDescent="0.55000000000000004">
      <c r="A51" s="59"/>
      <c r="B51" s="5"/>
      <c r="C51" s="5"/>
    </row>
    <row r="52" spans="1:3" x14ac:dyDescent="0.55000000000000004">
      <c r="A52" s="59"/>
      <c r="B52" s="5"/>
      <c r="C52" s="5"/>
    </row>
    <row r="53" spans="1:3" x14ac:dyDescent="0.55000000000000004">
      <c r="A53" s="59"/>
      <c r="B53" s="5"/>
      <c r="C53" s="5"/>
    </row>
    <row r="54" spans="1:3" x14ac:dyDescent="0.55000000000000004">
      <c r="A54" s="59"/>
      <c r="B54" s="5"/>
      <c r="C54" s="5"/>
    </row>
    <row r="55" spans="1:3" x14ac:dyDescent="0.55000000000000004">
      <c r="A55" s="59"/>
      <c r="B55" s="5"/>
      <c r="C55" s="5"/>
    </row>
    <row r="56" spans="1:3" x14ac:dyDescent="0.55000000000000004">
      <c r="A56" s="59"/>
      <c r="B56" s="5"/>
      <c r="C56" s="5"/>
    </row>
    <row r="57" spans="1:3" x14ac:dyDescent="0.55000000000000004">
      <c r="A57" s="59"/>
      <c r="B57" s="5"/>
      <c r="C57" s="5"/>
    </row>
    <row r="58" spans="1:3" x14ac:dyDescent="0.55000000000000004">
      <c r="A58" s="59"/>
      <c r="B58" s="5"/>
      <c r="C58" s="5"/>
    </row>
    <row r="59" spans="1:3" x14ac:dyDescent="0.55000000000000004">
      <c r="A59" s="59"/>
      <c r="B59" s="5"/>
      <c r="C59" s="5"/>
    </row>
    <row r="60" spans="1:3" x14ac:dyDescent="0.55000000000000004">
      <c r="A60" s="59"/>
      <c r="B60" s="5"/>
      <c r="C60" s="5"/>
    </row>
    <row r="61" spans="1:3" x14ac:dyDescent="0.55000000000000004">
      <c r="A61" s="59"/>
      <c r="B61" s="5"/>
      <c r="C61" s="5"/>
    </row>
    <row r="62" spans="1:3" x14ac:dyDescent="0.55000000000000004">
      <c r="A62" s="59"/>
      <c r="B62" s="5"/>
      <c r="C62" s="5"/>
    </row>
    <row r="63" spans="1:3" x14ac:dyDescent="0.55000000000000004">
      <c r="A63" s="59"/>
      <c r="B63" s="5"/>
      <c r="C63" s="5"/>
    </row>
    <row r="64" spans="1:3" x14ac:dyDescent="0.55000000000000004">
      <c r="A64" s="59"/>
      <c r="B64" s="5"/>
      <c r="C64" s="5"/>
    </row>
    <row r="65" spans="1:6" x14ac:dyDescent="0.55000000000000004">
      <c r="A65" s="59"/>
      <c r="B65" s="5" t="s">
        <v>62</v>
      </c>
      <c r="C65" s="5"/>
      <c r="D65" s="2">
        <v>140</v>
      </c>
    </row>
    <row r="66" spans="1:6" x14ac:dyDescent="0.55000000000000004">
      <c r="A66" s="59"/>
      <c r="B66" s="5" t="s">
        <v>63</v>
      </c>
      <c r="C66" s="5"/>
      <c r="D66" s="2" t="s">
        <v>64</v>
      </c>
    </row>
    <row r="67" spans="1:6" x14ac:dyDescent="0.55000000000000004">
      <c r="A67" s="59" t="s">
        <v>65</v>
      </c>
      <c r="B67" s="59"/>
      <c r="C67" s="5"/>
    </row>
    <row r="68" spans="1:6" x14ac:dyDescent="0.55000000000000004">
      <c r="A68" s="3" t="s">
        <v>67</v>
      </c>
    </row>
    <row r="69" spans="1:6" x14ac:dyDescent="0.55000000000000004">
      <c r="A69" s="1" t="s">
        <v>68</v>
      </c>
      <c r="C69" s="1">
        <v>15</v>
      </c>
      <c r="D69" s="2">
        <v>18</v>
      </c>
    </row>
    <row r="71" spans="1:6" x14ac:dyDescent="0.55000000000000004">
      <c r="C71" s="5" t="s">
        <v>888</v>
      </c>
      <c r="D71" s="2">
        <v>30</v>
      </c>
      <c r="E71" s="1">
        <f>F71*SQRT(30)</f>
        <v>82.158383625774917</v>
      </c>
      <c r="F71" s="1">
        <v>15</v>
      </c>
    </row>
    <row r="72" spans="1:6" x14ac:dyDescent="0.55000000000000004">
      <c r="C72" s="5" t="s">
        <v>889</v>
      </c>
      <c r="D72" s="2">
        <v>45</v>
      </c>
      <c r="E72" s="1">
        <f>F72*SQRT(30)</f>
        <v>65.726706900619931</v>
      </c>
      <c r="F72" s="1">
        <v>12</v>
      </c>
    </row>
    <row r="73" spans="1:6" x14ac:dyDescent="0.55000000000000004">
      <c r="C73" s="5" t="s">
        <v>890</v>
      </c>
      <c r="D73" s="2">
        <v>50</v>
      </c>
      <c r="E73" s="1">
        <f>F73*SQRT(30)</f>
        <v>98.590060350929903</v>
      </c>
      <c r="F73" s="1">
        <v>18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AMJ72"/>
  <sheetViews>
    <sheetView topLeftCell="A32" zoomScale="90" zoomScaleNormal="90" workbookViewId="0">
      <selection activeCell="B71" sqref="B71"/>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41796875" style="2" customWidth="1"/>
    <col min="5" max="5" width="14.578125" style="1" customWidth="1"/>
    <col min="6" max="6" width="6.15625" style="1" customWidth="1"/>
    <col min="7" max="1024" width="11.41796875" style="1"/>
  </cols>
  <sheetData>
    <row r="1" spans="1:5" x14ac:dyDescent="0.55000000000000004">
      <c r="A1" s="3" t="s">
        <v>0</v>
      </c>
      <c r="D1" s="2" t="s">
        <v>80</v>
      </c>
    </row>
    <row r="2" spans="1:5" x14ac:dyDescent="0.55000000000000004">
      <c r="A2" s="58" t="s">
        <v>2</v>
      </c>
      <c r="B2" s="58"/>
      <c r="D2" s="1" t="s">
        <v>891</v>
      </c>
    </row>
    <row r="3" spans="1:5" x14ac:dyDescent="0.55000000000000004">
      <c r="A3" s="58"/>
      <c r="B3" s="58"/>
      <c r="C3" s="5" t="s">
        <v>4</v>
      </c>
      <c r="D3" s="2" t="s">
        <v>892</v>
      </c>
    </row>
    <row r="4" spans="1:5" x14ac:dyDescent="0.55000000000000004">
      <c r="A4" s="58"/>
      <c r="B4" s="58"/>
      <c r="C4" s="5" t="s">
        <v>6</v>
      </c>
      <c r="D4" s="2">
        <v>1995</v>
      </c>
    </row>
    <row r="5" spans="1:5" x14ac:dyDescent="0.55000000000000004">
      <c r="A5" s="58"/>
      <c r="B5" s="58"/>
      <c r="C5" s="5" t="s">
        <v>7</v>
      </c>
      <c r="D5" s="2" t="s">
        <v>893</v>
      </c>
    </row>
    <row r="6" spans="1:5" x14ac:dyDescent="0.55000000000000004">
      <c r="A6" s="58"/>
      <c r="B6" s="58"/>
      <c r="C6" s="5" t="s">
        <v>9</v>
      </c>
      <c r="D6" s="2" t="s">
        <v>101</v>
      </c>
    </row>
    <row r="7" spans="1:5" x14ac:dyDescent="0.55000000000000004">
      <c r="A7" s="58"/>
      <c r="B7" s="58"/>
      <c r="C7" s="5" t="s">
        <v>11</v>
      </c>
      <c r="D7" s="2" t="s">
        <v>12</v>
      </c>
    </row>
    <row r="8" spans="1:5" x14ac:dyDescent="0.55000000000000004">
      <c r="A8" s="59" t="s">
        <v>13</v>
      </c>
      <c r="B8" s="59"/>
      <c r="C8" s="5"/>
    </row>
    <row r="9" spans="1:5" x14ac:dyDescent="0.55000000000000004">
      <c r="A9" s="58"/>
      <c r="B9" s="58"/>
      <c r="C9" s="5" t="s">
        <v>14</v>
      </c>
      <c r="D9" s="2" t="s">
        <v>894</v>
      </c>
    </row>
    <row r="10" spans="1:5" x14ac:dyDescent="0.55000000000000004">
      <c r="A10" s="58"/>
      <c r="B10" s="58"/>
      <c r="C10" s="5" t="s">
        <v>16</v>
      </c>
      <c r="D10" s="2" t="s">
        <v>17</v>
      </c>
      <c r="E10" s="1" t="s">
        <v>18</v>
      </c>
    </row>
    <row r="11" spans="1:5" x14ac:dyDescent="0.55000000000000004">
      <c r="A11" s="58"/>
      <c r="B11" s="58"/>
      <c r="C11" s="5" t="s">
        <v>19</v>
      </c>
      <c r="D11" s="2" t="s">
        <v>20</v>
      </c>
    </row>
    <row r="12" spans="1:5" x14ac:dyDescent="0.55000000000000004">
      <c r="A12" s="58"/>
      <c r="B12" s="58"/>
      <c r="C12" s="5" t="s">
        <v>21</v>
      </c>
      <c r="D12" s="2" t="s">
        <v>20</v>
      </c>
    </row>
    <row r="13" spans="1:5" x14ac:dyDescent="0.55000000000000004">
      <c r="A13" s="58"/>
      <c r="B13" s="58"/>
      <c r="C13" s="5" t="s">
        <v>22</v>
      </c>
      <c r="D13" s="2" t="s">
        <v>20</v>
      </c>
    </row>
    <row r="14" spans="1:5" x14ac:dyDescent="0.55000000000000004">
      <c r="A14" s="59" t="s">
        <v>24</v>
      </c>
      <c r="B14" s="59"/>
      <c r="C14" s="5"/>
    </row>
    <row r="15" spans="1:5" x14ac:dyDescent="0.55000000000000004">
      <c r="A15" s="58"/>
      <c r="B15" s="58"/>
      <c r="C15" s="5" t="s">
        <v>25</v>
      </c>
      <c r="D15" s="2" t="s">
        <v>553</v>
      </c>
    </row>
    <row r="16" spans="1:5" ht="26.1" x14ac:dyDescent="0.55000000000000004">
      <c r="A16" s="58"/>
      <c r="B16" s="58"/>
      <c r="C16" s="5" t="s">
        <v>27</v>
      </c>
      <c r="D16" s="2" t="s">
        <v>895</v>
      </c>
    </row>
    <row r="17" spans="1:6" x14ac:dyDescent="0.55000000000000004">
      <c r="A17" s="59" t="s">
        <v>29</v>
      </c>
      <c r="B17" s="59"/>
      <c r="C17" s="5"/>
    </row>
    <row r="18" spans="1:6" x14ac:dyDescent="0.55000000000000004">
      <c r="A18" s="58"/>
      <c r="B18" s="58"/>
      <c r="C18" s="5" t="s">
        <v>30</v>
      </c>
      <c r="D18" s="2" t="s">
        <v>20</v>
      </c>
    </row>
    <row r="19" spans="1:6" x14ac:dyDescent="0.55000000000000004">
      <c r="A19" s="58"/>
      <c r="B19" s="58"/>
      <c r="C19" s="5" t="s">
        <v>32</v>
      </c>
      <c r="D19" s="2" t="s">
        <v>20</v>
      </c>
    </row>
    <row r="20" spans="1:6" x14ac:dyDescent="0.55000000000000004">
      <c r="A20" s="59" t="s">
        <v>34</v>
      </c>
      <c r="B20" s="59"/>
      <c r="C20" s="5"/>
      <c r="D20" s="2" t="s">
        <v>80</v>
      </c>
      <c r="E20" s="1" t="s">
        <v>69</v>
      </c>
      <c r="F20" s="1" t="s">
        <v>35</v>
      </c>
    </row>
    <row r="21" spans="1:6" x14ac:dyDescent="0.55000000000000004">
      <c r="A21" s="58"/>
      <c r="B21" s="58"/>
      <c r="C21" s="5" t="s">
        <v>36</v>
      </c>
      <c r="D21" s="2">
        <v>86</v>
      </c>
      <c r="E21" s="1">
        <v>314</v>
      </c>
      <c r="F21" s="1">
        <f>SUM(D21:E21)</f>
        <v>400</v>
      </c>
    </row>
    <row r="22" spans="1:6" x14ac:dyDescent="0.55000000000000004">
      <c r="A22" s="58"/>
      <c r="B22" s="58"/>
      <c r="C22" s="5" t="s">
        <v>37</v>
      </c>
      <c r="D22" s="2">
        <v>86</v>
      </c>
      <c r="E22" s="1">
        <v>314</v>
      </c>
      <c r="F22" s="1">
        <f>SUM(D22:E22)</f>
        <v>400</v>
      </c>
    </row>
    <row r="23" spans="1:6" x14ac:dyDescent="0.55000000000000004">
      <c r="A23" s="58"/>
      <c r="B23" s="58"/>
      <c r="C23" s="5" t="s">
        <v>38</v>
      </c>
      <c r="D23" s="2">
        <v>82</v>
      </c>
      <c r="E23" s="1">
        <v>309</v>
      </c>
      <c r="F23" s="1">
        <f>SUM(D23:E23)</f>
        <v>391</v>
      </c>
    </row>
    <row r="24" spans="1:6" x14ac:dyDescent="0.55000000000000004">
      <c r="A24" s="58"/>
      <c r="B24" s="58"/>
      <c r="C24" s="5" t="s">
        <v>39</v>
      </c>
      <c r="D24" s="2">
        <v>4</v>
      </c>
      <c r="E24" s="1">
        <v>5</v>
      </c>
      <c r="F24" s="1">
        <f>SUM(D24:E24)</f>
        <v>9</v>
      </c>
    </row>
    <row r="25" spans="1:6" x14ac:dyDescent="0.55000000000000004">
      <c r="A25" s="58"/>
      <c r="B25" s="58"/>
      <c r="C25" s="5" t="s">
        <v>40</v>
      </c>
      <c r="D25" s="2" t="s">
        <v>20</v>
      </c>
      <c r="E25" s="1" t="s">
        <v>20</v>
      </c>
    </row>
    <row r="26" spans="1:6" x14ac:dyDescent="0.55000000000000004">
      <c r="A26" s="58"/>
      <c r="B26" s="58"/>
      <c r="C26" s="5" t="s">
        <v>41</v>
      </c>
      <c r="D26" s="2" t="s">
        <v>20</v>
      </c>
      <c r="E26" s="1" t="s">
        <v>20</v>
      </c>
    </row>
    <row r="27" spans="1:6" x14ac:dyDescent="0.55000000000000004">
      <c r="A27" s="58"/>
      <c r="B27" s="58"/>
      <c r="C27" s="5" t="s">
        <v>42</v>
      </c>
      <c r="D27" s="2" t="s">
        <v>20</v>
      </c>
      <c r="E27" s="1" t="s">
        <v>20</v>
      </c>
    </row>
    <row r="28" spans="1:6" x14ac:dyDescent="0.55000000000000004">
      <c r="A28" s="58"/>
      <c r="B28" s="58"/>
      <c r="C28" s="5" t="s">
        <v>43</v>
      </c>
      <c r="D28" s="2" t="s">
        <v>20</v>
      </c>
      <c r="E28" s="1" t="s">
        <v>20</v>
      </c>
    </row>
    <row r="29" spans="1:6" x14ac:dyDescent="0.55000000000000004">
      <c r="A29" s="58"/>
      <c r="B29" s="58"/>
      <c r="C29" s="5" t="s">
        <v>168</v>
      </c>
      <c r="D29" s="7">
        <v>2.5</v>
      </c>
      <c r="E29" s="10">
        <v>3</v>
      </c>
      <c r="F29" s="10">
        <f>((D29*D21)+(E29*E21))/F21</f>
        <v>2.8925000000000001</v>
      </c>
    </row>
    <row r="30" spans="1:6" x14ac:dyDescent="0.55000000000000004">
      <c r="A30" s="58"/>
      <c r="B30" s="58"/>
      <c r="C30" s="5" t="s">
        <v>45</v>
      </c>
      <c r="D30" s="2" t="s">
        <v>20</v>
      </c>
      <c r="E30" s="1" t="s">
        <v>20</v>
      </c>
    </row>
    <row r="31" spans="1:6" x14ac:dyDescent="0.55000000000000004">
      <c r="A31" s="58"/>
      <c r="B31" s="58"/>
      <c r="C31" s="5" t="s">
        <v>46</v>
      </c>
      <c r="D31" s="2" t="s">
        <v>20</v>
      </c>
      <c r="E31" s="1" t="s">
        <v>20</v>
      </c>
    </row>
    <row r="32" spans="1:6" x14ac:dyDescent="0.55000000000000004">
      <c r="A32" s="59" t="s">
        <v>47</v>
      </c>
      <c r="B32" s="59"/>
      <c r="C32" s="5"/>
    </row>
    <row r="33" spans="1:10" x14ac:dyDescent="0.55000000000000004">
      <c r="A33" s="58"/>
      <c r="B33" s="58"/>
      <c r="C33" s="5" t="s">
        <v>48</v>
      </c>
    </row>
    <row r="34" spans="1:10" ht="64.8" x14ac:dyDescent="0.55000000000000004">
      <c r="A34" s="59" t="s">
        <v>50</v>
      </c>
      <c r="B34" s="59"/>
      <c r="C34" s="5"/>
      <c r="D34" s="2" t="s">
        <v>896</v>
      </c>
    </row>
    <row r="35" spans="1:10" x14ac:dyDescent="0.55000000000000004">
      <c r="A35" s="8"/>
      <c r="B35" s="8"/>
      <c r="C35" s="5"/>
    </row>
    <row r="36" spans="1:10" x14ac:dyDescent="0.55000000000000004">
      <c r="A36" s="59"/>
      <c r="B36" s="5" t="s">
        <v>59</v>
      </c>
      <c r="C36" s="5"/>
      <c r="D36" s="2" t="s">
        <v>51</v>
      </c>
      <c r="E36" s="1" t="s">
        <v>52</v>
      </c>
      <c r="F36" s="1" t="s">
        <v>53</v>
      </c>
      <c r="G36" s="1" t="s">
        <v>54</v>
      </c>
      <c r="H36" s="1" t="s">
        <v>55</v>
      </c>
      <c r="I36" s="1" t="s">
        <v>56</v>
      </c>
      <c r="J36" s="1" t="s">
        <v>57</v>
      </c>
    </row>
    <row r="37" spans="1:10" x14ac:dyDescent="0.55000000000000004">
      <c r="A37" s="59"/>
      <c r="B37" s="5"/>
      <c r="C37" s="5" t="s">
        <v>92</v>
      </c>
      <c r="D37" s="7">
        <v>1.7</v>
      </c>
      <c r="E37" s="10">
        <v>0.9</v>
      </c>
    </row>
    <row r="38" spans="1:10" x14ac:dyDescent="0.55000000000000004">
      <c r="A38" s="59"/>
      <c r="B38" s="5"/>
      <c r="C38" s="5" t="s">
        <v>93</v>
      </c>
      <c r="D38" s="7">
        <v>0.9</v>
      </c>
      <c r="E38" s="10">
        <v>0.9</v>
      </c>
    </row>
    <row r="39" spans="1:10" x14ac:dyDescent="0.55000000000000004">
      <c r="A39" s="59"/>
      <c r="B39" s="5"/>
    </row>
    <row r="40" spans="1:10" x14ac:dyDescent="0.55000000000000004">
      <c r="A40" s="59"/>
      <c r="B40" s="5"/>
    </row>
    <row r="41" spans="1:10" x14ac:dyDescent="0.55000000000000004">
      <c r="A41" s="59"/>
      <c r="B41" s="5"/>
      <c r="C41" s="5"/>
    </row>
    <row r="42" spans="1:10" x14ac:dyDescent="0.55000000000000004">
      <c r="A42" s="59"/>
      <c r="B42" s="5"/>
      <c r="C42" s="5"/>
    </row>
    <row r="43" spans="1:10" x14ac:dyDescent="0.55000000000000004">
      <c r="A43" s="59"/>
      <c r="B43" s="5"/>
      <c r="C43" s="5"/>
    </row>
    <row r="44" spans="1:10" x14ac:dyDescent="0.55000000000000004">
      <c r="A44" s="59"/>
      <c r="B44" s="5"/>
      <c r="C44" s="5"/>
    </row>
    <row r="45" spans="1:10" x14ac:dyDescent="0.55000000000000004">
      <c r="A45" s="59"/>
      <c r="B45" s="5" t="s">
        <v>61</v>
      </c>
      <c r="C45" s="5"/>
    </row>
    <row r="46" spans="1:10" x14ac:dyDescent="0.55000000000000004">
      <c r="A46" s="59"/>
      <c r="B46" s="5"/>
    </row>
    <row r="47" spans="1:10" x14ac:dyDescent="0.55000000000000004">
      <c r="A47" s="59"/>
      <c r="B47" s="5"/>
    </row>
    <row r="48" spans="1:10" x14ac:dyDescent="0.55000000000000004">
      <c r="A48" s="59"/>
      <c r="B48" s="5"/>
    </row>
    <row r="49" spans="1:3" x14ac:dyDescent="0.55000000000000004">
      <c r="A49" s="59"/>
      <c r="B49" s="5"/>
    </row>
    <row r="50" spans="1:3" x14ac:dyDescent="0.55000000000000004">
      <c r="A50" s="59"/>
      <c r="B50" s="5"/>
      <c r="C50" s="5"/>
    </row>
    <row r="51" spans="1:3" x14ac:dyDescent="0.55000000000000004">
      <c r="A51" s="59"/>
      <c r="B51" s="5"/>
      <c r="C51" s="5"/>
    </row>
    <row r="52" spans="1:3" x14ac:dyDescent="0.55000000000000004">
      <c r="A52" s="59"/>
      <c r="B52" s="5"/>
      <c r="C52" s="5"/>
    </row>
    <row r="53" spans="1:3" x14ac:dyDescent="0.55000000000000004">
      <c r="A53" s="59"/>
      <c r="B53" s="5"/>
      <c r="C53" s="5"/>
    </row>
    <row r="54" spans="1:3" x14ac:dyDescent="0.55000000000000004">
      <c r="A54" s="59"/>
      <c r="B54" s="5"/>
      <c r="C54" s="5"/>
    </row>
    <row r="55" spans="1:3" x14ac:dyDescent="0.55000000000000004">
      <c r="A55" s="59"/>
      <c r="B55" s="5"/>
      <c r="C55" s="5"/>
    </row>
    <row r="56" spans="1:3" x14ac:dyDescent="0.55000000000000004">
      <c r="A56" s="59"/>
      <c r="B56" s="5"/>
      <c r="C56" s="5"/>
    </row>
    <row r="57" spans="1:3" x14ac:dyDescent="0.55000000000000004">
      <c r="A57" s="59"/>
      <c r="B57" s="5"/>
      <c r="C57" s="5"/>
    </row>
    <row r="58" spans="1:3" x14ac:dyDescent="0.55000000000000004">
      <c r="A58" s="59"/>
      <c r="B58" s="5"/>
      <c r="C58" s="5"/>
    </row>
    <row r="59" spans="1:3" x14ac:dyDescent="0.55000000000000004">
      <c r="A59" s="59"/>
      <c r="B59" s="5"/>
      <c r="C59" s="5"/>
    </row>
    <row r="60" spans="1:3" x14ac:dyDescent="0.55000000000000004">
      <c r="A60" s="59"/>
      <c r="B60" s="5"/>
      <c r="C60" s="5"/>
    </row>
    <row r="61" spans="1:3" x14ac:dyDescent="0.55000000000000004">
      <c r="A61" s="59"/>
      <c r="B61" s="5"/>
      <c r="C61" s="5"/>
    </row>
    <row r="62" spans="1:3" x14ac:dyDescent="0.55000000000000004">
      <c r="A62" s="59"/>
      <c r="B62" s="5"/>
      <c r="C62" s="5"/>
    </row>
    <row r="63" spans="1:3" x14ac:dyDescent="0.55000000000000004">
      <c r="A63" s="59"/>
      <c r="B63" s="5"/>
      <c r="C63" s="5"/>
    </row>
    <row r="64" spans="1:3" x14ac:dyDescent="0.55000000000000004">
      <c r="A64" s="59"/>
      <c r="B64" s="5"/>
      <c r="C64" s="5"/>
    </row>
    <row r="65" spans="1:5" x14ac:dyDescent="0.55000000000000004">
      <c r="A65" s="59"/>
      <c r="B65" s="5" t="s">
        <v>62</v>
      </c>
      <c r="C65" s="5"/>
      <c r="D65" s="2">
        <f>8*7</f>
        <v>56</v>
      </c>
    </row>
    <row r="66" spans="1:5" x14ac:dyDescent="0.55000000000000004">
      <c r="A66" s="59"/>
      <c r="B66" s="5" t="s">
        <v>63</v>
      </c>
      <c r="C66" s="5"/>
      <c r="D66" s="2" t="s">
        <v>899</v>
      </c>
    </row>
    <row r="67" spans="1:5" ht="39" x14ac:dyDescent="0.55000000000000004">
      <c r="A67" s="59" t="s">
        <v>65</v>
      </c>
      <c r="B67" s="59"/>
      <c r="C67" s="5"/>
      <c r="D67" s="2" t="s">
        <v>900</v>
      </c>
    </row>
    <row r="68" spans="1:5" x14ac:dyDescent="0.55000000000000004">
      <c r="A68" s="3" t="s">
        <v>67</v>
      </c>
    </row>
    <row r="69" spans="1:5" x14ac:dyDescent="0.55000000000000004">
      <c r="A69" s="1" t="s">
        <v>68</v>
      </c>
      <c r="C69" s="1">
        <v>9</v>
      </c>
      <c r="D69" s="2">
        <v>20</v>
      </c>
    </row>
    <row r="70" spans="1:5" x14ac:dyDescent="0.55000000000000004">
      <c r="B70" s="1" t="s">
        <v>94</v>
      </c>
    </row>
    <row r="71" spans="1:5" x14ac:dyDescent="0.55000000000000004">
      <c r="B71" s="1" t="s">
        <v>63</v>
      </c>
      <c r="C71" s="5" t="s">
        <v>897</v>
      </c>
      <c r="D71" s="7">
        <v>1.7</v>
      </c>
      <c r="E71" s="10">
        <v>0.9</v>
      </c>
    </row>
    <row r="72" spans="1:5" x14ac:dyDescent="0.55000000000000004">
      <c r="C72" s="5" t="s">
        <v>898</v>
      </c>
      <c r="D72" s="7">
        <v>1</v>
      </c>
      <c r="E72" s="10">
        <v>0.9</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AMJ74"/>
  <sheetViews>
    <sheetView topLeftCell="A15" zoomScale="90" zoomScaleNormal="90" workbookViewId="0">
      <selection activeCell="F20" sqref="F20"/>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38.15625" style="2" customWidth="1"/>
    <col min="5" max="5" width="14.83984375" style="1" customWidth="1"/>
    <col min="6" max="6" width="15" style="1" customWidth="1"/>
    <col min="7" max="7" width="17.578125" style="1" customWidth="1"/>
    <col min="8" max="8" width="5.83984375" style="1" customWidth="1"/>
    <col min="9" max="1024" width="11.41796875" style="1"/>
  </cols>
  <sheetData>
    <row r="1" spans="1:4" x14ac:dyDescent="0.55000000000000004">
      <c r="A1" s="3" t="s">
        <v>0</v>
      </c>
      <c r="D1" s="2" t="s">
        <v>901</v>
      </c>
    </row>
    <row r="2" spans="1:4" x14ac:dyDescent="0.55000000000000004">
      <c r="A2" s="58" t="s">
        <v>2</v>
      </c>
      <c r="B2" s="58"/>
      <c r="D2" s="1" t="s">
        <v>891</v>
      </c>
    </row>
    <row r="3" spans="1:4" x14ac:dyDescent="0.55000000000000004">
      <c r="A3" s="58"/>
      <c r="B3" s="58"/>
      <c r="C3" s="5" t="s">
        <v>4</v>
      </c>
      <c r="D3" s="2" t="s">
        <v>892</v>
      </c>
    </row>
    <row r="4" spans="1:4" x14ac:dyDescent="0.55000000000000004">
      <c r="A4" s="58"/>
      <c r="B4" s="58"/>
      <c r="C4" s="5" t="s">
        <v>6</v>
      </c>
      <c r="D4" s="2">
        <v>1995</v>
      </c>
    </row>
    <row r="5" spans="1:4" x14ac:dyDescent="0.55000000000000004">
      <c r="A5" s="58"/>
      <c r="B5" s="58"/>
      <c r="C5" s="5" t="s">
        <v>7</v>
      </c>
      <c r="D5" s="2" t="s">
        <v>893</v>
      </c>
    </row>
    <row r="6" spans="1:4" x14ac:dyDescent="0.55000000000000004">
      <c r="A6" s="58"/>
      <c r="B6" s="58"/>
      <c r="C6" s="5" t="s">
        <v>9</v>
      </c>
      <c r="D6" s="2" t="s">
        <v>101</v>
      </c>
    </row>
    <row r="7" spans="1:4" x14ac:dyDescent="0.55000000000000004">
      <c r="A7" s="58"/>
      <c r="B7" s="58"/>
      <c r="C7" s="5" t="s">
        <v>11</v>
      </c>
      <c r="D7" s="2" t="s">
        <v>12</v>
      </c>
    </row>
    <row r="8" spans="1:4" x14ac:dyDescent="0.55000000000000004">
      <c r="A8" s="59" t="s">
        <v>13</v>
      </c>
      <c r="B8" s="59"/>
      <c r="C8" s="5"/>
    </row>
    <row r="9" spans="1:4" ht="26.1" x14ac:dyDescent="0.55000000000000004">
      <c r="A9" s="58"/>
      <c r="B9" s="58"/>
      <c r="C9" s="5" t="s">
        <v>14</v>
      </c>
      <c r="D9" s="2" t="s">
        <v>902</v>
      </c>
    </row>
    <row r="10" spans="1:4" x14ac:dyDescent="0.55000000000000004">
      <c r="A10" s="58"/>
      <c r="B10" s="58"/>
      <c r="C10" s="5" t="s">
        <v>16</v>
      </c>
      <c r="D10" s="2" t="s">
        <v>454</v>
      </c>
    </row>
    <row r="11" spans="1:4" x14ac:dyDescent="0.55000000000000004">
      <c r="A11" s="58"/>
      <c r="B11" s="58"/>
      <c r="C11" s="5" t="s">
        <v>19</v>
      </c>
      <c r="D11" s="2" t="s">
        <v>20</v>
      </c>
    </row>
    <row r="12" spans="1:4" x14ac:dyDescent="0.55000000000000004">
      <c r="A12" s="58"/>
      <c r="B12" s="58"/>
      <c r="C12" s="5" t="s">
        <v>21</v>
      </c>
      <c r="D12" s="2" t="s">
        <v>20</v>
      </c>
    </row>
    <row r="13" spans="1:4" x14ac:dyDescent="0.55000000000000004">
      <c r="A13" s="58"/>
      <c r="B13" s="58"/>
      <c r="C13" s="5" t="s">
        <v>22</v>
      </c>
      <c r="D13" s="2" t="s">
        <v>20</v>
      </c>
    </row>
    <row r="14" spans="1:4" x14ac:dyDescent="0.55000000000000004">
      <c r="A14" s="59" t="s">
        <v>24</v>
      </c>
      <c r="B14" s="59"/>
      <c r="C14" s="5"/>
    </row>
    <row r="15" spans="1:4" x14ac:dyDescent="0.55000000000000004">
      <c r="A15" s="58"/>
      <c r="B15" s="58"/>
      <c r="C15" s="5" t="s">
        <v>25</v>
      </c>
      <c r="D15" s="2" t="s">
        <v>553</v>
      </c>
    </row>
    <row r="16" spans="1:4" ht="26.1" x14ac:dyDescent="0.55000000000000004">
      <c r="A16" s="58"/>
      <c r="B16" s="58"/>
      <c r="C16" s="5" t="s">
        <v>27</v>
      </c>
      <c r="D16" s="2" t="s">
        <v>895</v>
      </c>
    </row>
    <row r="17" spans="1:8" x14ac:dyDescent="0.55000000000000004">
      <c r="A17" s="59" t="s">
        <v>29</v>
      </c>
      <c r="B17" s="59"/>
      <c r="C17" s="5"/>
    </row>
    <row r="18" spans="1:8" x14ac:dyDescent="0.55000000000000004">
      <c r="A18" s="58"/>
      <c r="B18" s="58"/>
      <c r="C18" s="5" t="s">
        <v>30</v>
      </c>
      <c r="D18" s="2" t="s">
        <v>20</v>
      </c>
    </row>
    <row r="19" spans="1:8" x14ac:dyDescent="0.55000000000000004">
      <c r="A19" s="58"/>
      <c r="B19" s="58"/>
      <c r="C19" s="5" t="s">
        <v>32</v>
      </c>
      <c r="D19" s="2" t="s">
        <v>20</v>
      </c>
    </row>
    <row r="20" spans="1:8" x14ac:dyDescent="0.55000000000000004">
      <c r="A20" s="59" t="s">
        <v>34</v>
      </c>
      <c r="B20" s="59"/>
      <c r="C20" s="5"/>
      <c r="D20" s="2" t="s">
        <v>80</v>
      </c>
      <c r="E20" s="1" t="s">
        <v>903</v>
      </c>
      <c r="F20" s="1" t="s">
        <v>904</v>
      </c>
      <c r="G20" s="1" t="s">
        <v>905</v>
      </c>
      <c r="H20" s="1" t="s">
        <v>35</v>
      </c>
    </row>
    <row r="21" spans="1:8" x14ac:dyDescent="0.55000000000000004">
      <c r="A21" s="58"/>
      <c r="B21" s="58"/>
      <c r="C21" s="5" t="s">
        <v>36</v>
      </c>
      <c r="H21" s="1">
        <v>345</v>
      </c>
    </row>
    <row r="22" spans="1:8" x14ac:dyDescent="0.55000000000000004">
      <c r="A22" s="58"/>
      <c r="B22" s="58"/>
      <c r="C22" s="5" t="s">
        <v>37</v>
      </c>
      <c r="D22" s="2">
        <v>49</v>
      </c>
      <c r="E22" s="1">
        <v>49</v>
      </c>
      <c r="F22" s="1">
        <v>93</v>
      </c>
      <c r="G22" s="1">
        <v>99</v>
      </c>
      <c r="H22" s="1">
        <f>SUM(D22:G22)</f>
        <v>290</v>
      </c>
    </row>
    <row r="23" spans="1:8" x14ac:dyDescent="0.55000000000000004">
      <c r="A23" s="58"/>
      <c r="B23" s="58"/>
      <c r="C23" s="5" t="s">
        <v>38</v>
      </c>
      <c r="D23" s="2">
        <v>49</v>
      </c>
      <c r="E23" s="1">
        <v>48</v>
      </c>
      <c r="F23" s="1">
        <v>93</v>
      </c>
      <c r="G23" s="1">
        <v>98</v>
      </c>
      <c r="H23" s="1">
        <f>SUM(D23:G23)</f>
        <v>288</v>
      </c>
    </row>
    <row r="24" spans="1:8" x14ac:dyDescent="0.55000000000000004">
      <c r="A24" s="58"/>
      <c r="B24" s="58"/>
      <c r="C24" s="5" t="s">
        <v>39</v>
      </c>
      <c r="D24" s="2">
        <v>0</v>
      </c>
      <c r="E24" s="1">
        <v>1</v>
      </c>
      <c r="F24" s="1">
        <v>0</v>
      </c>
      <c r="G24" s="1">
        <v>1</v>
      </c>
      <c r="H24" s="1">
        <v>2</v>
      </c>
    </row>
    <row r="25" spans="1:8" x14ac:dyDescent="0.55000000000000004">
      <c r="A25" s="58"/>
      <c r="B25" s="58"/>
      <c r="C25" s="5" t="s">
        <v>40</v>
      </c>
    </row>
    <row r="26" spans="1:8" x14ac:dyDescent="0.55000000000000004">
      <c r="A26" s="58"/>
      <c r="B26" s="58"/>
      <c r="C26" s="5" t="s">
        <v>41</v>
      </c>
    </row>
    <row r="27" spans="1:8" x14ac:dyDescent="0.55000000000000004">
      <c r="A27" s="58"/>
      <c r="B27" s="58"/>
      <c r="C27" s="5" t="s">
        <v>42</v>
      </c>
    </row>
    <row r="28" spans="1:8" x14ac:dyDescent="0.55000000000000004">
      <c r="A28" s="58"/>
      <c r="B28" s="58"/>
      <c r="C28" s="5" t="s">
        <v>43</v>
      </c>
    </row>
    <row r="29" spans="1:8" x14ac:dyDescent="0.55000000000000004">
      <c r="A29" s="58"/>
      <c r="B29" s="58"/>
      <c r="C29" s="5" t="s">
        <v>168</v>
      </c>
      <c r="D29" s="7">
        <v>2.6</v>
      </c>
      <c r="E29" s="10">
        <v>2.5</v>
      </c>
      <c r="F29" s="10">
        <v>2.8</v>
      </c>
      <c r="G29" s="10">
        <v>2.8</v>
      </c>
      <c r="H29" s="10">
        <f>((D29*D22)+(E29*E22)+(F29*F22)+(G29*G22))/H22</f>
        <v>2.7155172413793105</v>
      </c>
    </row>
    <row r="30" spans="1:8" x14ac:dyDescent="0.55000000000000004">
      <c r="A30" s="58"/>
      <c r="B30" s="58"/>
      <c r="C30" s="5" t="s">
        <v>45</v>
      </c>
    </row>
    <row r="31" spans="1:8" x14ac:dyDescent="0.55000000000000004">
      <c r="A31" s="58"/>
      <c r="B31" s="58"/>
      <c r="C31" s="5" t="s">
        <v>46</v>
      </c>
    </row>
    <row r="32" spans="1:8" x14ac:dyDescent="0.55000000000000004">
      <c r="A32" s="59" t="s">
        <v>47</v>
      </c>
      <c r="B32" s="59"/>
      <c r="C32" s="5"/>
    </row>
    <row r="33" spans="1:10" ht="64.8" x14ac:dyDescent="0.55000000000000004">
      <c r="A33" s="58"/>
      <c r="B33" s="58"/>
      <c r="C33" s="5" t="s">
        <v>48</v>
      </c>
      <c r="D33" s="2" t="s">
        <v>906</v>
      </c>
    </row>
    <row r="34" spans="1:10" x14ac:dyDescent="0.55000000000000004">
      <c r="A34" s="59" t="s">
        <v>50</v>
      </c>
      <c r="B34" s="59"/>
      <c r="C34" s="5"/>
    </row>
    <row r="35" spans="1:10" x14ac:dyDescent="0.55000000000000004">
      <c r="A35" s="8"/>
      <c r="B35" s="8"/>
      <c r="C35" s="5"/>
    </row>
    <row r="36" spans="1:10" x14ac:dyDescent="0.55000000000000004">
      <c r="A36" s="59"/>
      <c r="B36" s="5" t="s">
        <v>59</v>
      </c>
      <c r="C36" s="5"/>
      <c r="D36" s="2" t="s">
        <v>51</v>
      </c>
      <c r="E36" s="1" t="s">
        <v>52</v>
      </c>
      <c r="F36" s="1" t="s">
        <v>53</v>
      </c>
      <c r="G36" s="1" t="s">
        <v>54</v>
      </c>
      <c r="H36" s="1" t="s">
        <v>55</v>
      </c>
      <c r="I36" s="1" t="s">
        <v>56</v>
      </c>
      <c r="J36" s="1" t="s">
        <v>57</v>
      </c>
    </row>
    <row r="37" spans="1:10" x14ac:dyDescent="0.55000000000000004">
      <c r="A37" s="59"/>
      <c r="B37" s="5"/>
      <c r="C37" s="5" t="s">
        <v>907</v>
      </c>
      <c r="D37" s="7">
        <v>1.8</v>
      </c>
      <c r="E37" s="10">
        <v>0.9</v>
      </c>
    </row>
    <row r="38" spans="1:10" x14ac:dyDescent="0.55000000000000004">
      <c r="A38" s="59"/>
      <c r="B38" s="5"/>
      <c r="C38" s="5" t="s">
        <v>908</v>
      </c>
      <c r="D38" s="7">
        <v>0.9</v>
      </c>
      <c r="E38" s="10">
        <v>0.8</v>
      </c>
    </row>
    <row r="39" spans="1:10" x14ac:dyDescent="0.55000000000000004">
      <c r="A39" s="59"/>
      <c r="B39" s="5"/>
      <c r="C39" s="5" t="s">
        <v>92</v>
      </c>
      <c r="D39" s="7">
        <v>1.7</v>
      </c>
      <c r="E39" s="10">
        <v>0.8</v>
      </c>
    </row>
    <row r="40" spans="1:10" x14ac:dyDescent="0.55000000000000004">
      <c r="A40" s="59"/>
      <c r="B40" s="5"/>
      <c r="C40" s="5" t="s">
        <v>93</v>
      </c>
      <c r="D40" s="7">
        <v>0.8</v>
      </c>
      <c r="E40" s="10">
        <v>0.8</v>
      </c>
    </row>
    <row r="41" spans="1:10" x14ac:dyDescent="0.55000000000000004">
      <c r="A41" s="59"/>
      <c r="B41" s="5"/>
    </row>
    <row r="42" spans="1:10" x14ac:dyDescent="0.55000000000000004">
      <c r="A42" s="59"/>
      <c r="B42" s="5"/>
    </row>
    <row r="43" spans="1:10" x14ac:dyDescent="0.55000000000000004">
      <c r="A43" s="59"/>
      <c r="B43" s="5"/>
    </row>
    <row r="44" spans="1:10" x14ac:dyDescent="0.55000000000000004">
      <c r="A44" s="59"/>
      <c r="B44" s="5"/>
    </row>
    <row r="45" spans="1:10" x14ac:dyDescent="0.55000000000000004">
      <c r="A45" s="59"/>
      <c r="B45" s="5" t="s">
        <v>61</v>
      </c>
      <c r="C45" s="5"/>
    </row>
    <row r="46" spans="1:10" x14ac:dyDescent="0.55000000000000004">
      <c r="A46" s="59"/>
      <c r="B46" s="5"/>
      <c r="C46" s="5" t="s">
        <v>79</v>
      </c>
      <c r="D46" s="2">
        <v>1</v>
      </c>
    </row>
    <row r="47" spans="1:10" x14ac:dyDescent="0.55000000000000004">
      <c r="A47" s="59"/>
      <c r="B47" s="5"/>
    </row>
    <row r="48" spans="1:10" x14ac:dyDescent="0.55000000000000004">
      <c r="A48" s="59"/>
      <c r="B48" s="5"/>
    </row>
    <row r="49" spans="1:3" x14ac:dyDescent="0.55000000000000004">
      <c r="A49" s="59"/>
      <c r="B49" s="5"/>
    </row>
    <row r="50" spans="1:3" x14ac:dyDescent="0.55000000000000004">
      <c r="A50" s="59"/>
      <c r="B50" s="5"/>
    </row>
    <row r="51" spans="1:3" x14ac:dyDescent="0.55000000000000004">
      <c r="A51" s="59"/>
      <c r="B51" s="5"/>
    </row>
    <row r="52" spans="1:3" x14ac:dyDescent="0.55000000000000004">
      <c r="A52" s="59"/>
      <c r="B52" s="5"/>
    </row>
    <row r="53" spans="1:3" x14ac:dyDescent="0.55000000000000004">
      <c r="A53" s="59"/>
      <c r="B53" s="5"/>
    </row>
    <row r="54" spans="1:3" x14ac:dyDescent="0.55000000000000004">
      <c r="A54" s="59"/>
      <c r="B54" s="5"/>
    </row>
    <row r="55" spans="1:3" x14ac:dyDescent="0.55000000000000004">
      <c r="A55" s="59"/>
      <c r="B55" s="5"/>
      <c r="C55" s="5"/>
    </row>
    <row r="56" spans="1:3" x14ac:dyDescent="0.55000000000000004">
      <c r="A56" s="59"/>
      <c r="B56" s="5"/>
      <c r="C56" s="5"/>
    </row>
    <row r="57" spans="1:3" x14ac:dyDescent="0.55000000000000004">
      <c r="A57" s="59"/>
      <c r="B57" s="5"/>
      <c r="C57" s="5"/>
    </row>
    <row r="58" spans="1:3" x14ac:dyDescent="0.55000000000000004">
      <c r="A58" s="59"/>
      <c r="B58" s="5"/>
      <c r="C58" s="5"/>
    </row>
    <row r="59" spans="1:3" x14ac:dyDescent="0.55000000000000004">
      <c r="A59" s="59"/>
      <c r="B59" s="5"/>
      <c r="C59" s="5"/>
    </row>
    <row r="60" spans="1:3" x14ac:dyDescent="0.55000000000000004">
      <c r="A60" s="59"/>
      <c r="B60" s="5"/>
      <c r="C60" s="5"/>
    </row>
    <row r="61" spans="1:3" x14ac:dyDescent="0.55000000000000004">
      <c r="A61" s="59"/>
      <c r="B61" s="5"/>
      <c r="C61" s="5"/>
    </row>
    <row r="62" spans="1:3" x14ac:dyDescent="0.55000000000000004">
      <c r="A62" s="59"/>
      <c r="B62" s="5"/>
      <c r="C62" s="5"/>
    </row>
    <row r="63" spans="1:3" x14ac:dyDescent="0.55000000000000004">
      <c r="A63" s="59"/>
      <c r="B63" s="5"/>
      <c r="C63" s="5"/>
    </row>
    <row r="64" spans="1:3" x14ac:dyDescent="0.55000000000000004">
      <c r="A64" s="59"/>
      <c r="B64" s="5"/>
      <c r="C64" s="5"/>
    </row>
    <row r="65" spans="1:5" x14ac:dyDescent="0.55000000000000004">
      <c r="A65" s="59"/>
      <c r="B65" s="5" t="s">
        <v>62</v>
      </c>
      <c r="C65" s="5"/>
    </row>
    <row r="66" spans="1:5" x14ac:dyDescent="0.55000000000000004">
      <c r="A66" s="59"/>
      <c r="B66" s="5" t="s">
        <v>63</v>
      </c>
      <c r="C66" s="5"/>
      <c r="D66" s="2" t="s">
        <v>911</v>
      </c>
    </row>
    <row r="67" spans="1:5" ht="77.7" x14ac:dyDescent="0.55000000000000004">
      <c r="A67" s="59" t="s">
        <v>65</v>
      </c>
      <c r="B67" s="59"/>
      <c r="C67" s="5"/>
      <c r="D67" s="2" t="s">
        <v>912</v>
      </c>
    </row>
    <row r="68" spans="1:5" x14ac:dyDescent="0.55000000000000004">
      <c r="A68" s="3" t="s">
        <v>67</v>
      </c>
    </row>
    <row r="69" spans="1:5" x14ac:dyDescent="0.55000000000000004">
      <c r="A69" s="1" t="s">
        <v>68</v>
      </c>
      <c r="C69" s="1">
        <v>9</v>
      </c>
      <c r="D69" s="2">
        <v>20</v>
      </c>
    </row>
    <row r="70" spans="1:5" x14ac:dyDescent="0.55000000000000004">
      <c r="B70" s="1" t="s">
        <v>94</v>
      </c>
    </row>
    <row r="71" spans="1:5" x14ac:dyDescent="0.55000000000000004">
      <c r="C71" s="5" t="s">
        <v>909</v>
      </c>
      <c r="D71" s="7">
        <v>1.7</v>
      </c>
      <c r="E71" s="10">
        <v>0.7</v>
      </c>
    </row>
    <row r="72" spans="1:5" x14ac:dyDescent="0.55000000000000004">
      <c r="C72" s="5" t="s">
        <v>910</v>
      </c>
      <c r="D72" s="7">
        <v>0.8</v>
      </c>
      <c r="E72" s="10">
        <v>0.7</v>
      </c>
    </row>
    <row r="73" spans="1:5" x14ac:dyDescent="0.55000000000000004">
      <c r="C73" s="5" t="s">
        <v>897</v>
      </c>
      <c r="D73" s="7">
        <v>1.8</v>
      </c>
      <c r="E73" s="10">
        <v>0.8</v>
      </c>
    </row>
    <row r="74" spans="1:5" x14ac:dyDescent="0.55000000000000004">
      <c r="C74" s="5" t="s">
        <v>898</v>
      </c>
      <c r="D74" s="7">
        <v>1.1000000000000001</v>
      </c>
      <c r="E74" s="10">
        <v>0.8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AMJ69"/>
  <sheetViews>
    <sheetView topLeftCell="B1" zoomScale="90" zoomScaleNormal="90" workbookViewId="0">
      <selection activeCell="F73" sqref="F73"/>
    </sheetView>
  </sheetViews>
  <sheetFormatPr baseColWidth="10" defaultColWidth="11.41796875" defaultRowHeight="14.4" x14ac:dyDescent="0.55000000000000004"/>
  <cols>
    <col min="1" max="1" width="10.83984375" style="11" customWidth="1"/>
    <col min="2" max="2" width="18.83984375" style="11" customWidth="1"/>
    <col min="3" max="3" width="47" style="11" customWidth="1"/>
    <col min="4" max="4" width="56.15625" style="12" customWidth="1"/>
    <col min="5" max="5" width="19.15625" style="11" customWidth="1"/>
    <col min="6" max="6" width="18.15625" style="11" customWidth="1"/>
    <col min="7" max="1024" width="11.41796875" style="11"/>
  </cols>
  <sheetData>
    <row r="1" spans="1:5" x14ac:dyDescent="0.55000000000000004">
      <c r="A1" s="34" t="s">
        <v>0</v>
      </c>
      <c r="D1" s="12" t="s">
        <v>185</v>
      </c>
    </row>
    <row r="2" spans="1:5" ht="26.1" x14ac:dyDescent="0.55000000000000004">
      <c r="A2" s="61" t="s">
        <v>2</v>
      </c>
      <c r="B2" s="61"/>
      <c r="D2" s="12" t="s">
        <v>913</v>
      </c>
    </row>
    <row r="3" spans="1:5" x14ac:dyDescent="0.55000000000000004">
      <c r="A3" s="61"/>
      <c r="B3" s="61"/>
      <c r="C3" s="14" t="s">
        <v>4</v>
      </c>
      <c r="D3" s="12" t="s">
        <v>914</v>
      </c>
    </row>
    <row r="4" spans="1:5" x14ac:dyDescent="0.55000000000000004">
      <c r="A4" s="61"/>
      <c r="B4" s="61"/>
      <c r="C4" s="14" t="s">
        <v>6</v>
      </c>
      <c r="D4" s="12">
        <v>2017</v>
      </c>
    </row>
    <row r="5" spans="1:5" ht="26.1" x14ac:dyDescent="0.55000000000000004">
      <c r="A5" s="61"/>
      <c r="B5" s="61"/>
      <c r="C5" s="14" t="s">
        <v>7</v>
      </c>
      <c r="D5" s="12" t="s">
        <v>915</v>
      </c>
    </row>
    <row r="6" spans="1:5" x14ac:dyDescent="0.55000000000000004">
      <c r="A6" s="61"/>
      <c r="B6" s="61"/>
      <c r="C6" s="14" t="s">
        <v>9</v>
      </c>
      <c r="D6" s="11" t="s">
        <v>916</v>
      </c>
    </row>
    <row r="7" spans="1:5" x14ac:dyDescent="0.55000000000000004">
      <c r="A7" s="61"/>
      <c r="B7" s="61"/>
      <c r="C7" s="14" t="s">
        <v>11</v>
      </c>
      <c r="D7" s="12" t="s">
        <v>12</v>
      </c>
    </row>
    <row r="8" spans="1:5" x14ac:dyDescent="0.55000000000000004">
      <c r="A8" s="60" t="s">
        <v>13</v>
      </c>
      <c r="B8" s="60"/>
      <c r="C8" s="14"/>
    </row>
    <row r="9" spans="1:5" ht="26.1" x14ac:dyDescent="0.55000000000000004">
      <c r="A9" s="61"/>
      <c r="B9" s="61"/>
      <c r="C9" s="14" t="s">
        <v>14</v>
      </c>
      <c r="D9" s="12" t="s">
        <v>917</v>
      </c>
    </row>
    <row r="10" spans="1:5" x14ac:dyDescent="0.55000000000000004">
      <c r="A10" s="61"/>
      <c r="B10" s="61"/>
      <c r="C10" s="14" t="s">
        <v>16</v>
      </c>
      <c r="D10" s="12" t="s">
        <v>454</v>
      </c>
      <c r="E10" s="11" t="s">
        <v>918</v>
      </c>
    </row>
    <row r="11" spans="1:5" x14ac:dyDescent="0.55000000000000004">
      <c r="A11" s="61"/>
      <c r="B11" s="61"/>
      <c r="C11" s="14" t="s">
        <v>19</v>
      </c>
      <c r="D11" s="35">
        <v>40909</v>
      </c>
    </row>
    <row r="12" spans="1:5" x14ac:dyDescent="0.55000000000000004">
      <c r="A12" s="61"/>
      <c r="B12" s="61"/>
      <c r="C12" s="14" t="s">
        <v>21</v>
      </c>
      <c r="D12" s="35">
        <v>41639</v>
      </c>
    </row>
    <row r="13" spans="1:5" x14ac:dyDescent="0.55000000000000004">
      <c r="A13" s="61"/>
      <c r="B13" s="61"/>
      <c r="C13" s="14" t="s">
        <v>22</v>
      </c>
    </row>
    <row r="14" spans="1:5" x14ac:dyDescent="0.55000000000000004">
      <c r="A14" s="60" t="s">
        <v>24</v>
      </c>
      <c r="B14" s="60"/>
      <c r="C14" s="14"/>
    </row>
    <row r="15" spans="1:5" x14ac:dyDescent="0.55000000000000004">
      <c r="A15" s="61"/>
      <c r="B15" s="61"/>
      <c r="C15" s="14" t="s">
        <v>25</v>
      </c>
      <c r="D15" s="12" t="s">
        <v>553</v>
      </c>
    </row>
    <row r="16" spans="1:5" x14ac:dyDescent="0.55000000000000004">
      <c r="A16" s="61"/>
      <c r="B16" s="61"/>
      <c r="C16" s="14" t="s">
        <v>27</v>
      </c>
      <c r="D16" s="12" t="s">
        <v>919</v>
      </c>
    </row>
    <row r="17" spans="1:6" x14ac:dyDescent="0.55000000000000004">
      <c r="A17" s="60" t="s">
        <v>29</v>
      </c>
      <c r="B17" s="60"/>
      <c r="C17" s="14"/>
    </row>
    <row r="18" spans="1:6" ht="51.9" x14ac:dyDescent="0.55000000000000004">
      <c r="A18" s="61"/>
      <c r="B18" s="61"/>
      <c r="C18" s="14" t="s">
        <v>30</v>
      </c>
      <c r="D18" s="12" t="s">
        <v>920</v>
      </c>
    </row>
    <row r="19" spans="1:6" ht="129.30000000000001" x14ac:dyDescent="0.55000000000000004">
      <c r="A19" s="61"/>
      <c r="B19" s="61"/>
      <c r="C19" s="14" t="s">
        <v>32</v>
      </c>
      <c r="D19" s="12" t="s">
        <v>921</v>
      </c>
    </row>
    <row r="20" spans="1:6" x14ac:dyDescent="0.55000000000000004">
      <c r="A20" s="60" t="s">
        <v>34</v>
      </c>
      <c r="B20" s="60"/>
      <c r="C20" s="14"/>
      <c r="D20" s="12" t="s">
        <v>109</v>
      </c>
      <c r="E20" s="11" t="s">
        <v>185</v>
      </c>
      <c r="F20" s="11" t="s">
        <v>35</v>
      </c>
    </row>
    <row r="21" spans="1:6" x14ac:dyDescent="0.55000000000000004">
      <c r="A21" s="61"/>
      <c r="B21" s="61"/>
      <c r="C21" s="14" t="s">
        <v>36</v>
      </c>
      <c r="D21" s="12" t="s">
        <v>20</v>
      </c>
      <c r="E21" s="11" t="s">
        <v>20</v>
      </c>
      <c r="F21" s="11">
        <v>292</v>
      </c>
    </row>
    <row r="22" spans="1:6" x14ac:dyDescent="0.55000000000000004">
      <c r="A22" s="61"/>
      <c r="B22" s="61"/>
      <c r="C22" s="14" t="s">
        <v>37</v>
      </c>
      <c r="D22" s="12">
        <v>146</v>
      </c>
      <c r="E22" s="11">
        <v>146</v>
      </c>
      <c r="F22" s="11">
        <f>SUM(D22:E22)</f>
        <v>292</v>
      </c>
    </row>
    <row r="23" spans="1:6" x14ac:dyDescent="0.55000000000000004">
      <c r="A23" s="61"/>
      <c r="B23" s="61"/>
      <c r="C23" s="14" t="s">
        <v>38</v>
      </c>
      <c r="D23" s="12">
        <v>141</v>
      </c>
      <c r="E23" s="11">
        <v>139</v>
      </c>
      <c r="F23" s="11">
        <f>SUM(D23:E23)</f>
        <v>280</v>
      </c>
    </row>
    <row r="24" spans="1:6" x14ac:dyDescent="0.55000000000000004">
      <c r="A24" s="61"/>
      <c r="B24" s="61"/>
      <c r="C24" s="14" t="s">
        <v>39</v>
      </c>
      <c r="D24" s="12">
        <f>D22-D23</f>
        <v>5</v>
      </c>
      <c r="E24" s="11">
        <f>E22-E23</f>
        <v>7</v>
      </c>
      <c r="F24" s="11">
        <f>F22-F23</f>
        <v>12</v>
      </c>
    </row>
    <row r="25" spans="1:6" x14ac:dyDescent="0.55000000000000004">
      <c r="A25" s="61"/>
      <c r="B25" s="61"/>
      <c r="C25" s="14" t="s">
        <v>40</v>
      </c>
      <c r="D25" s="16">
        <f>74/140</f>
        <v>0.52857142857142858</v>
      </c>
      <c r="E25" s="17">
        <f>80/139</f>
        <v>0.57553956834532372</v>
      </c>
      <c r="F25" s="17">
        <f>(74+80)/(139+140)</f>
        <v>0.55197132616487454</v>
      </c>
    </row>
    <row r="26" spans="1:6" x14ac:dyDescent="0.55000000000000004">
      <c r="A26" s="61"/>
      <c r="B26" s="61"/>
      <c r="C26" s="14" t="s">
        <v>41</v>
      </c>
      <c r="D26" s="16">
        <v>64.16</v>
      </c>
      <c r="E26" s="17">
        <v>63.86</v>
      </c>
      <c r="F26" s="17">
        <f>(D26*95+E26*117)/(117+95)</f>
        <v>63.994433962264146</v>
      </c>
    </row>
    <row r="27" spans="1:6" x14ac:dyDescent="0.55000000000000004">
      <c r="A27" s="61"/>
      <c r="B27" s="61"/>
      <c r="C27" s="14" t="s">
        <v>42</v>
      </c>
      <c r="D27" s="16">
        <v>7.82</v>
      </c>
      <c r="E27" s="17">
        <v>8.51</v>
      </c>
      <c r="F27" s="17">
        <f>SQRT((D23*(D27^2+(D26-F$26)^2)+E23*(E27^2+(E26-F$26)^2))/(D23+E23))</f>
        <v>8.1712167925965389</v>
      </c>
    </row>
    <row r="28" spans="1:6" x14ac:dyDescent="0.55000000000000004">
      <c r="A28" s="61"/>
      <c r="B28" s="61"/>
      <c r="C28" s="14" t="s">
        <v>43</v>
      </c>
    </row>
    <row r="29" spans="1:6" x14ac:dyDescent="0.55000000000000004">
      <c r="A29" s="61"/>
      <c r="B29" s="61"/>
      <c r="C29" s="14" t="s">
        <v>44</v>
      </c>
      <c r="D29" s="12">
        <v>2</v>
      </c>
      <c r="E29" s="11">
        <v>2</v>
      </c>
      <c r="F29" s="11">
        <v>2</v>
      </c>
    </row>
    <row r="30" spans="1:6" x14ac:dyDescent="0.55000000000000004">
      <c r="A30" s="61"/>
      <c r="B30" s="61"/>
      <c r="C30" s="14" t="s">
        <v>45</v>
      </c>
      <c r="D30" s="16">
        <v>26.58</v>
      </c>
      <c r="E30" s="17">
        <v>26.45</v>
      </c>
      <c r="F30" s="17">
        <f>(D30*95+E30*117)/(117+95)</f>
        <v>26.508254716981131</v>
      </c>
    </row>
    <row r="31" spans="1:6" x14ac:dyDescent="0.55000000000000004">
      <c r="A31" s="61"/>
      <c r="B31" s="61"/>
      <c r="C31" s="14" t="s">
        <v>46</v>
      </c>
      <c r="D31" s="16">
        <v>11.53</v>
      </c>
      <c r="E31" s="17">
        <v>11.16</v>
      </c>
      <c r="F31" s="17">
        <f>SQRT((D22*(D31^2+(D30-F$30)^2)+E22*(E31^2+(E30-F$30)^2))/(D22+E22))</f>
        <v>11.346696457508811</v>
      </c>
    </row>
    <row r="32" spans="1:6" x14ac:dyDescent="0.55000000000000004">
      <c r="A32" s="60" t="s">
        <v>47</v>
      </c>
      <c r="B32" s="60"/>
      <c r="C32" s="14"/>
    </row>
    <row r="33" spans="1:11" ht="39" x14ac:dyDescent="0.55000000000000004">
      <c r="A33" s="61"/>
      <c r="B33" s="61"/>
      <c r="C33" s="14" t="s">
        <v>48</v>
      </c>
      <c r="D33" s="12" t="s">
        <v>922</v>
      </c>
    </row>
    <row r="34" spans="1:11" x14ac:dyDescent="0.55000000000000004">
      <c r="A34" s="60" t="s">
        <v>50</v>
      </c>
      <c r="B34" s="60"/>
      <c r="C34" s="14"/>
    </row>
    <row r="35" spans="1:11" x14ac:dyDescent="0.55000000000000004">
      <c r="A35" s="36"/>
      <c r="B35" s="36"/>
      <c r="C35" s="14"/>
      <c r="D35" s="2" t="s">
        <v>51</v>
      </c>
      <c r="E35" s="1" t="s">
        <v>52</v>
      </c>
      <c r="F35" s="1" t="s">
        <v>53</v>
      </c>
      <c r="G35" s="1" t="s">
        <v>54</v>
      </c>
      <c r="H35" s="1" t="s">
        <v>55</v>
      </c>
      <c r="I35" s="1" t="s">
        <v>56</v>
      </c>
      <c r="J35" s="1" t="s">
        <v>57</v>
      </c>
      <c r="K35" s="11" t="s">
        <v>58</v>
      </c>
    </row>
    <row r="36" spans="1:11" x14ac:dyDescent="0.55000000000000004">
      <c r="A36" s="60"/>
      <c r="B36" s="14" t="s">
        <v>59</v>
      </c>
      <c r="C36" s="14"/>
    </row>
    <row r="37" spans="1:11" x14ac:dyDescent="0.55000000000000004">
      <c r="A37" s="60"/>
      <c r="B37" s="14"/>
      <c r="C37" s="5"/>
    </row>
    <row r="38" spans="1:11" x14ac:dyDescent="0.55000000000000004">
      <c r="A38" s="60"/>
      <c r="B38" s="14"/>
      <c r="C38" s="5"/>
    </row>
    <row r="39" spans="1:11" x14ac:dyDescent="0.55000000000000004">
      <c r="A39" s="60"/>
      <c r="B39" s="14"/>
      <c r="C39" s="1" t="s">
        <v>923</v>
      </c>
      <c r="D39" s="12">
        <v>-1.179</v>
      </c>
      <c r="E39" s="11">
        <f>F39*SQRT(E23)</f>
        <v>1.5916265265444656</v>
      </c>
      <c r="F39" s="11">
        <v>0.13500000000000001</v>
      </c>
      <c r="J39" s="11">
        <v>4.2519999999999998</v>
      </c>
    </row>
    <row r="40" spans="1:11" x14ac:dyDescent="0.55000000000000004">
      <c r="A40" s="60"/>
      <c r="B40" s="14"/>
      <c r="C40" s="1" t="s">
        <v>924</v>
      </c>
      <c r="D40" s="12">
        <v>-0.77600000000000002</v>
      </c>
      <c r="E40" s="11">
        <f>F40*SQRT(D23)</f>
        <v>1.6030361817501189</v>
      </c>
      <c r="F40" s="11">
        <v>0.13500000000000001</v>
      </c>
      <c r="J40" s="11">
        <v>3.6749999999999998</v>
      </c>
    </row>
    <row r="41" spans="1:11" x14ac:dyDescent="0.55000000000000004">
      <c r="A41" s="60"/>
      <c r="B41" s="14"/>
    </row>
    <row r="42" spans="1:11" x14ac:dyDescent="0.55000000000000004">
      <c r="A42" s="60"/>
      <c r="B42" s="14"/>
    </row>
    <row r="43" spans="1:11" x14ac:dyDescent="0.55000000000000004">
      <c r="A43" s="60"/>
      <c r="B43" s="14"/>
      <c r="C43" s="14"/>
    </row>
    <row r="44" spans="1:11" x14ac:dyDescent="0.55000000000000004">
      <c r="A44" s="60"/>
      <c r="B44" s="14"/>
      <c r="C44" s="14"/>
    </row>
    <row r="45" spans="1:11" x14ac:dyDescent="0.55000000000000004">
      <c r="A45" s="60"/>
      <c r="B45" s="14" t="s">
        <v>61</v>
      </c>
      <c r="C45" s="14"/>
    </row>
    <row r="46" spans="1:11" x14ac:dyDescent="0.55000000000000004">
      <c r="A46" s="60"/>
      <c r="B46" s="14"/>
      <c r="C46" s="5"/>
    </row>
    <row r="47" spans="1:11" x14ac:dyDescent="0.55000000000000004">
      <c r="A47" s="60"/>
      <c r="B47" s="14"/>
      <c r="C47" s="5"/>
    </row>
    <row r="48" spans="1:11" x14ac:dyDescent="0.55000000000000004">
      <c r="A48" s="60"/>
      <c r="B48" s="14"/>
      <c r="C48" s="5"/>
    </row>
    <row r="49" spans="1:3" x14ac:dyDescent="0.55000000000000004">
      <c r="A49" s="60"/>
      <c r="B49" s="14"/>
      <c r="C49" s="5"/>
    </row>
    <row r="50" spans="1:3" x14ac:dyDescent="0.55000000000000004">
      <c r="A50" s="60"/>
      <c r="B50" s="14"/>
      <c r="C50" s="5"/>
    </row>
    <row r="51" spans="1:3" x14ac:dyDescent="0.55000000000000004">
      <c r="A51" s="60"/>
      <c r="B51" s="14"/>
      <c r="C51" s="5"/>
    </row>
    <row r="52" spans="1:3" x14ac:dyDescent="0.55000000000000004">
      <c r="A52" s="60"/>
      <c r="B52" s="14"/>
      <c r="C52" s="5"/>
    </row>
    <row r="53" spans="1:3" x14ac:dyDescent="0.55000000000000004">
      <c r="A53" s="60"/>
      <c r="B53" s="14"/>
      <c r="C53" s="5"/>
    </row>
    <row r="54" spans="1:3" x14ac:dyDescent="0.55000000000000004">
      <c r="A54" s="60"/>
      <c r="B54" s="14"/>
      <c r="C54" s="5"/>
    </row>
    <row r="55" spans="1:3" x14ac:dyDescent="0.55000000000000004">
      <c r="A55" s="60"/>
      <c r="B55" s="14"/>
      <c r="C55" s="14"/>
    </row>
    <row r="56" spans="1:3" x14ac:dyDescent="0.55000000000000004">
      <c r="A56" s="60"/>
      <c r="B56" s="14"/>
      <c r="C56" s="14"/>
    </row>
    <row r="57" spans="1:3" x14ac:dyDescent="0.55000000000000004">
      <c r="A57" s="60"/>
      <c r="B57" s="14"/>
      <c r="C57" s="14"/>
    </row>
    <row r="58" spans="1:3" x14ac:dyDescent="0.55000000000000004">
      <c r="A58" s="60"/>
      <c r="B58" s="14"/>
      <c r="C58" s="14"/>
    </row>
    <row r="59" spans="1:3" x14ac:dyDescent="0.55000000000000004">
      <c r="A59" s="60"/>
      <c r="B59" s="14"/>
      <c r="C59" s="14"/>
    </row>
    <row r="60" spans="1:3" x14ac:dyDescent="0.55000000000000004">
      <c r="A60" s="60"/>
      <c r="B60" s="14"/>
      <c r="C60" s="14"/>
    </row>
    <row r="61" spans="1:3" x14ac:dyDescent="0.55000000000000004">
      <c r="A61" s="60"/>
      <c r="B61" s="14"/>
      <c r="C61" s="14"/>
    </row>
    <row r="62" spans="1:3" x14ac:dyDescent="0.55000000000000004">
      <c r="A62" s="60"/>
      <c r="B62" s="14"/>
      <c r="C62" s="14"/>
    </row>
    <row r="63" spans="1:3" x14ac:dyDescent="0.55000000000000004">
      <c r="A63" s="60"/>
      <c r="B63" s="14"/>
      <c r="C63" s="14"/>
    </row>
    <row r="64" spans="1:3" x14ac:dyDescent="0.55000000000000004">
      <c r="A64" s="60"/>
      <c r="B64" s="14"/>
      <c r="C64" s="14"/>
    </row>
    <row r="65" spans="1:4" x14ac:dyDescent="0.55000000000000004">
      <c r="A65" s="60"/>
      <c r="B65" s="14" t="s">
        <v>62</v>
      </c>
      <c r="C65" s="14"/>
      <c r="D65" s="12">
        <f>12*7</f>
        <v>84</v>
      </c>
    </row>
    <row r="66" spans="1:4" x14ac:dyDescent="0.55000000000000004">
      <c r="A66" s="60"/>
      <c r="B66" s="14" t="s">
        <v>63</v>
      </c>
      <c r="C66" s="14"/>
      <c r="D66" s="12" t="s">
        <v>207</v>
      </c>
    </row>
    <row r="67" spans="1:4" x14ac:dyDescent="0.55000000000000004">
      <c r="A67" s="60" t="s">
        <v>65</v>
      </c>
      <c r="B67" s="60"/>
      <c r="C67" s="14" t="s">
        <v>925</v>
      </c>
    </row>
    <row r="68" spans="1:4" x14ac:dyDescent="0.55000000000000004">
      <c r="A68" s="34" t="s">
        <v>67</v>
      </c>
    </row>
    <row r="69" spans="1:4" x14ac:dyDescent="0.55000000000000004">
      <c r="A69" s="11" t="s">
        <v>68</v>
      </c>
      <c r="C69" s="11">
        <v>25</v>
      </c>
      <c r="D69" s="12">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82"/>
  <sheetViews>
    <sheetView zoomScale="90" zoomScaleNormal="90" workbookViewId="0">
      <selection activeCell="F26" sqref="F26"/>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7.41796875" style="1" customWidth="1"/>
    <col min="6" max="6" width="4.83984375" style="1" customWidth="1"/>
    <col min="7" max="1024" width="11.41796875" style="1"/>
  </cols>
  <sheetData>
    <row r="1" spans="1:4" x14ac:dyDescent="0.55000000000000004">
      <c r="A1" s="3" t="s">
        <v>0</v>
      </c>
      <c r="D1" s="2" t="s">
        <v>136</v>
      </c>
    </row>
    <row r="2" spans="1:4" x14ac:dyDescent="0.55000000000000004">
      <c r="A2" s="58" t="s">
        <v>2</v>
      </c>
      <c r="B2" s="58"/>
      <c r="D2" s="2" t="s">
        <v>137</v>
      </c>
    </row>
    <row r="3" spans="1:4" x14ac:dyDescent="0.55000000000000004">
      <c r="A3" s="58"/>
      <c r="B3" s="58"/>
      <c r="C3" s="5" t="s">
        <v>4</v>
      </c>
      <c r="D3" s="2" t="s">
        <v>138</v>
      </c>
    </row>
    <row r="4" spans="1:4" x14ac:dyDescent="0.55000000000000004">
      <c r="A4" s="58"/>
      <c r="B4" s="58"/>
      <c r="C4" s="5" t="s">
        <v>6</v>
      </c>
      <c r="D4" s="2">
        <v>2008</v>
      </c>
    </row>
    <row r="5" spans="1:4" ht="26.1" x14ac:dyDescent="0.55000000000000004">
      <c r="A5" s="58"/>
      <c r="B5" s="58"/>
      <c r="C5" s="5" t="s">
        <v>7</v>
      </c>
      <c r="D5" s="2" t="s">
        <v>139</v>
      </c>
    </row>
    <row r="6" spans="1:4" x14ac:dyDescent="0.55000000000000004">
      <c r="A6" s="58"/>
      <c r="B6" s="58"/>
      <c r="C6" s="5" t="s">
        <v>9</v>
      </c>
      <c r="D6" s="2" t="s">
        <v>140</v>
      </c>
    </row>
    <row r="7" spans="1:4" x14ac:dyDescent="0.55000000000000004">
      <c r="A7" s="58"/>
      <c r="B7" s="58"/>
      <c r="C7" s="5" t="s">
        <v>11</v>
      </c>
      <c r="D7" s="2" t="s">
        <v>12</v>
      </c>
    </row>
    <row r="8" spans="1:4" x14ac:dyDescent="0.55000000000000004">
      <c r="A8" s="59" t="s">
        <v>13</v>
      </c>
      <c r="B8" s="59"/>
      <c r="C8" s="5"/>
    </row>
    <row r="9" spans="1:4" x14ac:dyDescent="0.55000000000000004">
      <c r="A9" s="58"/>
      <c r="B9" s="58"/>
      <c r="C9" s="5" t="s">
        <v>14</v>
      </c>
      <c r="D9" s="2" t="s">
        <v>141</v>
      </c>
    </row>
    <row r="10" spans="1:4" x14ac:dyDescent="0.55000000000000004">
      <c r="A10" s="58"/>
      <c r="B10" s="58"/>
      <c r="C10" s="5" t="s">
        <v>16</v>
      </c>
      <c r="D10" s="2" t="s">
        <v>86</v>
      </c>
    </row>
    <row r="11" spans="1:4" x14ac:dyDescent="0.55000000000000004">
      <c r="A11" s="58"/>
      <c r="B11" s="58"/>
      <c r="C11" s="5" t="s">
        <v>19</v>
      </c>
      <c r="D11" s="2" t="s">
        <v>20</v>
      </c>
    </row>
    <row r="12" spans="1:4" x14ac:dyDescent="0.55000000000000004">
      <c r="A12" s="58"/>
      <c r="B12" s="58"/>
      <c r="C12" s="5" t="s">
        <v>21</v>
      </c>
      <c r="D12" s="2" t="s">
        <v>20</v>
      </c>
    </row>
    <row r="13" spans="1:4" x14ac:dyDescent="0.55000000000000004">
      <c r="A13" s="58"/>
      <c r="B13" s="58"/>
      <c r="C13" s="5" t="s">
        <v>22</v>
      </c>
      <c r="D13" s="2" t="s">
        <v>20</v>
      </c>
    </row>
    <row r="14" spans="1:4" x14ac:dyDescent="0.55000000000000004">
      <c r="A14" s="59" t="s">
        <v>24</v>
      </c>
      <c r="B14" s="59"/>
      <c r="C14" s="5"/>
    </row>
    <row r="15" spans="1:4" x14ac:dyDescent="0.55000000000000004">
      <c r="A15" s="58"/>
      <c r="B15" s="58"/>
      <c r="C15" s="5" t="s">
        <v>25</v>
      </c>
      <c r="D15" s="2" t="s">
        <v>87</v>
      </c>
    </row>
    <row r="16" spans="1:4" x14ac:dyDescent="0.55000000000000004">
      <c r="A16" s="58"/>
      <c r="B16" s="58"/>
      <c r="C16" s="5" t="s">
        <v>27</v>
      </c>
      <c r="D16" s="2" t="s">
        <v>142</v>
      </c>
    </row>
    <row r="17" spans="1:4" x14ac:dyDescent="0.55000000000000004">
      <c r="A17" s="59" t="s">
        <v>29</v>
      </c>
      <c r="B17" s="59"/>
      <c r="C17" s="5"/>
    </row>
    <row r="18" spans="1:4" ht="26.1" x14ac:dyDescent="0.55000000000000004">
      <c r="A18" s="58"/>
      <c r="B18" s="58"/>
      <c r="C18" s="5" t="s">
        <v>30</v>
      </c>
      <c r="D18" s="2" t="s">
        <v>143</v>
      </c>
    </row>
    <row r="19" spans="1:4" ht="26.1" x14ac:dyDescent="0.55000000000000004">
      <c r="A19" s="58"/>
      <c r="B19" s="58"/>
      <c r="C19" s="5" t="s">
        <v>32</v>
      </c>
      <c r="D19" s="2" t="s">
        <v>144</v>
      </c>
    </row>
    <row r="20" spans="1:4" x14ac:dyDescent="0.55000000000000004">
      <c r="A20" s="59" t="s">
        <v>34</v>
      </c>
      <c r="B20" s="59"/>
      <c r="C20" s="5"/>
      <c r="D20" s="2" t="s">
        <v>35</v>
      </c>
    </row>
    <row r="21" spans="1:4" x14ac:dyDescent="0.55000000000000004">
      <c r="A21" s="58"/>
      <c r="B21" s="58"/>
      <c r="C21" s="5" t="s">
        <v>36</v>
      </c>
    </row>
    <row r="22" spans="1:4" x14ac:dyDescent="0.55000000000000004">
      <c r="A22" s="58"/>
      <c r="B22" s="58"/>
      <c r="C22" s="5" t="s">
        <v>37</v>
      </c>
      <c r="D22" s="2">
        <v>10</v>
      </c>
    </row>
    <row r="23" spans="1:4" x14ac:dyDescent="0.55000000000000004">
      <c r="A23" s="58"/>
      <c r="B23" s="58"/>
      <c r="C23" s="5" t="s">
        <v>38</v>
      </c>
      <c r="D23" s="2">
        <v>10</v>
      </c>
    </row>
    <row r="24" spans="1:4" x14ac:dyDescent="0.55000000000000004">
      <c r="A24" s="58"/>
      <c r="B24" s="58"/>
      <c r="C24" s="5" t="s">
        <v>39</v>
      </c>
      <c r="D24" s="2">
        <v>0</v>
      </c>
    </row>
    <row r="25" spans="1:4" x14ac:dyDescent="0.55000000000000004">
      <c r="A25" s="58"/>
      <c r="B25" s="58"/>
      <c r="C25" s="5" t="s">
        <v>40</v>
      </c>
      <c r="D25" s="2">
        <v>20</v>
      </c>
    </row>
    <row r="26" spans="1:4" x14ac:dyDescent="0.55000000000000004">
      <c r="A26" s="58"/>
      <c r="B26" s="58"/>
      <c r="C26" s="5" t="s">
        <v>41</v>
      </c>
      <c r="D26" s="7">
        <v>66.599999999999994</v>
      </c>
    </row>
    <row r="27" spans="1:4" x14ac:dyDescent="0.55000000000000004">
      <c r="A27" s="58"/>
      <c r="B27" s="58"/>
      <c r="C27" s="5" t="s">
        <v>42</v>
      </c>
      <c r="D27" s="7">
        <v>8.6999999999999993</v>
      </c>
    </row>
    <row r="28" spans="1:4" x14ac:dyDescent="0.55000000000000004">
      <c r="A28" s="58"/>
      <c r="B28" s="58"/>
      <c r="C28" s="5" t="s">
        <v>43</v>
      </c>
      <c r="D28" s="2" t="s">
        <v>20</v>
      </c>
    </row>
    <row r="29" spans="1:4" x14ac:dyDescent="0.55000000000000004">
      <c r="A29" s="58"/>
      <c r="B29" s="58"/>
      <c r="C29" s="5" t="s">
        <v>44</v>
      </c>
      <c r="D29" s="2" t="s">
        <v>20</v>
      </c>
    </row>
    <row r="30" spans="1:4" x14ac:dyDescent="0.55000000000000004">
      <c r="A30" s="58"/>
      <c r="B30" s="58"/>
      <c r="C30" s="5" t="s">
        <v>45</v>
      </c>
      <c r="D30" s="7">
        <v>29.3</v>
      </c>
    </row>
    <row r="31" spans="1:4" x14ac:dyDescent="0.55000000000000004">
      <c r="A31" s="58"/>
      <c r="B31" s="58"/>
      <c r="C31" s="5" t="s">
        <v>46</v>
      </c>
      <c r="D31" s="7">
        <v>14.2</v>
      </c>
    </row>
    <row r="32" spans="1:4" x14ac:dyDescent="0.55000000000000004">
      <c r="A32" s="59" t="s">
        <v>47</v>
      </c>
      <c r="B32" s="59"/>
      <c r="C32" s="5"/>
    </row>
    <row r="33" spans="1:11" ht="39" x14ac:dyDescent="0.55000000000000004">
      <c r="A33" s="58"/>
      <c r="B33" s="58"/>
      <c r="C33" s="5" t="s">
        <v>48</v>
      </c>
      <c r="D33" s="2" t="s">
        <v>145</v>
      </c>
    </row>
    <row r="34" spans="1:11" x14ac:dyDescent="0.55000000000000004">
      <c r="A34" s="59" t="s">
        <v>50</v>
      </c>
      <c r="B34" s="59"/>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9"/>
      <c r="B36" s="5" t="s">
        <v>59</v>
      </c>
      <c r="C36" s="5"/>
    </row>
    <row r="37" spans="1:11" x14ac:dyDescent="0.55000000000000004">
      <c r="A37" s="59"/>
      <c r="B37" s="5"/>
      <c r="C37" s="5" t="s">
        <v>146</v>
      </c>
      <c r="D37" s="7">
        <v>4.5999999999999996</v>
      </c>
      <c r="E37" s="10">
        <v>2.1</v>
      </c>
      <c r="J37" s="1">
        <v>2.1</v>
      </c>
    </row>
    <row r="38" spans="1:11" x14ac:dyDescent="0.55000000000000004">
      <c r="A38" s="59"/>
      <c r="B38" s="5"/>
      <c r="C38" s="5" t="s">
        <v>147</v>
      </c>
      <c r="D38" s="7">
        <v>2.7</v>
      </c>
      <c r="E38" s="10"/>
    </row>
    <row r="39" spans="1:11" x14ac:dyDescent="0.55000000000000004">
      <c r="A39" s="59"/>
      <c r="B39" s="5"/>
    </row>
    <row r="40" spans="1:11" x14ac:dyDescent="0.55000000000000004">
      <c r="A40" s="59"/>
      <c r="B40" s="5"/>
    </row>
    <row r="41" spans="1:11" x14ac:dyDescent="0.55000000000000004">
      <c r="A41" s="59"/>
      <c r="B41" s="5"/>
    </row>
    <row r="42" spans="1:11" x14ac:dyDescent="0.55000000000000004">
      <c r="A42" s="59"/>
      <c r="B42" s="5"/>
    </row>
    <row r="43" spans="1:11" x14ac:dyDescent="0.55000000000000004">
      <c r="A43" s="59"/>
      <c r="B43" s="5"/>
      <c r="D43" s="7"/>
      <c r="E43" s="10"/>
    </row>
    <row r="44" spans="1:11" x14ac:dyDescent="0.55000000000000004">
      <c r="A44" s="59"/>
      <c r="B44" s="5"/>
      <c r="D44" s="7"/>
      <c r="E44" s="10"/>
    </row>
    <row r="45" spans="1:11" x14ac:dyDescent="0.55000000000000004">
      <c r="A45" s="59"/>
      <c r="B45" s="5"/>
      <c r="C45" s="5"/>
    </row>
    <row r="46" spans="1:11" x14ac:dyDescent="0.55000000000000004">
      <c r="A46" s="59"/>
      <c r="B46" s="5" t="s">
        <v>61</v>
      </c>
      <c r="C46" s="5"/>
    </row>
    <row r="47" spans="1:11" x14ac:dyDescent="0.55000000000000004">
      <c r="A47" s="59"/>
      <c r="B47" s="5"/>
      <c r="C47" s="5" t="s">
        <v>79</v>
      </c>
      <c r="D47" s="7">
        <v>1</v>
      </c>
    </row>
    <row r="48" spans="1:11" x14ac:dyDescent="0.55000000000000004">
      <c r="A48" s="59"/>
      <c r="B48" s="5"/>
    </row>
    <row r="49" spans="1:5" x14ac:dyDescent="0.55000000000000004">
      <c r="A49" s="59"/>
      <c r="B49" s="5"/>
    </row>
    <row r="50" spans="1:5" x14ac:dyDescent="0.55000000000000004">
      <c r="A50" s="59"/>
      <c r="B50" s="5"/>
    </row>
    <row r="51" spans="1:5" x14ac:dyDescent="0.55000000000000004">
      <c r="A51" s="59"/>
      <c r="B51" s="5"/>
    </row>
    <row r="52" spans="1:5" x14ac:dyDescent="0.55000000000000004">
      <c r="A52" s="59"/>
      <c r="B52" s="5"/>
    </row>
    <row r="53" spans="1:5" x14ac:dyDescent="0.55000000000000004">
      <c r="A53" s="59"/>
      <c r="B53" s="5"/>
    </row>
    <row r="54" spans="1:5" x14ac:dyDescent="0.55000000000000004">
      <c r="A54" s="59"/>
      <c r="B54" s="5"/>
    </row>
    <row r="55" spans="1:5" x14ac:dyDescent="0.55000000000000004">
      <c r="A55" s="59"/>
      <c r="B55" s="5"/>
      <c r="E55" s="10"/>
    </row>
    <row r="56" spans="1:5" x14ac:dyDescent="0.55000000000000004">
      <c r="A56" s="59"/>
      <c r="B56" s="5"/>
      <c r="C56" s="5"/>
      <c r="D56" s="7"/>
      <c r="E56" s="10"/>
    </row>
    <row r="57" spans="1:5" x14ac:dyDescent="0.55000000000000004">
      <c r="A57" s="59"/>
      <c r="B57" s="5"/>
      <c r="C57" s="5"/>
      <c r="D57" s="7"/>
      <c r="E57" s="10"/>
    </row>
    <row r="58" spans="1:5" x14ac:dyDescent="0.55000000000000004">
      <c r="A58" s="59"/>
      <c r="B58" s="5"/>
      <c r="C58" s="5"/>
      <c r="D58" s="7"/>
      <c r="E58" s="10"/>
    </row>
    <row r="59" spans="1:5" x14ac:dyDescent="0.55000000000000004">
      <c r="A59" s="59"/>
      <c r="B59" s="5"/>
      <c r="C59" s="5"/>
      <c r="D59" s="7"/>
      <c r="E59" s="10"/>
    </row>
    <row r="60" spans="1:5" x14ac:dyDescent="0.55000000000000004">
      <c r="A60" s="59"/>
      <c r="B60" s="5"/>
      <c r="C60" s="5"/>
      <c r="D60" s="7"/>
      <c r="E60" s="10"/>
    </row>
    <row r="61" spans="1:5" x14ac:dyDescent="0.55000000000000004">
      <c r="A61" s="59"/>
      <c r="B61" s="5"/>
      <c r="C61" s="5"/>
      <c r="D61" s="7"/>
      <c r="E61" s="10"/>
    </row>
    <row r="62" spans="1:5" x14ac:dyDescent="0.55000000000000004">
      <c r="A62" s="59"/>
      <c r="B62" s="5"/>
      <c r="C62" s="5"/>
      <c r="D62" s="7"/>
      <c r="E62" s="10"/>
    </row>
    <row r="63" spans="1:5" x14ac:dyDescent="0.55000000000000004">
      <c r="A63" s="59"/>
      <c r="B63" s="5"/>
    </row>
    <row r="64" spans="1:5" x14ac:dyDescent="0.55000000000000004">
      <c r="A64" s="59"/>
      <c r="B64" s="5"/>
    </row>
    <row r="65" spans="1:5" x14ac:dyDescent="0.55000000000000004">
      <c r="A65" s="59"/>
      <c r="B65" s="5" t="s">
        <v>62</v>
      </c>
      <c r="C65" s="5"/>
      <c r="D65" s="2">
        <v>42</v>
      </c>
    </row>
    <row r="66" spans="1:5" x14ac:dyDescent="0.55000000000000004">
      <c r="A66" s="59"/>
      <c r="B66" s="5" t="s">
        <v>63</v>
      </c>
      <c r="C66" s="5"/>
      <c r="D66" s="2" t="s">
        <v>64</v>
      </c>
    </row>
    <row r="67" spans="1:5" x14ac:dyDescent="0.55000000000000004">
      <c r="A67" s="59" t="s">
        <v>65</v>
      </c>
      <c r="B67" s="59"/>
      <c r="C67" s="5"/>
    </row>
    <row r="68" spans="1:5" x14ac:dyDescent="0.55000000000000004">
      <c r="A68" s="3" t="s">
        <v>67</v>
      </c>
    </row>
    <row r="69" spans="1:5" x14ac:dyDescent="0.55000000000000004">
      <c r="A69" s="1" t="s">
        <v>68</v>
      </c>
      <c r="C69" s="1">
        <v>19</v>
      </c>
      <c r="D69" s="2">
        <v>20</v>
      </c>
    </row>
    <row r="70" spans="1:5" x14ac:dyDescent="0.55000000000000004">
      <c r="B70" s="1" t="s">
        <v>94</v>
      </c>
    </row>
    <row r="71" spans="1:5" x14ac:dyDescent="0.55000000000000004">
      <c r="C71" s="5" t="s">
        <v>148</v>
      </c>
      <c r="D71" s="7">
        <v>723</v>
      </c>
      <c r="E71" s="10">
        <v>243</v>
      </c>
    </row>
    <row r="72" spans="1:5" x14ac:dyDescent="0.55000000000000004">
      <c r="C72" s="5" t="s">
        <v>149</v>
      </c>
      <c r="D72" s="7">
        <f>D71-87</f>
        <v>636</v>
      </c>
      <c r="E72" s="10" t="s">
        <v>20</v>
      </c>
    </row>
    <row r="73" spans="1:5" x14ac:dyDescent="0.55000000000000004">
      <c r="C73" s="5" t="s">
        <v>150</v>
      </c>
      <c r="D73" s="7">
        <v>44</v>
      </c>
      <c r="E73" s="10">
        <v>16.100000000000001</v>
      </c>
    </row>
    <row r="74" spans="1:5" x14ac:dyDescent="0.55000000000000004">
      <c r="C74" s="5" t="s">
        <v>151</v>
      </c>
      <c r="D74" s="7">
        <v>28</v>
      </c>
      <c r="E74" s="10" t="s">
        <v>20</v>
      </c>
    </row>
    <row r="75" spans="1:5" x14ac:dyDescent="0.55000000000000004">
      <c r="C75" s="5" t="s">
        <v>152</v>
      </c>
      <c r="D75" s="7">
        <v>229</v>
      </c>
      <c r="E75" s="10">
        <v>197</v>
      </c>
    </row>
    <row r="76" spans="1:5" x14ac:dyDescent="0.55000000000000004">
      <c r="C76" s="5" t="s">
        <v>153</v>
      </c>
      <c r="D76" s="7">
        <f>229-95</f>
        <v>134</v>
      </c>
      <c r="E76" s="10" t="s">
        <v>20</v>
      </c>
    </row>
    <row r="77" spans="1:5" x14ac:dyDescent="0.55000000000000004">
      <c r="C77" s="5" t="s">
        <v>154</v>
      </c>
      <c r="D77" s="7">
        <v>227</v>
      </c>
      <c r="E77" s="10">
        <v>165</v>
      </c>
    </row>
    <row r="78" spans="1:5" x14ac:dyDescent="0.55000000000000004">
      <c r="C78" s="5" t="s">
        <v>155</v>
      </c>
      <c r="D78" s="7">
        <f>D77-63</f>
        <v>164</v>
      </c>
      <c r="E78" s="10" t="s">
        <v>20</v>
      </c>
    </row>
    <row r="79" spans="1:5" x14ac:dyDescent="0.55000000000000004">
      <c r="C79" s="5" t="s">
        <v>156</v>
      </c>
      <c r="D79" s="7">
        <v>2.7</v>
      </c>
      <c r="E79" s="10">
        <v>0.8</v>
      </c>
    </row>
    <row r="80" spans="1:5" x14ac:dyDescent="0.55000000000000004">
      <c r="C80" s="5" t="s">
        <v>157</v>
      </c>
      <c r="D80" s="7">
        <v>1.7</v>
      </c>
      <c r="E80" s="10" t="s">
        <v>20</v>
      </c>
    </row>
    <row r="81" spans="3:5" x14ac:dyDescent="0.55000000000000004">
      <c r="C81" s="5" t="s">
        <v>158</v>
      </c>
      <c r="D81" s="7">
        <v>1.9</v>
      </c>
      <c r="E81" s="10">
        <v>1.4</v>
      </c>
    </row>
    <row r="82" spans="3:5" x14ac:dyDescent="0.55000000000000004">
      <c r="C82" s="5" t="s">
        <v>159</v>
      </c>
      <c r="D82" s="10">
        <v>1</v>
      </c>
      <c r="E82" s="10" t="s">
        <v>20</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AMJ69"/>
  <sheetViews>
    <sheetView topLeftCell="A26" zoomScale="90" zoomScaleNormal="90" workbookViewId="0">
      <selection activeCell="D37" sqref="D37"/>
    </sheetView>
  </sheetViews>
  <sheetFormatPr baseColWidth="10" defaultColWidth="11.41796875" defaultRowHeight="14.4" x14ac:dyDescent="0.55000000000000004"/>
  <cols>
    <col min="1" max="1" width="10.83984375" style="1" customWidth="1"/>
    <col min="2" max="2" width="18.83984375" style="1" customWidth="1"/>
    <col min="3" max="3" width="55.83984375" style="1" customWidth="1"/>
    <col min="4" max="4" width="56.15625" style="2" customWidth="1"/>
    <col min="5" max="5" width="20.83984375" style="1" customWidth="1"/>
    <col min="6" max="6" width="4.83984375" style="1" customWidth="1"/>
    <col min="7" max="1024" width="11.41796875" style="1"/>
  </cols>
  <sheetData>
    <row r="1" spans="1:4" x14ac:dyDescent="0.55000000000000004">
      <c r="A1" s="3" t="s">
        <v>0</v>
      </c>
      <c r="D1" s="2" t="s">
        <v>426</v>
      </c>
    </row>
    <row r="2" spans="1:4" x14ac:dyDescent="0.55000000000000004">
      <c r="A2" s="58" t="s">
        <v>2</v>
      </c>
      <c r="B2" s="58"/>
      <c r="D2" s="2" t="s">
        <v>926</v>
      </c>
    </row>
    <row r="3" spans="1:4" ht="26.1" x14ac:dyDescent="0.55000000000000004">
      <c r="A3" s="58"/>
      <c r="B3" s="58"/>
      <c r="C3" s="5" t="s">
        <v>4</v>
      </c>
      <c r="D3" s="2" t="s">
        <v>927</v>
      </c>
    </row>
    <row r="4" spans="1:4" x14ac:dyDescent="0.55000000000000004">
      <c r="A4" s="58"/>
      <c r="B4" s="58"/>
      <c r="C4" s="5" t="s">
        <v>6</v>
      </c>
      <c r="D4" s="2">
        <v>2005</v>
      </c>
    </row>
    <row r="5" spans="1:4" ht="26.1" x14ac:dyDescent="0.55000000000000004">
      <c r="A5" s="58"/>
      <c r="B5" s="58"/>
      <c r="C5" s="5" t="s">
        <v>7</v>
      </c>
      <c r="D5" s="2" t="s">
        <v>928</v>
      </c>
    </row>
    <row r="6" spans="1:4" x14ac:dyDescent="0.55000000000000004">
      <c r="A6" s="58"/>
      <c r="B6" s="58"/>
      <c r="C6" s="5" t="s">
        <v>9</v>
      </c>
      <c r="D6" s="2" t="s">
        <v>10</v>
      </c>
    </row>
    <row r="7" spans="1:4" x14ac:dyDescent="0.55000000000000004">
      <c r="A7" s="58"/>
      <c r="B7" s="58"/>
      <c r="C7" s="5" t="s">
        <v>11</v>
      </c>
      <c r="D7" s="2" t="s">
        <v>12</v>
      </c>
    </row>
    <row r="8" spans="1:4" x14ac:dyDescent="0.55000000000000004">
      <c r="A8" s="59" t="s">
        <v>13</v>
      </c>
      <c r="B8" s="59"/>
      <c r="C8" s="5"/>
    </row>
    <row r="9" spans="1:4" ht="26.1" x14ac:dyDescent="0.55000000000000004">
      <c r="A9" s="58"/>
      <c r="B9" s="58"/>
      <c r="C9" s="5" t="s">
        <v>14</v>
      </c>
      <c r="D9" s="2" t="s">
        <v>929</v>
      </c>
    </row>
    <row r="10" spans="1:4" x14ac:dyDescent="0.55000000000000004">
      <c r="A10" s="58"/>
      <c r="B10" s="58"/>
      <c r="C10" s="5" t="s">
        <v>16</v>
      </c>
      <c r="D10" s="2" t="s">
        <v>454</v>
      </c>
    </row>
    <row r="11" spans="1:4" x14ac:dyDescent="0.55000000000000004">
      <c r="A11" s="58"/>
      <c r="B11" s="58"/>
      <c r="C11" s="5" t="s">
        <v>19</v>
      </c>
      <c r="D11" s="2" t="s">
        <v>20</v>
      </c>
    </row>
    <row r="12" spans="1:4" x14ac:dyDescent="0.55000000000000004">
      <c r="A12" s="58"/>
      <c r="B12" s="58"/>
      <c r="C12" s="5" t="s">
        <v>21</v>
      </c>
      <c r="D12" s="2" t="s">
        <v>20</v>
      </c>
    </row>
    <row r="13" spans="1:4" x14ac:dyDescent="0.55000000000000004">
      <c r="A13" s="58"/>
      <c r="B13" s="58"/>
      <c r="C13" s="5" t="s">
        <v>22</v>
      </c>
      <c r="D13" s="2" t="s">
        <v>20</v>
      </c>
    </row>
    <row r="14" spans="1:4" x14ac:dyDescent="0.55000000000000004">
      <c r="A14" s="59" t="s">
        <v>24</v>
      </c>
      <c r="B14" s="59"/>
      <c r="C14" s="5"/>
    </row>
    <row r="15" spans="1:4" x14ac:dyDescent="0.55000000000000004">
      <c r="A15" s="58"/>
      <c r="B15" s="58"/>
      <c r="C15" s="5" t="s">
        <v>25</v>
      </c>
      <c r="D15" s="2" t="s">
        <v>930</v>
      </c>
    </row>
    <row r="16" spans="1:4" ht="39" x14ac:dyDescent="0.55000000000000004">
      <c r="A16" s="58"/>
      <c r="B16" s="58"/>
      <c r="C16" s="5" t="s">
        <v>27</v>
      </c>
      <c r="D16" s="2" t="s">
        <v>931</v>
      </c>
    </row>
    <row r="17" spans="1:6" x14ac:dyDescent="0.55000000000000004">
      <c r="A17" s="59" t="s">
        <v>29</v>
      </c>
      <c r="B17" s="59"/>
      <c r="C17" s="5"/>
    </row>
    <row r="18" spans="1:6" ht="26.1" x14ac:dyDescent="0.55000000000000004">
      <c r="A18" s="58"/>
      <c r="B18" s="58"/>
      <c r="C18" s="5" t="s">
        <v>30</v>
      </c>
      <c r="D18" s="2" t="s">
        <v>932</v>
      </c>
    </row>
    <row r="19" spans="1:6" x14ac:dyDescent="0.55000000000000004">
      <c r="A19" s="58"/>
      <c r="B19" s="58"/>
      <c r="C19" s="5" t="s">
        <v>32</v>
      </c>
      <c r="D19" s="2" t="s">
        <v>20</v>
      </c>
    </row>
    <row r="20" spans="1:6" x14ac:dyDescent="0.55000000000000004">
      <c r="A20" s="59" t="s">
        <v>34</v>
      </c>
      <c r="B20" s="59"/>
      <c r="C20" s="5"/>
      <c r="D20" s="2" t="s">
        <v>778</v>
      </c>
      <c r="E20" s="1" t="s">
        <v>109</v>
      </c>
      <c r="F20" s="1" t="s">
        <v>35</v>
      </c>
    </row>
    <row r="21" spans="1:6" x14ac:dyDescent="0.55000000000000004">
      <c r="A21" s="58"/>
      <c r="B21" s="58"/>
      <c r="C21" s="5" t="s">
        <v>36</v>
      </c>
      <c r="F21" s="1">
        <v>392</v>
      </c>
    </row>
    <row r="22" spans="1:6" x14ac:dyDescent="0.55000000000000004">
      <c r="A22" s="58"/>
      <c r="B22" s="58"/>
      <c r="C22" s="5" t="s">
        <v>37</v>
      </c>
      <c r="D22" s="2">
        <v>180</v>
      </c>
      <c r="E22" s="1">
        <v>183</v>
      </c>
      <c r="F22" s="1">
        <f>SUM(D22:E22)</f>
        <v>363</v>
      </c>
    </row>
    <row r="23" spans="1:6" x14ac:dyDescent="0.55000000000000004">
      <c r="A23" s="58"/>
      <c r="B23" s="58"/>
      <c r="C23" s="5" t="s">
        <v>38</v>
      </c>
      <c r="D23" s="2">
        <v>174</v>
      </c>
      <c r="E23" s="1">
        <v>180</v>
      </c>
      <c r="F23" s="1">
        <f>SUM(D23:E23)</f>
        <v>354</v>
      </c>
    </row>
    <row r="24" spans="1:6" x14ac:dyDescent="0.55000000000000004">
      <c r="A24" s="58"/>
      <c r="B24" s="58"/>
      <c r="C24" s="5" t="s">
        <v>39</v>
      </c>
      <c r="D24" s="2">
        <v>6</v>
      </c>
      <c r="E24" s="1">
        <v>3</v>
      </c>
      <c r="F24" s="1">
        <f>SUM(D24:E24)</f>
        <v>9</v>
      </c>
    </row>
    <row r="25" spans="1:6" x14ac:dyDescent="0.55000000000000004">
      <c r="A25" s="58"/>
      <c r="B25" s="58"/>
      <c r="C25" s="5" t="s">
        <v>40</v>
      </c>
      <c r="D25" s="7">
        <f>66/174</f>
        <v>0.37931034482758619</v>
      </c>
      <c r="E25" s="10">
        <f>58/180</f>
        <v>0.32222222222222224</v>
      </c>
      <c r="F25" s="10">
        <f>(66+58)/F22</f>
        <v>0.3415977961432507</v>
      </c>
    </row>
    <row r="26" spans="1:6" x14ac:dyDescent="0.55000000000000004">
      <c r="A26" s="58"/>
      <c r="B26" s="58"/>
      <c r="C26" s="5" t="s">
        <v>41</v>
      </c>
      <c r="D26" s="2">
        <v>63.4</v>
      </c>
      <c r="E26" s="1">
        <v>64.7</v>
      </c>
      <c r="F26" s="1">
        <v>64</v>
      </c>
    </row>
    <row r="27" spans="1:6" x14ac:dyDescent="0.55000000000000004">
      <c r="A27" s="58"/>
      <c r="B27" s="58"/>
      <c r="C27" s="5" t="s">
        <v>42</v>
      </c>
      <c r="D27" s="2" t="s">
        <v>20</v>
      </c>
    </row>
    <row r="28" spans="1:6" x14ac:dyDescent="0.55000000000000004">
      <c r="A28" s="58"/>
      <c r="B28" s="58"/>
      <c r="C28" s="5" t="s">
        <v>43</v>
      </c>
      <c r="D28" s="2" t="s">
        <v>20</v>
      </c>
    </row>
    <row r="29" spans="1:6" x14ac:dyDescent="0.55000000000000004">
      <c r="A29" s="58"/>
      <c r="B29" s="58"/>
      <c r="C29" s="5" t="s">
        <v>44</v>
      </c>
      <c r="D29" s="2">
        <v>2</v>
      </c>
      <c r="E29" s="1">
        <v>2</v>
      </c>
    </row>
    <row r="30" spans="1:6" x14ac:dyDescent="0.55000000000000004">
      <c r="A30" s="58"/>
      <c r="B30" s="58"/>
      <c r="C30" s="5" t="s">
        <v>45</v>
      </c>
      <c r="D30" s="2">
        <v>27.5</v>
      </c>
      <c r="E30" s="1">
        <v>29.8</v>
      </c>
      <c r="F30" s="1">
        <v>28.7</v>
      </c>
    </row>
    <row r="31" spans="1:6" x14ac:dyDescent="0.55000000000000004">
      <c r="A31" s="58"/>
      <c r="B31" s="58"/>
      <c r="C31" s="5" t="s">
        <v>46</v>
      </c>
      <c r="D31" s="2" t="s">
        <v>20</v>
      </c>
    </row>
    <row r="32" spans="1:6" x14ac:dyDescent="0.55000000000000004">
      <c r="A32" s="59" t="s">
        <v>47</v>
      </c>
      <c r="B32" s="59"/>
      <c r="C32" s="5"/>
    </row>
    <row r="33" spans="1:10" ht="39" x14ac:dyDescent="0.55000000000000004">
      <c r="A33" s="58"/>
      <c r="B33" s="58"/>
      <c r="C33" s="5" t="s">
        <v>48</v>
      </c>
      <c r="D33" s="2" t="s">
        <v>933</v>
      </c>
    </row>
    <row r="34" spans="1:10" x14ac:dyDescent="0.55000000000000004">
      <c r="A34" s="59" t="s">
        <v>50</v>
      </c>
      <c r="B34" s="59"/>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9"/>
      <c r="B36" s="5" t="s">
        <v>59</v>
      </c>
      <c r="C36" s="5"/>
    </row>
    <row r="37" spans="1:10" x14ac:dyDescent="0.55000000000000004">
      <c r="A37" s="59"/>
      <c r="B37" s="5"/>
      <c r="C37" s="5" t="s">
        <v>934</v>
      </c>
      <c r="D37" s="7">
        <v>4.5999999999999996</v>
      </c>
      <c r="E37" s="10">
        <v>4.7</v>
      </c>
    </row>
    <row r="38" spans="1:10" x14ac:dyDescent="0.55000000000000004">
      <c r="A38" s="59"/>
      <c r="B38" s="5"/>
      <c r="C38" s="5" t="s">
        <v>935</v>
      </c>
      <c r="D38" s="7">
        <v>2.1</v>
      </c>
      <c r="E38" s="10">
        <v>3.2</v>
      </c>
    </row>
    <row r="39" spans="1:10" x14ac:dyDescent="0.55000000000000004">
      <c r="A39" s="59"/>
      <c r="B39" s="5"/>
      <c r="C39" s="5" t="s">
        <v>936</v>
      </c>
      <c r="D39" s="7">
        <v>4.4000000000000004</v>
      </c>
      <c r="E39" s="10">
        <v>4.3</v>
      </c>
    </row>
    <row r="40" spans="1:10" x14ac:dyDescent="0.55000000000000004">
      <c r="A40" s="59"/>
      <c r="B40" s="5"/>
      <c r="C40" s="5" t="s">
        <v>937</v>
      </c>
      <c r="D40" s="7">
        <v>3.9</v>
      </c>
      <c r="E40" s="10">
        <v>4.3</v>
      </c>
    </row>
    <row r="41" spans="1:10" x14ac:dyDescent="0.55000000000000004">
      <c r="A41" s="59"/>
      <c r="B41" s="5"/>
      <c r="C41" s="5"/>
    </row>
    <row r="42" spans="1:10" x14ac:dyDescent="0.55000000000000004">
      <c r="A42" s="59"/>
      <c r="B42" s="5"/>
    </row>
    <row r="43" spans="1:10" x14ac:dyDescent="0.55000000000000004">
      <c r="A43" s="59"/>
      <c r="B43" s="5"/>
    </row>
    <row r="44" spans="1:10" x14ac:dyDescent="0.55000000000000004">
      <c r="A44" s="59"/>
      <c r="B44" s="5"/>
      <c r="C44" s="5"/>
    </row>
    <row r="45" spans="1:10" x14ac:dyDescent="0.55000000000000004">
      <c r="A45" s="59"/>
      <c r="B45" s="5" t="s">
        <v>61</v>
      </c>
      <c r="C45" s="5"/>
    </row>
    <row r="46" spans="1:10" x14ac:dyDescent="0.55000000000000004">
      <c r="A46" s="59"/>
      <c r="B46" s="5"/>
      <c r="C46" s="5"/>
    </row>
    <row r="47" spans="1:10" x14ac:dyDescent="0.55000000000000004">
      <c r="A47" s="59"/>
      <c r="B47" s="5"/>
      <c r="C47" s="5"/>
    </row>
    <row r="48" spans="1:10" x14ac:dyDescent="0.55000000000000004">
      <c r="A48" s="59"/>
      <c r="B48" s="5"/>
      <c r="C48" s="5"/>
    </row>
    <row r="49" spans="1:3" x14ac:dyDescent="0.55000000000000004">
      <c r="A49" s="59"/>
      <c r="B49" s="5"/>
      <c r="C49" s="5"/>
    </row>
    <row r="50" spans="1:3" x14ac:dyDescent="0.55000000000000004">
      <c r="A50" s="59"/>
      <c r="B50" s="5"/>
      <c r="C50" s="5"/>
    </row>
    <row r="51" spans="1:3" x14ac:dyDescent="0.55000000000000004">
      <c r="A51" s="59"/>
      <c r="B51" s="5"/>
      <c r="C51" s="5"/>
    </row>
    <row r="52" spans="1:3" x14ac:dyDescent="0.55000000000000004">
      <c r="A52" s="59"/>
      <c r="B52" s="5"/>
      <c r="C52" s="5"/>
    </row>
    <row r="53" spans="1:3" x14ac:dyDescent="0.55000000000000004">
      <c r="A53" s="59"/>
      <c r="B53" s="5"/>
      <c r="C53" s="5"/>
    </row>
    <row r="54" spans="1:3" x14ac:dyDescent="0.55000000000000004">
      <c r="A54" s="59"/>
      <c r="B54" s="5"/>
      <c r="C54" s="5"/>
    </row>
    <row r="55" spans="1:3" x14ac:dyDescent="0.55000000000000004">
      <c r="A55" s="59"/>
      <c r="B55" s="5"/>
      <c r="C55" s="5"/>
    </row>
    <row r="56" spans="1:3" x14ac:dyDescent="0.55000000000000004">
      <c r="A56" s="59"/>
      <c r="B56" s="5"/>
      <c r="C56" s="5"/>
    </row>
    <row r="57" spans="1:3" x14ac:dyDescent="0.55000000000000004">
      <c r="A57" s="59"/>
      <c r="B57" s="5"/>
      <c r="C57" s="5"/>
    </row>
    <row r="58" spans="1:3" x14ac:dyDescent="0.55000000000000004">
      <c r="A58" s="59"/>
      <c r="B58" s="5"/>
      <c r="C58" s="5"/>
    </row>
    <row r="59" spans="1:3" x14ac:dyDescent="0.55000000000000004">
      <c r="A59" s="59"/>
      <c r="B59" s="5"/>
      <c r="C59" s="5"/>
    </row>
    <row r="60" spans="1:3" x14ac:dyDescent="0.55000000000000004">
      <c r="A60" s="59"/>
      <c r="B60" s="5"/>
      <c r="C60" s="5"/>
    </row>
    <row r="61" spans="1:3" x14ac:dyDescent="0.55000000000000004">
      <c r="A61" s="59"/>
      <c r="B61" s="5"/>
      <c r="C61" s="5"/>
    </row>
    <row r="62" spans="1:3" x14ac:dyDescent="0.55000000000000004">
      <c r="A62" s="59"/>
      <c r="B62" s="5"/>
      <c r="C62" s="5"/>
    </row>
    <row r="63" spans="1:3" x14ac:dyDescent="0.55000000000000004">
      <c r="A63" s="59"/>
      <c r="B63" s="5"/>
      <c r="C63" s="5"/>
    </row>
    <row r="64" spans="1:3" x14ac:dyDescent="0.55000000000000004">
      <c r="A64" s="59"/>
      <c r="B64" s="5"/>
      <c r="C64" s="5"/>
    </row>
    <row r="65" spans="1:5" x14ac:dyDescent="0.55000000000000004">
      <c r="A65" s="59"/>
      <c r="B65" s="5" t="s">
        <v>62</v>
      </c>
      <c r="C65" s="5"/>
      <c r="D65" s="2">
        <f>32*7</f>
        <v>224</v>
      </c>
      <c r="E65" s="1" t="s">
        <v>938</v>
      </c>
    </row>
    <row r="66" spans="1:5" x14ac:dyDescent="0.55000000000000004">
      <c r="A66" s="59"/>
      <c r="B66" s="5" t="s">
        <v>63</v>
      </c>
      <c r="C66" s="5"/>
      <c r="D66" s="2" t="s">
        <v>939</v>
      </c>
    </row>
    <row r="67" spans="1:5" x14ac:dyDescent="0.55000000000000004">
      <c r="A67" s="59" t="s">
        <v>65</v>
      </c>
      <c r="B67" s="59"/>
      <c r="C67" s="5"/>
    </row>
    <row r="68" spans="1:5" x14ac:dyDescent="0.55000000000000004">
      <c r="A68" s="3" t="s">
        <v>67</v>
      </c>
    </row>
    <row r="69" spans="1:5" x14ac:dyDescent="0.55000000000000004">
      <c r="A69" s="1" t="s">
        <v>68</v>
      </c>
      <c r="C69" s="1">
        <v>25</v>
      </c>
      <c r="D69" s="2">
        <v>26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AMJ88"/>
  <sheetViews>
    <sheetView topLeftCell="A33" zoomScaleNormal="100" workbookViewId="0">
      <selection activeCell="F69" sqref="F69"/>
    </sheetView>
  </sheetViews>
  <sheetFormatPr baseColWidth="10" defaultColWidth="11.41796875" defaultRowHeight="14.4" x14ac:dyDescent="0.55000000000000004"/>
  <cols>
    <col min="1" max="1" width="9.578125" style="1" customWidth="1"/>
    <col min="2" max="2" width="15.41796875" style="1" customWidth="1"/>
    <col min="3" max="3" width="37.83984375" style="1" customWidth="1"/>
    <col min="4" max="4" width="42.83984375" style="2" customWidth="1"/>
    <col min="5" max="5" width="11.15625" style="1" customWidth="1"/>
    <col min="6" max="1024" width="11.41796875" style="1"/>
  </cols>
  <sheetData>
    <row r="1" spans="1:5" x14ac:dyDescent="0.55000000000000004">
      <c r="A1" s="3" t="s">
        <v>0</v>
      </c>
      <c r="D1" s="2" t="s">
        <v>426</v>
      </c>
    </row>
    <row r="2" spans="1:5" x14ac:dyDescent="0.55000000000000004">
      <c r="A2" s="58" t="s">
        <v>2</v>
      </c>
      <c r="B2" s="58"/>
      <c r="D2" s="2" t="s">
        <v>940</v>
      </c>
    </row>
    <row r="3" spans="1:5" ht="26.1" x14ac:dyDescent="0.55000000000000004">
      <c r="A3" s="58"/>
      <c r="B3" s="58"/>
      <c r="C3" s="5" t="s">
        <v>4</v>
      </c>
      <c r="D3" s="2" t="s">
        <v>941</v>
      </c>
    </row>
    <row r="4" spans="1:5" x14ac:dyDescent="0.55000000000000004">
      <c r="A4" s="58"/>
      <c r="B4" s="58"/>
      <c r="C4" s="5" t="s">
        <v>6</v>
      </c>
      <c r="D4" s="2">
        <v>1999</v>
      </c>
    </row>
    <row r="5" spans="1:5" ht="26.1" x14ac:dyDescent="0.55000000000000004">
      <c r="A5" s="58"/>
      <c r="B5" s="58"/>
      <c r="C5" s="5" t="s">
        <v>7</v>
      </c>
      <c r="D5" s="2" t="s">
        <v>942</v>
      </c>
    </row>
    <row r="6" spans="1:5" x14ac:dyDescent="0.55000000000000004">
      <c r="A6" s="58"/>
      <c r="B6" s="58"/>
      <c r="C6" s="5" t="s">
        <v>9</v>
      </c>
      <c r="D6" s="2" t="s">
        <v>10</v>
      </c>
    </row>
    <row r="7" spans="1:5" x14ac:dyDescent="0.55000000000000004">
      <c r="A7" s="58"/>
      <c r="B7" s="58"/>
      <c r="C7" s="5" t="s">
        <v>11</v>
      </c>
      <c r="D7" s="2" t="s">
        <v>12</v>
      </c>
    </row>
    <row r="8" spans="1:5" x14ac:dyDescent="0.55000000000000004">
      <c r="A8" s="59" t="s">
        <v>13</v>
      </c>
      <c r="B8" s="59"/>
      <c r="C8" s="5"/>
    </row>
    <row r="9" spans="1:5" ht="39" x14ac:dyDescent="0.55000000000000004">
      <c r="A9" s="58"/>
      <c r="B9" s="58"/>
      <c r="C9" s="5" t="s">
        <v>14</v>
      </c>
      <c r="D9" s="2" t="s">
        <v>943</v>
      </c>
    </row>
    <row r="10" spans="1:5" x14ac:dyDescent="0.55000000000000004">
      <c r="A10" s="58"/>
      <c r="B10" s="58"/>
      <c r="C10" s="5" t="s">
        <v>16</v>
      </c>
      <c r="D10" s="2" t="s">
        <v>165</v>
      </c>
      <c r="E10" s="1" t="s">
        <v>944</v>
      </c>
    </row>
    <row r="11" spans="1:5" x14ac:dyDescent="0.55000000000000004">
      <c r="A11" s="58"/>
      <c r="B11" s="58"/>
      <c r="C11" s="5" t="s">
        <v>19</v>
      </c>
      <c r="D11" s="9" t="s">
        <v>20</v>
      </c>
    </row>
    <row r="12" spans="1:5" x14ac:dyDescent="0.55000000000000004">
      <c r="A12" s="58"/>
      <c r="B12" s="58"/>
      <c r="C12" s="5" t="s">
        <v>21</v>
      </c>
      <c r="D12" s="9" t="s">
        <v>20</v>
      </c>
    </row>
    <row r="13" spans="1:5" x14ac:dyDescent="0.55000000000000004">
      <c r="A13" s="58"/>
      <c r="B13" s="58"/>
      <c r="C13" s="5" t="s">
        <v>22</v>
      </c>
      <c r="D13" s="2" t="s">
        <v>20</v>
      </c>
    </row>
    <row r="14" spans="1:5" x14ac:dyDescent="0.55000000000000004">
      <c r="A14" s="59" t="s">
        <v>24</v>
      </c>
      <c r="B14" s="59"/>
      <c r="C14" s="5"/>
    </row>
    <row r="15" spans="1:5" x14ac:dyDescent="0.55000000000000004">
      <c r="A15" s="58"/>
      <c r="B15" s="58"/>
      <c r="C15" s="5" t="s">
        <v>25</v>
      </c>
      <c r="D15" s="2" t="s">
        <v>945</v>
      </c>
    </row>
    <row r="16" spans="1:5" x14ac:dyDescent="0.55000000000000004">
      <c r="A16" s="58"/>
      <c r="B16" s="58"/>
      <c r="C16" s="5" t="s">
        <v>27</v>
      </c>
      <c r="D16" s="1" t="s">
        <v>946</v>
      </c>
    </row>
    <row r="17" spans="1:7" x14ac:dyDescent="0.55000000000000004">
      <c r="A17" s="59" t="s">
        <v>29</v>
      </c>
      <c r="B17" s="59"/>
      <c r="C17" s="5"/>
    </row>
    <row r="18" spans="1:7" ht="142.19999999999999" x14ac:dyDescent="0.55000000000000004">
      <c r="A18" s="58"/>
      <c r="B18" s="58"/>
      <c r="C18" s="5" t="s">
        <v>30</v>
      </c>
      <c r="D18" s="2" t="s">
        <v>947</v>
      </c>
    </row>
    <row r="19" spans="1:7" ht="116.4" x14ac:dyDescent="0.55000000000000004">
      <c r="A19" s="58"/>
      <c r="B19" s="58"/>
      <c r="C19" s="5" t="s">
        <v>32</v>
      </c>
      <c r="D19" s="2" t="s">
        <v>948</v>
      </c>
    </row>
    <row r="20" spans="1:7" x14ac:dyDescent="0.55000000000000004">
      <c r="A20" s="59" t="s">
        <v>34</v>
      </c>
      <c r="B20" s="59"/>
      <c r="C20" s="5"/>
      <c r="D20" s="2" t="s">
        <v>109</v>
      </c>
      <c r="E20" s="1" t="s">
        <v>949</v>
      </c>
      <c r="F20" s="1" t="s">
        <v>341</v>
      </c>
      <c r="G20" s="1" t="s">
        <v>35</v>
      </c>
    </row>
    <row r="21" spans="1:7" x14ac:dyDescent="0.55000000000000004">
      <c r="A21" s="58"/>
      <c r="B21" s="58"/>
      <c r="C21" s="5" t="s">
        <v>36</v>
      </c>
      <c r="D21" s="2" t="s">
        <v>20</v>
      </c>
    </row>
    <row r="22" spans="1:7" x14ac:dyDescent="0.55000000000000004">
      <c r="A22" s="58"/>
      <c r="B22" s="58"/>
      <c r="C22" s="5" t="s">
        <v>37</v>
      </c>
      <c r="G22" s="1">
        <v>28</v>
      </c>
    </row>
    <row r="23" spans="1:7" x14ac:dyDescent="0.55000000000000004">
      <c r="A23" s="58"/>
      <c r="B23" s="58"/>
      <c r="C23" s="5" t="s">
        <v>38</v>
      </c>
      <c r="D23" s="2">
        <v>8</v>
      </c>
      <c r="E23" s="1">
        <v>10</v>
      </c>
      <c r="F23" s="1">
        <v>9</v>
      </c>
      <c r="G23" s="1">
        <f>SUM(D23:F23)</f>
        <v>27</v>
      </c>
    </row>
    <row r="24" spans="1:7" x14ac:dyDescent="0.55000000000000004">
      <c r="A24" s="58"/>
      <c r="B24" s="58"/>
      <c r="C24" s="5" t="s">
        <v>39</v>
      </c>
      <c r="D24" s="2">
        <v>3</v>
      </c>
      <c r="E24" s="1">
        <v>2</v>
      </c>
      <c r="F24" s="1">
        <v>1</v>
      </c>
      <c r="G24" s="1">
        <f>SUM(D24:F24)</f>
        <v>6</v>
      </c>
    </row>
    <row r="25" spans="1:7" x14ac:dyDescent="0.55000000000000004">
      <c r="A25" s="58"/>
      <c r="B25" s="58"/>
      <c r="C25" s="5" t="s">
        <v>40</v>
      </c>
      <c r="D25" s="7">
        <f>3/8</f>
        <v>0.375</v>
      </c>
      <c r="E25" s="10">
        <f>7/10</f>
        <v>0.7</v>
      </c>
      <c r="F25" s="10">
        <f>3/9</f>
        <v>0.33333333333333331</v>
      </c>
      <c r="G25" s="10">
        <f>13/27</f>
        <v>0.48148148148148145</v>
      </c>
    </row>
    <row r="26" spans="1:7" x14ac:dyDescent="0.55000000000000004">
      <c r="A26" s="58"/>
      <c r="B26" s="58"/>
      <c r="C26" s="5" t="s">
        <v>41</v>
      </c>
      <c r="D26" s="7">
        <v>70.099999999999994</v>
      </c>
      <c r="E26" s="10">
        <v>66</v>
      </c>
      <c r="F26" s="10">
        <v>68.599999999999994</v>
      </c>
      <c r="G26" s="10">
        <f>((D26*D23)+(E26*E23)+(F26*F23))/G23</f>
        <v>68.081481481481475</v>
      </c>
    </row>
    <row r="27" spans="1:7" x14ac:dyDescent="0.55000000000000004">
      <c r="A27" s="58"/>
      <c r="B27" s="58"/>
      <c r="C27" s="5" t="s">
        <v>42</v>
      </c>
      <c r="D27" s="7">
        <v>6.6</v>
      </c>
      <c r="E27" s="10">
        <v>10.8</v>
      </c>
      <c r="F27" s="10">
        <v>6.9</v>
      </c>
      <c r="G27" s="10">
        <f>SQRT((D23*(D27^2+(G$26-D26)^2)+E23*(E27^2+(G$26-E26)^2)+F23*(F27^2+(G$26-F26)^2))/G$23)</f>
        <v>8.653217643338829</v>
      </c>
    </row>
    <row r="28" spans="1:7" x14ac:dyDescent="0.55000000000000004">
      <c r="A28" s="58"/>
      <c r="B28" s="58"/>
      <c r="C28" s="5" t="s">
        <v>43</v>
      </c>
      <c r="D28" s="2" t="s">
        <v>20</v>
      </c>
    </row>
    <row r="29" spans="1:7" x14ac:dyDescent="0.55000000000000004">
      <c r="A29" s="58"/>
      <c r="B29" s="58"/>
      <c r="C29" s="5" t="s">
        <v>44</v>
      </c>
      <c r="D29" s="7">
        <v>2.75</v>
      </c>
      <c r="E29" s="10">
        <v>2.75</v>
      </c>
      <c r="F29" s="10">
        <v>2.75</v>
      </c>
      <c r="G29" s="1">
        <v>2.5</v>
      </c>
    </row>
    <row r="30" spans="1:7" x14ac:dyDescent="0.55000000000000004">
      <c r="A30" s="58"/>
      <c r="B30" s="58"/>
      <c r="C30" s="5" t="s">
        <v>45</v>
      </c>
      <c r="D30" s="7">
        <v>24.8</v>
      </c>
      <c r="E30" s="1">
        <v>22.4</v>
      </c>
      <c r="F30" s="1">
        <v>24.2</v>
      </c>
    </row>
    <row r="31" spans="1:7" x14ac:dyDescent="0.55000000000000004">
      <c r="A31" s="58"/>
      <c r="B31" s="58"/>
      <c r="C31" s="5" t="s">
        <v>46</v>
      </c>
      <c r="D31" s="7">
        <v>7</v>
      </c>
      <c r="E31" s="1">
        <v>6.3</v>
      </c>
      <c r="F31" s="1">
        <v>6.9</v>
      </c>
    </row>
    <row r="32" spans="1:7" x14ac:dyDescent="0.55000000000000004">
      <c r="A32" s="59" t="s">
        <v>47</v>
      </c>
      <c r="B32" s="59"/>
      <c r="C32" s="5"/>
    </row>
    <row r="33" spans="1:11" ht="155.1" x14ac:dyDescent="0.55000000000000004">
      <c r="A33" s="58"/>
      <c r="B33" s="58"/>
      <c r="C33" s="5" t="s">
        <v>48</v>
      </c>
      <c r="D33" s="2" t="s">
        <v>950</v>
      </c>
    </row>
    <row r="34" spans="1:11" x14ac:dyDescent="0.55000000000000004">
      <c r="A34" s="59" t="s">
        <v>50</v>
      </c>
      <c r="B34" s="59"/>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9"/>
      <c r="B36" s="5" t="s">
        <v>59</v>
      </c>
      <c r="C36" s="5"/>
      <c r="D36" s="37"/>
    </row>
    <row r="37" spans="1:11" x14ac:dyDescent="0.55000000000000004">
      <c r="A37" s="59"/>
      <c r="B37" s="5"/>
      <c r="C37" s="5" t="s">
        <v>351</v>
      </c>
      <c r="D37" s="7">
        <v>2.7</v>
      </c>
      <c r="E37" s="10">
        <v>2.9</v>
      </c>
    </row>
    <row r="38" spans="1:11" x14ac:dyDescent="0.55000000000000004">
      <c r="A38" s="59"/>
      <c r="B38" s="5"/>
      <c r="C38" s="5" t="s">
        <v>352</v>
      </c>
      <c r="D38" s="7">
        <v>2.5</v>
      </c>
      <c r="E38" s="10">
        <v>2.7</v>
      </c>
    </row>
    <row r="39" spans="1:11" x14ac:dyDescent="0.55000000000000004">
      <c r="A39" s="59"/>
      <c r="B39" s="5"/>
      <c r="C39" s="5" t="s">
        <v>129</v>
      </c>
      <c r="D39" s="7">
        <v>3.2</v>
      </c>
      <c r="E39" s="10">
        <v>1.6</v>
      </c>
    </row>
    <row r="40" spans="1:11" x14ac:dyDescent="0.55000000000000004">
      <c r="A40" s="59"/>
      <c r="B40" s="5"/>
      <c r="C40" s="5" t="s">
        <v>130</v>
      </c>
      <c r="D40" s="7">
        <v>2.2000000000000002</v>
      </c>
      <c r="E40" s="10">
        <v>1.8</v>
      </c>
    </row>
    <row r="41" spans="1:11" x14ac:dyDescent="0.55000000000000004">
      <c r="A41" s="59"/>
      <c r="B41" s="5"/>
    </row>
    <row r="42" spans="1:11" x14ac:dyDescent="0.55000000000000004">
      <c r="A42" s="59"/>
      <c r="B42" s="5"/>
    </row>
    <row r="43" spans="1:11" x14ac:dyDescent="0.55000000000000004">
      <c r="A43" s="59"/>
      <c r="B43" s="5"/>
    </row>
    <row r="44" spans="1:11" x14ac:dyDescent="0.55000000000000004">
      <c r="A44" s="59"/>
      <c r="B44" s="5"/>
    </row>
    <row r="45" spans="1:11" x14ac:dyDescent="0.55000000000000004">
      <c r="A45" s="59"/>
      <c r="B45" s="5" t="s">
        <v>61</v>
      </c>
      <c r="C45" s="5"/>
    </row>
    <row r="46" spans="1:11" x14ac:dyDescent="0.55000000000000004">
      <c r="A46" s="59"/>
      <c r="B46" s="5"/>
      <c r="C46" s="5" t="s">
        <v>79</v>
      </c>
      <c r="D46" s="2">
        <v>1</v>
      </c>
      <c r="E46" s="10"/>
    </row>
    <row r="47" spans="1:11" x14ac:dyDescent="0.55000000000000004">
      <c r="A47" s="59"/>
      <c r="B47" s="5"/>
      <c r="C47" s="5"/>
      <c r="D47" s="7"/>
      <c r="E47" s="10"/>
    </row>
    <row r="48" spans="1:11" x14ac:dyDescent="0.55000000000000004">
      <c r="A48" s="59"/>
      <c r="B48" s="5"/>
      <c r="C48" s="5"/>
      <c r="D48" s="7"/>
      <c r="E48" s="10"/>
    </row>
    <row r="49" spans="1:5" x14ac:dyDescent="0.55000000000000004">
      <c r="A49" s="59"/>
      <c r="B49" s="5"/>
      <c r="C49" s="5"/>
      <c r="D49" s="7"/>
      <c r="E49" s="10"/>
    </row>
    <row r="50" spans="1:5" x14ac:dyDescent="0.55000000000000004">
      <c r="A50" s="59"/>
      <c r="B50" s="5"/>
    </row>
    <row r="51" spans="1:5" x14ac:dyDescent="0.55000000000000004">
      <c r="A51" s="59"/>
      <c r="B51" s="5"/>
      <c r="C51" s="5"/>
    </row>
    <row r="52" spans="1:5" x14ac:dyDescent="0.55000000000000004">
      <c r="A52" s="59"/>
      <c r="B52" s="5"/>
      <c r="C52" s="5"/>
    </row>
    <row r="53" spans="1:5" x14ac:dyDescent="0.55000000000000004">
      <c r="A53" s="59"/>
      <c r="B53" s="5"/>
      <c r="C53" s="38"/>
    </row>
    <row r="54" spans="1:5" x14ac:dyDescent="0.55000000000000004">
      <c r="A54" s="59"/>
      <c r="B54" s="5"/>
      <c r="C54" s="5"/>
    </row>
    <row r="55" spans="1:5" x14ac:dyDescent="0.55000000000000004">
      <c r="A55" s="59"/>
      <c r="B55" s="5"/>
      <c r="C55" s="5"/>
    </row>
    <row r="56" spans="1:5" x14ac:dyDescent="0.55000000000000004">
      <c r="A56" s="59"/>
      <c r="B56" s="5"/>
      <c r="C56" s="5"/>
    </row>
    <row r="57" spans="1:5" x14ac:dyDescent="0.55000000000000004">
      <c r="A57" s="59"/>
      <c r="B57" s="5"/>
      <c r="C57" s="5"/>
    </row>
    <row r="58" spans="1:5" x14ac:dyDescent="0.55000000000000004">
      <c r="A58" s="59"/>
      <c r="B58" s="5"/>
      <c r="C58" s="5"/>
    </row>
    <row r="59" spans="1:5" x14ac:dyDescent="0.55000000000000004">
      <c r="A59" s="59"/>
      <c r="B59" s="5"/>
      <c r="C59" s="5"/>
    </row>
    <row r="60" spans="1:5" x14ac:dyDescent="0.55000000000000004">
      <c r="A60" s="59"/>
      <c r="B60" s="5"/>
      <c r="C60" s="5"/>
    </row>
    <row r="61" spans="1:5" x14ac:dyDescent="0.55000000000000004">
      <c r="A61" s="59"/>
      <c r="B61" s="5"/>
      <c r="C61" s="5"/>
    </row>
    <row r="62" spans="1:5" x14ac:dyDescent="0.55000000000000004">
      <c r="A62" s="59"/>
      <c r="B62" s="5"/>
      <c r="C62" s="5"/>
    </row>
    <row r="63" spans="1:5" x14ac:dyDescent="0.55000000000000004">
      <c r="A63" s="59"/>
      <c r="B63" s="5"/>
      <c r="C63" s="5"/>
    </row>
    <row r="64" spans="1:5" x14ac:dyDescent="0.55000000000000004">
      <c r="A64" s="59"/>
      <c r="B64" s="5"/>
      <c r="C64" s="5"/>
    </row>
    <row r="65" spans="1:6" x14ac:dyDescent="0.55000000000000004">
      <c r="A65" s="59"/>
      <c r="B65" s="5" t="s">
        <v>62</v>
      </c>
      <c r="C65" s="5"/>
      <c r="D65" s="2">
        <v>21</v>
      </c>
    </row>
    <row r="66" spans="1:6" x14ac:dyDescent="0.55000000000000004">
      <c r="A66" s="59"/>
      <c r="B66" s="5" t="s">
        <v>63</v>
      </c>
      <c r="C66" s="5"/>
      <c r="D66" s="2" t="s">
        <v>207</v>
      </c>
    </row>
    <row r="67" spans="1:6" x14ac:dyDescent="0.55000000000000004">
      <c r="A67" s="59" t="s">
        <v>65</v>
      </c>
      <c r="B67" s="59"/>
      <c r="C67" s="5"/>
      <c r="D67" s="2" t="s">
        <v>951</v>
      </c>
    </row>
    <row r="68" spans="1:6" x14ac:dyDescent="0.55000000000000004">
      <c r="A68" s="3" t="s">
        <v>67</v>
      </c>
    </row>
    <row r="69" spans="1:6" x14ac:dyDescent="0.55000000000000004">
      <c r="A69" s="1" t="s">
        <v>68</v>
      </c>
      <c r="C69" s="1">
        <v>23</v>
      </c>
      <c r="D69" s="2">
        <v>28</v>
      </c>
      <c r="E69" s="1">
        <v>15</v>
      </c>
      <c r="F69" s="1">
        <v>28</v>
      </c>
    </row>
    <row r="70" spans="1:6" x14ac:dyDescent="0.55000000000000004">
      <c r="B70" s="1" t="s">
        <v>952</v>
      </c>
    </row>
    <row r="71" spans="1:6" x14ac:dyDescent="0.55000000000000004">
      <c r="C71" s="5" t="s">
        <v>953</v>
      </c>
      <c r="D71" s="7">
        <v>2.7</v>
      </c>
      <c r="E71" s="10">
        <v>2.2000000000000002</v>
      </c>
    </row>
    <row r="72" spans="1:6" x14ac:dyDescent="0.55000000000000004">
      <c r="C72" s="5" t="s">
        <v>954</v>
      </c>
      <c r="D72" s="7">
        <v>2.4</v>
      </c>
      <c r="E72" s="10">
        <v>2.2999999999999998</v>
      </c>
    </row>
    <row r="73" spans="1:6" x14ac:dyDescent="0.55000000000000004">
      <c r="C73" s="5" t="s">
        <v>955</v>
      </c>
      <c r="D73" s="10">
        <v>0.7</v>
      </c>
      <c r="E73" s="10">
        <v>1</v>
      </c>
    </row>
    <row r="74" spans="1:6" x14ac:dyDescent="0.55000000000000004">
      <c r="C74" s="5" t="s">
        <v>956</v>
      </c>
      <c r="D74" s="7">
        <v>0.7</v>
      </c>
      <c r="E74" s="10">
        <v>0.7</v>
      </c>
    </row>
    <row r="75" spans="1:6" x14ac:dyDescent="0.55000000000000004">
      <c r="C75" s="5" t="s">
        <v>957</v>
      </c>
      <c r="D75" s="7">
        <v>2.7</v>
      </c>
      <c r="E75" s="10">
        <v>2.9</v>
      </c>
    </row>
    <row r="76" spans="1:6" x14ac:dyDescent="0.55000000000000004">
      <c r="C76" s="5" t="s">
        <v>958</v>
      </c>
      <c r="D76" s="7">
        <v>2.5</v>
      </c>
      <c r="E76" s="10">
        <v>2.7</v>
      </c>
    </row>
    <row r="77" spans="1:6" x14ac:dyDescent="0.55000000000000004">
      <c r="C77" s="5" t="s">
        <v>959</v>
      </c>
      <c r="D77" s="7">
        <v>0.5</v>
      </c>
      <c r="E77" s="10">
        <v>0.8</v>
      </c>
    </row>
    <row r="78" spans="1:6" x14ac:dyDescent="0.55000000000000004">
      <c r="C78" s="5" t="s">
        <v>960</v>
      </c>
      <c r="D78" s="7">
        <v>0.5</v>
      </c>
      <c r="E78" s="10">
        <v>0.8</v>
      </c>
    </row>
    <row r="79" spans="1:6" x14ac:dyDescent="0.55000000000000004">
      <c r="C79" s="5" t="s">
        <v>129</v>
      </c>
      <c r="D79" s="7">
        <v>3.2</v>
      </c>
      <c r="E79" s="10">
        <v>1.6</v>
      </c>
    </row>
    <row r="80" spans="1:6" x14ac:dyDescent="0.55000000000000004">
      <c r="C80" s="5" t="s">
        <v>130</v>
      </c>
      <c r="D80" s="7">
        <v>2.2000000000000002</v>
      </c>
      <c r="E80" s="10">
        <v>1.8</v>
      </c>
    </row>
    <row r="81" spans="3:11" x14ac:dyDescent="0.55000000000000004">
      <c r="C81" s="5" t="s">
        <v>961</v>
      </c>
      <c r="D81" s="7">
        <v>1</v>
      </c>
      <c r="E81" s="10">
        <v>1</v>
      </c>
    </row>
    <row r="82" spans="3:11" x14ac:dyDescent="0.55000000000000004">
      <c r="C82" s="5" t="s">
        <v>962</v>
      </c>
      <c r="D82" s="7">
        <v>1</v>
      </c>
      <c r="E82" s="10">
        <v>1</v>
      </c>
    </row>
    <row r="83" spans="3:11" x14ac:dyDescent="0.55000000000000004">
      <c r="C83" s="5" t="s">
        <v>963</v>
      </c>
      <c r="D83" s="7">
        <f>(D71+D73)</f>
        <v>3.4000000000000004</v>
      </c>
      <c r="K83" s="7">
        <f>SQRT((((8-1)*E71^2)+((8-1)*E73^2))/(8+8-2))</f>
        <v>1.7088007490635064</v>
      </c>
    </row>
    <row r="84" spans="3:11" x14ac:dyDescent="0.55000000000000004">
      <c r="C84" s="5" t="s">
        <v>964</v>
      </c>
      <c r="D84" s="7">
        <f>(D72+D74)</f>
        <v>3.0999999999999996</v>
      </c>
      <c r="K84" s="7">
        <f>SQRT((((8-1)*E72^2)+((8-1)*E74^2))/(8+8-2))</f>
        <v>1.7</v>
      </c>
    </row>
    <row r="85" spans="3:11" x14ac:dyDescent="0.55000000000000004">
      <c r="C85" s="5" t="s">
        <v>965</v>
      </c>
      <c r="D85" s="7">
        <f>(D75+D77)</f>
        <v>3.2</v>
      </c>
      <c r="K85" s="7">
        <f>SQRT((((8-1)*E75^2)+((8-1)*E77^2))/(8+8-2))</f>
        <v>2.1272047386182646</v>
      </c>
    </row>
    <row r="86" spans="3:11" x14ac:dyDescent="0.55000000000000004">
      <c r="C86" s="5" t="s">
        <v>966</v>
      </c>
      <c r="D86" s="7">
        <f>(D76+D78)</f>
        <v>3</v>
      </c>
      <c r="K86" s="7">
        <f>SQRT((((8-1)*E76^2)+((8-1)*E78^2))/(8+8-2))</f>
        <v>1.9912307751739877</v>
      </c>
    </row>
    <row r="87" spans="3:11" x14ac:dyDescent="0.55000000000000004">
      <c r="C87" s="5" t="s">
        <v>172</v>
      </c>
      <c r="D87" s="7">
        <f>(D79+D81)</f>
        <v>4.2</v>
      </c>
      <c r="K87" s="7">
        <f>SQRT((((5-1)*E79^2)+((5-1)*E81^2))/(5+5-2))</f>
        <v>1.3341664064126335</v>
      </c>
    </row>
    <row r="88" spans="3:11" x14ac:dyDescent="0.55000000000000004">
      <c r="C88" s="5" t="s">
        <v>173</v>
      </c>
      <c r="D88" s="7">
        <f>(D80+D82)</f>
        <v>3.2</v>
      </c>
      <c r="K88" s="7">
        <f>SQRT((((5-1)*E80^2)+((5-1)*E82^2))/(5+5-2))</f>
        <v>1.4560219778561037</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AMJ69"/>
  <sheetViews>
    <sheetView topLeftCell="B32" zoomScale="90" zoomScaleNormal="90" workbookViewId="0">
      <selection activeCell="D23" sqref="D23"/>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4.15625" style="1" customWidth="1"/>
    <col min="6" max="6" width="28.578125" style="1" customWidth="1"/>
    <col min="7" max="1024" width="11.41796875" style="1"/>
  </cols>
  <sheetData>
    <row r="1" spans="1:4" x14ac:dyDescent="0.55000000000000004">
      <c r="A1" s="3" t="s">
        <v>0</v>
      </c>
      <c r="D1" s="2" t="s">
        <v>69</v>
      </c>
    </row>
    <row r="2" spans="1:4" x14ac:dyDescent="0.55000000000000004">
      <c r="A2" s="58" t="s">
        <v>2</v>
      </c>
      <c r="B2" s="58"/>
      <c r="D2" s="2" t="s">
        <v>967</v>
      </c>
    </row>
    <row r="3" spans="1:4" x14ac:dyDescent="0.55000000000000004">
      <c r="A3" s="58"/>
      <c r="B3" s="58"/>
      <c r="C3" s="5" t="s">
        <v>4</v>
      </c>
      <c r="D3" s="2" t="s">
        <v>968</v>
      </c>
    </row>
    <row r="4" spans="1:4" x14ac:dyDescent="0.55000000000000004">
      <c r="A4" s="58"/>
      <c r="B4" s="58"/>
      <c r="C4" s="5" t="s">
        <v>6</v>
      </c>
      <c r="D4" s="2">
        <v>2003</v>
      </c>
    </row>
    <row r="5" spans="1:4" ht="26.1" x14ac:dyDescent="0.55000000000000004">
      <c r="A5" s="58"/>
      <c r="B5" s="58"/>
      <c r="C5" s="5" t="s">
        <v>7</v>
      </c>
      <c r="D5" s="2" t="s">
        <v>969</v>
      </c>
    </row>
    <row r="6" spans="1:4" x14ac:dyDescent="0.55000000000000004">
      <c r="A6" s="58"/>
      <c r="B6" s="58"/>
      <c r="C6" s="5" t="s">
        <v>9</v>
      </c>
      <c r="D6" s="2" t="s">
        <v>970</v>
      </c>
    </row>
    <row r="7" spans="1:4" x14ac:dyDescent="0.55000000000000004">
      <c r="A7" s="58"/>
      <c r="B7" s="58"/>
      <c r="C7" s="5" t="s">
        <v>11</v>
      </c>
      <c r="D7" s="2" t="s">
        <v>431</v>
      </c>
    </row>
    <row r="8" spans="1:4" x14ac:dyDescent="0.55000000000000004">
      <c r="A8" s="59" t="s">
        <v>13</v>
      </c>
      <c r="B8" s="59"/>
      <c r="C8" s="5"/>
    </row>
    <row r="9" spans="1:4" ht="26.1" x14ac:dyDescent="0.55000000000000004">
      <c r="A9" s="58"/>
      <c r="B9" s="58"/>
      <c r="C9" s="5" t="s">
        <v>14</v>
      </c>
      <c r="D9" s="2" t="s">
        <v>971</v>
      </c>
    </row>
    <row r="10" spans="1:4" x14ac:dyDescent="0.55000000000000004">
      <c r="A10" s="58"/>
      <c r="B10" s="58"/>
      <c r="C10" s="5" t="s">
        <v>16</v>
      </c>
      <c r="D10" s="2" t="s">
        <v>17</v>
      </c>
    </row>
    <row r="11" spans="1:4" x14ac:dyDescent="0.55000000000000004">
      <c r="A11" s="58"/>
      <c r="B11" s="58"/>
      <c r="C11" s="5" t="s">
        <v>19</v>
      </c>
      <c r="D11" s="2" t="s">
        <v>20</v>
      </c>
    </row>
    <row r="12" spans="1:4" x14ac:dyDescent="0.55000000000000004">
      <c r="A12" s="58"/>
      <c r="B12" s="58"/>
      <c r="C12" s="5" t="s">
        <v>21</v>
      </c>
      <c r="D12" s="2" t="s">
        <v>20</v>
      </c>
    </row>
    <row r="13" spans="1:4" x14ac:dyDescent="0.55000000000000004">
      <c r="A13" s="58"/>
      <c r="B13" s="58"/>
      <c r="C13" s="5" t="s">
        <v>22</v>
      </c>
      <c r="D13" s="2" t="s">
        <v>20</v>
      </c>
    </row>
    <row r="14" spans="1:4" x14ac:dyDescent="0.55000000000000004">
      <c r="A14" s="59" t="s">
        <v>24</v>
      </c>
      <c r="B14" s="59"/>
      <c r="C14" s="5"/>
    </row>
    <row r="15" spans="1:4" x14ac:dyDescent="0.55000000000000004">
      <c r="A15" s="58"/>
      <c r="B15" s="58"/>
      <c r="C15" s="5" t="s">
        <v>25</v>
      </c>
      <c r="D15" s="2" t="s">
        <v>87</v>
      </c>
    </row>
    <row r="16" spans="1:4" x14ac:dyDescent="0.55000000000000004">
      <c r="A16" s="58"/>
      <c r="B16" s="58"/>
      <c r="C16" s="5" t="s">
        <v>27</v>
      </c>
      <c r="D16" s="2" t="s">
        <v>972</v>
      </c>
    </row>
    <row r="17" spans="1:4" x14ac:dyDescent="0.55000000000000004">
      <c r="A17" s="59" t="s">
        <v>29</v>
      </c>
      <c r="B17" s="59"/>
      <c r="C17" s="5"/>
    </row>
    <row r="18" spans="1:4" x14ac:dyDescent="0.55000000000000004">
      <c r="A18" s="58"/>
      <c r="B18" s="58"/>
      <c r="C18" s="5" t="s">
        <v>30</v>
      </c>
      <c r="D18" s="2" t="s">
        <v>973</v>
      </c>
    </row>
    <row r="19" spans="1:4" x14ac:dyDescent="0.55000000000000004">
      <c r="A19" s="58"/>
      <c r="B19" s="58"/>
      <c r="C19" s="5" t="s">
        <v>32</v>
      </c>
      <c r="D19" s="2" t="s">
        <v>20</v>
      </c>
    </row>
    <row r="20" spans="1:4" x14ac:dyDescent="0.55000000000000004">
      <c r="A20" s="59" t="s">
        <v>34</v>
      </c>
      <c r="B20" s="59"/>
      <c r="C20" s="5"/>
      <c r="D20" s="2" t="s">
        <v>35</v>
      </c>
    </row>
    <row r="21" spans="1:4" x14ac:dyDescent="0.55000000000000004">
      <c r="A21" s="58"/>
      <c r="B21" s="58"/>
      <c r="C21" s="5" t="s">
        <v>36</v>
      </c>
      <c r="D21" s="2" t="s">
        <v>20</v>
      </c>
    </row>
    <row r="22" spans="1:4" x14ac:dyDescent="0.55000000000000004">
      <c r="A22" s="58"/>
      <c r="B22" s="58"/>
      <c r="C22" s="5" t="s">
        <v>37</v>
      </c>
      <c r="D22" s="2">
        <v>338</v>
      </c>
    </row>
    <row r="23" spans="1:4" x14ac:dyDescent="0.55000000000000004">
      <c r="A23" s="58"/>
      <c r="B23" s="58"/>
      <c r="C23" s="5" t="s">
        <v>38</v>
      </c>
      <c r="D23" s="2">
        <v>338</v>
      </c>
    </row>
    <row r="24" spans="1:4" x14ac:dyDescent="0.55000000000000004">
      <c r="A24" s="58"/>
      <c r="B24" s="58"/>
      <c r="C24" s="5" t="s">
        <v>39</v>
      </c>
      <c r="D24" s="2" t="s">
        <v>20</v>
      </c>
    </row>
    <row r="25" spans="1:4" x14ac:dyDescent="0.55000000000000004">
      <c r="A25" s="58"/>
      <c r="B25" s="58"/>
      <c r="C25" s="5" t="s">
        <v>40</v>
      </c>
      <c r="D25" s="2">
        <v>43</v>
      </c>
    </row>
    <row r="26" spans="1:4" x14ac:dyDescent="0.55000000000000004">
      <c r="A26" s="58"/>
      <c r="B26" s="58"/>
      <c r="C26" s="5" t="s">
        <v>41</v>
      </c>
      <c r="D26" s="2">
        <v>69.650000000000006</v>
      </c>
    </row>
    <row r="27" spans="1:4" x14ac:dyDescent="0.55000000000000004">
      <c r="A27" s="58"/>
      <c r="B27" s="58"/>
      <c r="C27" s="5" t="s">
        <v>42</v>
      </c>
      <c r="D27" s="2">
        <v>10.039999999999999</v>
      </c>
    </row>
    <row r="28" spans="1:4" x14ac:dyDescent="0.55000000000000004">
      <c r="A28" s="58"/>
      <c r="B28" s="58"/>
      <c r="C28" s="5" t="s">
        <v>43</v>
      </c>
      <c r="D28" s="2" t="s">
        <v>20</v>
      </c>
    </row>
    <row r="29" spans="1:4" x14ac:dyDescent="0.55000000000000004">
      <c r="A29" s="58"/>
      <c r="B29" s="58"/>
      <c r="C29" s="5" t="s">
        <v>44</v>
      </c>
      <c r="D29" s="2" t="s">
        <v>20</v>
      </c>
    </row>
    <row r="30" spans="1:4" x14ac:dyDescent="0.55000000000000004">
      <c r="A30" s="58"/>
      <c r="B30" s="58"/>
      <c r="C30" s="5" t="s">
        <v>45</v>
      </c>
      <c r="D30" s="2" t="s">
        <v>20</v>
      </c>
    </row>
    <row r="31" spans="1:4" x14ac:dyDescent="0.55000000000000004">
      <c r="A31" s="58"/>
      <c r="B31" s="58"/>
      <c r="C31" s="5" t="s">
        <v>46</v>
      </c>
      <c r="D31" s="2" t="s">
        <v>20</v>
      </c>
    </row>
    <row r="32" spans="1:4" x14ac:dyDescent="0.55000000000000004">
      <c r="A32" s="59" t="s">
        <v>47</v>
      </c>
      <c r="B32" s="59"/>
      <c r="C32" s="5"/>
    </row>
    <row r="33" spans="1:9" ht="26.1" x14ac:dyDescent="0.55000000000000004">
      <c r="A33" s="58"/>
      <c r="B33" s="58"/>
      <c r="C33" s="5" t="s">
        <v>48</v>
      </c>
      <c r="D33" s="2" t="s">
        <v>974</v>
      </c>
    </row>
    <row r="34" spans="1:9" x14ac:dyDescent="0.55000000000000004">
      <c r="A34" s="59" t="s">
        <v>50</v>
      </c>
      <c r="B34" s="59"/>
      <c r="C34" s="5"/>
    </row>
    <row r="35" spans="1:9" x14ac:dyDescent="0.55000000000000004">
      <c r="A35" s="8"/>
      <c r="B35" s="8"/>
      <c r="C35" s="5"/>
      <c r="D35" s="2" t="s">
        <v>51</v>
      </c>
      <c r="E35" s="1" t="s">
        <v>52</v>
      </c>
      <c r="F35" s="1" t="s">
        <v>53</v>
      </c>
      <c r="G35" s="1" t="s">
        <v>54</v>
      </c>
      <c r="H35" s="1" t="s">
        <v>55</v>
      </c>
      <c r="I35" s="1" t="s">
        <v>56</v>
      </c>
    </row>
    <row r="36" spans="1:9" x14ac:dyDescent="0.55000000000000004">
      <c r="A36" s="59"/>
      <c r="B36" s="5" t="s">
        <v>59</v>
      </c>
      <c r="C36" s="5"/>
    </row>
    <row r="37" spans="1:9" x14ac:dyDescent="0.55000000000000004">
      <c r="A37" s="59"/>
      <c r="B37" s="5"/>
      <c r="C37" s="5"/>
      <c r="F37" s="39"/>
    </row>
    <row r="38" spans="1:9" x14ac:dyDescent="0.55000000000000004">
      <c r="A38" s="59"/>
      <c r="B38" s="5"/>
      <c r="C38" s="5"/>
      <c r="F38" s="39"/>
    </row>
    <row r="39" spans="1:9" x14ac:dyDescent="0.55000000000000004">
      <c r="A39" s="59"/>
      <c r="B39" s="5"/>
      <c r="C39" s="5"/>
      <c r="F39" s="39"/>
    </row>
    <row r="40" spans="1:9" x14ac:dyDescent="0.55000000000000004">
      <c r="A40" s="59"/>
      <c r="B40" s="5"/>
      <c r="C40" s="5"/>
      <c r="F40" s="39"/>
    </row>
    <row r="41" spans="1:9" x14ac:dyDescent="0.55000000000000004">
      <c r="A41" s="59"/>
      <c r="B41" s="5"/>
      <c r="C41" s="5"/>
      <c r="F41" s="39"/>
    </row>
    <row r="42" spans="1:9" x14ac:dyDescent="0.55000000000000004">
      <c r="A42" s="59"/>
      <c r="B42" s="5"/>
      <c r="C42" s="5"/>
    </row>
    <row r="43" spans="1:9" x14ac:dyDescent="0.55000000000000004">
      <c r="A43" s="59"/>
      <c r="B43" s="5"/>
      <c r="C43" s="5"/>
    </row>
    <row r="44" spans="1:9" x14ac:dyDescent="0.55000000000000004">
      <c r="A44" s="59"/>
      <c r="B44" s="5"/>
      <c r="C44" s="5"/>
    </row>
    <row r="45" spans="1:9" x14ac:dyDescent="0.55000000000000004">
      <c r="A45" s="59"/>
      <c r="B45" s="5" t="s">
        <v>61</v>
      </c>
      <c r="C45" s="5"/>
    </row>
    <row r="46" spans="1:9" x14ac:dyDescent="0.55000000000000004">
      <c r="A46" s="59"/>
      <c r="B46" s="5"/>
      <c r="C46" s="5" t="s">
        <v>975</v>
      </c>
      <c r="D46" s="7">
        <v>2.66508313539192</v>
      </c>
      <c r="E46" s="10">
        <v>1.09026128266033</v>
      </c>
    </row>
    <row r="47" spans="1:9" x14ac:dyDescent="0.55000000000000004">
      <c r="A47" s="59"/>
      <c r="B47" s="5"/>
      <c r="C47" s="5" t="s">
        <v>976</v>
      </c>
      <c r="D47" s="7">
        <v>2.1448931116389498</v>
      </c>
      <c r="E47" s="10">
        <v>0.77672209026128003</v>
      </c>
    </row>
    <row r="48" spans="1:9" x14ac:dyDescent="0.55000000000000004">
      <c r="A48" s="59"/>
      <c r="B48" s="5"/>
      <c r="C48" s="5"/>
    </row>
    <row r="49" spans="1:3" x14ac:dyDescent="0.55000000000000004">
      <c r="A49" s="59"/>
      <c r="B49" s="5"/>
      <c r="C49" s="5"/>
    </row>
    <row r="50" spans="1:3" x14ac:dyDescent="0.55000000000000004">
      <c r="A50" s="59"/>
      <c r="B50" s="5"/>
      <c r="C50" s="5"/>
    </row>
    <row r="51" spans="1:3" x14ac:dyDescent="0.55000000000000004">
      <c r="A51" s="59"/>
      <c r="B51" s="5"/>
      <c r="C51" s="5"/>
    </row>
    <row r="52" spans="1:3" x14ac:dyDescent="0.55000000000000004">
      <c r="A52" s="59"/>
      <c r="B52" s="5"/>
      <c r="C52" s="5"/>
    </row>
    <row r="53" spans="1:3" x14ac:dyDescent="0.55000000000000004">
      <c r="A53" s="59"/>
      <c r="B53" s="5"/>
      <c r="C53" s="5"/>
    </row>
    <row r="54" spans="1:3" x14ac:dyDescent="0.55000000000000004">
      <c r="A54" s="59"/>
      <c r="B54" s="5"/>
      <c r="C54" s="5"/>
    </row>
    <row r="55" spans="1:3" x14ac:dyDescent="0.55000000000000004">
      <c r="A55" s="59"/>
      <c r="B55" s="5"/>
      <c r="C55" s="5"/>
    </row>
    <row r="56" spans="1:3" x14ac:dyDescent="0.55000000000000004">
      <c r="A56" s="59"/>
      <c r="B56" s="5"/>
      <c r="C56" s="5"/>
    </row>
    <row r="57" spans="1:3" x14ac:dyDescent="0.55000000000000004">
      <c r="A57" s="59"/>
      <c r="B57" s="5"/>
      <c r="C57" s="5"/>
    </row>
    <row r="58" spans="1:3" x14ac:dyDescent="0.55000000000000004">
      <c r="A58" s="59"/>
      <c r="B58" s="5"/>
      <c r="C58" s="5"/>
    </row>
    <row r="59" spans="1:3" x14ac:dyDescent="0.55000000000000004">
      <c r="A59" s="59"/>
      <c r="B59" s="5"/>
    </row>
    <row r="60" spans="1:3" x14ac:dyDescent="0.55000000000000004">
      <c r="A60" s="59"/>
      <c r="B60" s="5"/>
    </row>
    <row r="61" spans="1:3" x14ac:dyDescent="0.55000000000000004">
      <c r="A61" s="59"/>
      <c r="B61" s="5"/>
    </row>
    <row r="62" spans="1:3" x14ac:dyDescent="0.55000000000000004">
      <c r="A62" s="59"/>
      <c r="B62" s="5"/>
      <c r="C62" s="5"/>
    </row>
    <row r="63" spans="1:3" x14ac:dyDescent="0.55000000000000004">
      <c r="A63" s="59"/>
      <c r="B63" s="5"/>
      <c r="C63" s="5"/>
    </row>
    <row r="64" spans="1:3" x14ac:dyDescent="0.55000000000000004">
      <c r="A64" s="59"/>
      <c r="B64" s="5"/>
      <c r="C64" s="5"/>
    </row>
    <row r="65" spans="1:4" x14ac:dyDescent="0.55000000000000004">
      <c r="A65" s="59"/>
      <c r="B65" s="5" t="s">
        <v>62</v>
      </c>
      <c r="C65" s="5"/>
      <c r="D65" s="2">
        <f>12*7</f>
        <v>84</v>
      </c>
    </row>
    <row r="66" spans="1:4" x14ac:dyDescent="0.55000000000000004">
      <c r="A66" s="59"/>
      <c r="B66" s="5" t="s">
        <v>63</v>
      </c>
      <c r="C66" s="5"/>
      <c r="D66" s="2" t="s">
        <v>207</v>
      </c>
    </row>
    <row r="67" spans="1:4" x14ac:dyDescent="0.55000000000000004">
      <c r="A67" s="59" t="s">
        <v>65</v>
      </c>
      <c r="B67" s="59"/>
      <c r="C67" s="5"/>
    </row>
    <row r="68" spans="1:4" x14ac:dyDescent="0.55000000000000004">
      <c r="A68" s="3" t="s">
        <v>67</v>
      </c>
    </row>
    <row r="69" spans="1:4" x14ac:dyDescent="0.55000000000000004">
      <c r="A69" s="1" t="s">
        <v>68</v>
      </c>
      <c r="C69" s="1">
        <v>7</v>
      </c>
      <c r="D69" s="2">
        <v>24</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AMJ76"/>
  <sheetViews>
    <sheetView zoomScale="90" zoomScaleNormal="90" workbookViewId="0">
      <selection activeCell="D35" sqref="D35"/>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3" style="1" customWidth="1"/>
    <col min="6" max="6" width="2.41796875" style="1" customWidth="1"/>
    <col min="7" max="1024" width="11.41796875" style="1"/>
  </cols>
  <sheetData>
    <row r="1" spans="1:5" x14ac:dyDescent="0.55000000000000004">
      <c r="A1" s="3" t="s">
        <v>0</v>
      </c>
      <c r="D1" s="2" t="s">
        <v>977</v>
      </c>
    </row>
    <row r="2" spans="1:5" x14ac:dyDescent="0.55000000000000004">
      <c r="A2" s="58" t="s">
        <v>2</v>
      </c>
      <c r="B2" s="58"/>
      <c r="D2" s="2" t="s">
        <v>978</v>
      </c>
    </row>
    <row r="3" spans="1:5" x14ac:dyDescent="0.55000000000000004">
      <c r="A3" s="58"/>
      <c r="B3" s="58"/>
      <c r="C3" s="5" t="s">
        <v>4</v>
      </c>
      <c r="D3" s="2" t="s">
        <v>979</v>
      </c>
    </row>
    <row r="4" spans="1:5" x14ac:dyDescent="0.55000000000000004">
      <c r="A4" s="58"/>
      <c r="B4" s="58"/>
      <c r="C4" s="5" t="s">
        <v>6</v>
      </c>
      <c r="D4" s="2">
        <v>2003</v>
      </c>
    </row>
    <row r="5" spans="1:5" ht="26.1" x14ac:dyDescent="0.55000000000000004">
      <c r="A5" s="58"/>
      <c r="B5" s="58"/>
      <c r="C5" s="5" t="s">
        <v>7</v>
      </c>
      <c r="D5" s="2" t="s">
        <v>980</v>
      </c>
    </row>
    <row r="6" spans="1:5" x14ac:dyDescent="0.55000000000000004">
      <c r="A6" s="58"/>
      <c r="B6" s="58"/>
      <c r="C6" s="5" t="s">
        <v>9</v>
      </c>
      <c r="D6" s="2" t="s">
        <v>981</v>
      </c>
    </row>
    <row r="7" spans="1:5" x14ac:dyDescent="0.55000000000000004">
      <c r="A7" s="58"/>
      <c r="B7" s="58"/>
      <c r="C7" s="5" t="s">
        <v>11</v>
      </c>
      <c r="D7" s="2" t="s">
        <v>12</v>
      </c>
    </row>
    <row r="8" spans="1:5" x14ac:dyDescent="0.55000000000000004">
      <c r="A8" s="59" t="s">
        <v>13</v>
      </c>
      <c r="B8" s="59"/>
      <c r="C8" s="5"/>
    </row>
    <row r="9" spans="1:5" ht="26.1" x14ac:dyDescent="0.55000000000000004">
      <c r="A9" s="58"/>
      <c r="B9" s="58"/>
      <c r="C9" s="5" t="s">
        <v>14</v>
      </c>
      <c r="D9" s="2" t="s">
        <v>982</v>
      </c>
    </row>
    <row r="10" spans="1:5" x14ac:dyDescent="0.55000000000000004">
      <c r="A10" s="58"/>
      <c r="B10" s="58"/>
      <c r="C10" s="5" t="s">
        <v>16</v>
      </c>
      <c r="D10" s="2" t="s">
        <v>17</v>
      </c>
      <c r="E10" s="1" t="s">
        <v>18</v>
      </c>
    </row>
    <row r="11" spans="1:5" x14ac:dyDescent="0.55000000000000004">
      <c r="A11" s="58"/>
      <c r="B11" s="58"/>
      <c r="C11" s="5" t="s">
        <v>19</v>
      </c>
      <c r="D11" s="2" t="s">
        <v>20</v>
      </c>
    </row>
    <row r="12" spans="1:5" x14ac:dyDescent="0.55000000000000004">
      <c r="A12" s="58"/>
      <c r="B12" s="58"/>
      <c r="C12" s="5" t="s">
        <v>21</v>
      </c>
      <c r="D12" s="2" t="s">
        <v>20</v>
      </c>
    </row>
    <row r="13" spans="1:5" x14ac:dyDescent="0.55000000000000004">
      <c r="A13" s="58"/>
      <c r="B13" s="58"/>
      <c r="C13" s="5" t="s">
        <v>22</v>
      </c>
      <c r="D13" s="2" t="s">
        <v>20</v>
      </c>
    </row>
    <row r="14" spans="1:5" x14ac:dyDescent="0.55000000000000004">
      <c r="A14" s="59" t="s">
        <v>24</v>
      </c>
      <c r="B14" s="59"/>
      <c r="C14" s="5"/>
    </row>
    <row r="15" spans="1:5" x14ac:dyDescent="0.55000000000000004">
      <c r="A15" s="58"/>
      <c r="B15" s="58"/>
      <c r="C15" s="5" t="s">
        <v>25</v>
      </c>
      <c r="D15" s="2" t="s">
        <v>87</v>
      </c>
    </row>
    <row r="16" spans="1:5" x14ac:dyDescent="0.55000000000000004">
      <c r="A16" s="58"/>
      <c r="B16" s="58"/>
      <c r="C16" s="5" t="s">
        <v>27</v>
      </c>
      <c r="D16" s="2" t="s">
        <v>972</v>
      </c>
    </row>
    <row r="17" spans="1:4" x14ac:dyDescent="0.55000000000000004">
      <c r="A17" s="59" t="s">
        <v>29</v>
      </c>
      <c r="B17" s="59"/>
      <c r="C17" s="5"/>
    </row>
    <row r="18" spans="1:4" ht="26.1" x14ac:dyDescent="0.55000000000000004">
      <c r="A18" s="58"/>
      <c r="B18" s="58"/>
      <c r="C18" s="5" t="s">
        <v>30</v>
      </c>
      <c r="D18" s="2" t="s">
        <v>983</v>
      </c>
    </row>
    <row r="19" spans="1:4" ht="26.1" x14ac:dyDescent="0.55000000000000004">
      <c r="A19" s="58"/>
      <c r="B19" s="58"/>
      <c r="C19" s="5" t="s">
        <v>32</v>
      </c>
      <c r="D19" s="2" t="s">
        <v>984</v>
      </c>
    </row>
    <row r="20" spans="1:4" x14ac:dyDescent="0.55000000000000004">
      <c r="A20" s="59" t="s">
        <v>34</v>
      </c>
      <c r="B20" s="59"/>
      <c r="C20" s="5"/>
      <c r="D20" s="2" t="s">
        <v>35</v>
      </c>
    </row>
    <row r="21" spans="1:4" x14ac:dyDescent="0.55000000000000004">
      <c r="A21" s="58"/>
      <c r="B21" s="58"/>
      <c r="C21" s="5" t="s">
        <v>36</v>
      </c>
      <c r="D21" s="2" t="s">
        <v>20</v>
      </c>
    </row>
    <row r="22" spans="1:4" x14ac:dyDescent="0.55000000000000004">
      <c r="A22" s="58"/>
      <c r="B22" s="58"/>
      <c r="C22" s="5" t="s">
        <v>37</v>
      </c>
      <c r="D22" s="2">
        <v>31</v>
      </c>
    </row>
    <row r="23" spans="1:4" x14ac:dyDescent="0.55000000000000004">
      <c r="A23" s="58"/>
      <c r="B23" s="58"/>
      <c r="C23" s="5" t="s">
        <v>38</v>
      </c>
      <c r="D23" s="2">
        <v>31</v>
      </c>
    </row>
    <row r="24" spans="1:4" x14ac:dyDescent="0.55000000000000004">
      <c r="A24" s="58"/>
      <c r="B24" s="58"/>
      <c r="C24" s="5" t="s">
        <v>39</v>
      </c>
      <c r="D24" s="2" t="s">
        <v>20</v>
      </c>
    </row>
    <row r="25" spans="1:4" x14ac:dyDescent="0.55000000000000004">
      <c r="A25" s="58"/>
      <c r="B25" s="58"/>
      <c r="C25" s="5" t="s">
        <v>40</v>
      </c>
      <c r="D25" s="2">
        <v>42</v>
      </c>
    </row>
    <row r="26" spans="1:4" x14ac:dyDescent="0.55000000000000004">
      <c r="A26" s="58"/>
      <c r="B26" s="58"/>
      <c r="C26" s="5" t="s">
        <v>41</v>
      </c>
      <c r="D26" s="7">
        <v>61.1</v>
      </c>
    </row>
    <row r="27" spans="1:4" x14ac:dyDescent="0.55000000000000004">
      <c r="A27" s="58"/>
      <c r="B27" s="58"/>
      <c r="C27" s="5" t="s">
        <v>42</v>
      </c>
      <c r="D27" s="7">
        <v>4.5</v>
      </c>
    </row>
    <row r="28" spans="1:4" x14ac:dyDescent="0.55000000000000004">
      <c r="A28" s="58"/>
      <c r="B28" s="58"/>
      <c r="C28" s="5" t="s">
        <v>43</v>
      </c>
      <c r="D28" s="2" t="s">
        <v>20</v>
      </c>
    </row>
    <row r="29" spans="1:4" x14ac:dyDescent="0.55000000000000004">
      <c r="A29" s="58"/>
      <c r="B29" s="58"/>
      <c r="C29" s="5" t="s">
        <v>44</v>
      </c>
      <c r="D29" s="2">
        <v>3</v>
      </c>
    </row>
    <row r="30" spans="1:4" x14ac:dyDescent="0.55000000000000004">
      <c r="A30" s="58"/>
      <c r="B30" s="58"/>
      <c r="C30" s="5" t="s">
        <v>45</v>
      </c>
      <c r="D30" s="7">
        <v>20.100000000000001</v>
      </c>
    </row>
    <row r="31" spans="1:4" x14ac:dyDescent="0.55000000000000004">
      <c r="A31" s="58"/>
      <c r="B31" s="58"/>
      <c r="C31" s="5" t="s">
        <v>46</v>
      </c>
      <c r="D31" s="7">
        <v>8.5</v>
      </c>
    </row>
    <row r="32" spans="1:4" x14ac:dyDescent="0.55000000000000004">
      <c r="A32" s="59" t="s">
        <v>47</v>
      </c>
      <c r="B32" s="59"/>
      <c r="C32" s="5"/>
    </row>
    <row r="33" spans="1:10" ht="26.1" x14ac:dyDescent="0.55000000000000004">
      <c r="A33" s="58"/>
      <c r="B33" s="58"/>
      <c r="C33" s="5" t="s">
        <v>48</v>
      </c>
      <c r="D33" s="2" t="s">
        <v>985</v>
      </c>
    </row>
    <row r="34" spans="1:10" x14ac:dyDescent="0.55000000000000004">
      <c r="A34" s="59" t="s">
        <v>50</v>
      </c>
      <c r="B34" s="59"/>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9"/>
      <c r="B36" s="5" t="s">
        <v>59</v>
      </c>
      <c r="C36" s="5"/>
    </row>
    <row r="37" spans="1:10" x14ac:dyDescent="0.55000000000000004">
      <c r="A37" s="59"/>
      <c r="B37" s="5"/>
      <c r="C37" s="5" t="s">
        <v>986</v>
      </c>
      <c r="D37" s="7">
        <v>4.5999999999999996</v>
      </c>
      <c r="E37" s="10">
        <v>3.5</v>
      </c>
    </row>
    <row r="38" spans="1:10" x14ac:dyDescent="0.55000000000000004">
      <c r="A38" s="59"/>
      <c r="B38" s="5"/>
      <c r="C38" s="5" t="s">
        <v>987</v>
      </c>
      <c r="D38" s="7">
        <v>2.7</v>
      </c>
      <c r="E38" s="10">
        <v>2.5</v>
      </c>
    </row>
    <row r="39" spans="1:10" x14ac:dyDescent="0.55000000000000004">
      <c r="A39" s="59"/>
      <c r="B39" s="5"/>
    </row>
    <row r="40" spans="1:10" x14ac:dyDescent="0.55000000000000004">
      <c r="A40" s="59"/>
      <c r="B40" s="5"/>
    </row>
    <row r="41" spans="1:10" x14ac:dyDescent="0.55000000000000004">
      <c r="A41" s="59"/>
      <c r="B41" s="5"/>
    </row>
    <row r="42" spans="1:10" x14ac:dyDescent="0.55000000000000004">
      <c r="A42" s="59"/>
      <c r="B42" s="5"/>
    </row>
    <row r="43" spans="1:10" x14ac:dyDescent="0.55000000000000004">
      <c r="A43" s="59"/>
      <c r="B43" s="5"/>
      <c r="C43" s="5"/>
    </row>
    <row r="44" spans="1:10" x14ac:dyDescent="0.55000000000000004">
      <c r="A44" s="59"/>
      <c r="B44" s="5"/>
      <c r="C44" s="5"/>
    </row>
    <row r="45" spans="1:10" x14ac:dyDescent="0.55000000000000004">
      <c r="A45" s="59"/>
      <c r="B45" s="5" t="s">
        <v>61</v>
      </c>
      <c r="C45" s="5"/>
    </row>
    <row r="46" spans="1:10" x14ac:dyDescent="0.55000000000000004">
      <c r="A46" s="59"/>
      <c r="B46" s="5"/>
    </row>
    <row r="47" spans="1:10" x14ac:dyDescent="0.55000000000000004">
      <c r="A47" s="59"/>
      <c r="B47" s="5"/>
    </row>
    <row r="48" spans="1:10" x14ac:dyDescent="0.55000000000000004">
      <c r="A48" s="59"/>
      <c r="B48" s="5"/>
      <c r="C48" s="5"/>
    </row>
    <row r="49" spans="1:3" x14ac:dyDescent="0.55000000000000004">
      <c r="A49" s="59"/>
      <c r="B49" s="5"/>
      <c r="C49" s="5"/>
    </row>
    <row r="50" spans="1:3" x14ac:dyDescent="0.55000000000000004">
      <c r="A50" s="59"/>
      <c r="B50" s="5"/>
      <c r="C50" s="5"/>
    </row>
    <row r="51" spans="1:3" x14ac:dyDescent="0.55000000000000004">
      <c r="A51" s="59"/>
      <c r="B51" s="5"/>
      <c r="C51" s="5"/>
    </row>
    <row r="52" spans="1:3" x14ac:dyDescent="0.55000000000000004">
      <c r="A52" s="59"/>
      <c r="B52" s="5"/>
      <c r="C52" s="5"/>
    </row>
    <row r="53" spans="1:3" x14ac:dyDescent="0.55000000000000004">
      <c r="A53" s="59"/>
      <c r="B53" s="5"/>
      <c r="C53" s="5"/>
    </row>
    <row r="54" spans="1:3" x14ac:dyDescent="0.55000000000000004">
      <c r="A54" s="59"/>
      <c r="B54" s="5"/>
      <c r="C54" s="5"/>
    </row>
    <row r="55" spans="1:3" x14ac:dyDescent="0.55000000000000004">
      <c r="A55" s="59"/>
      <c r="B55" s="5"/>
      <c r="C55" s="5"/>
    </row>
    <row r="56" spans="1:3" x14ac:dyDescent="0.55000000000000004">
      <c r="A56" s="59"/>
      <c r="B56" s="5"/>
      <c r="C56" s="5"/>
    </row>
    <row r="57" spans="1:3" x14ac:dyDescent="0.55000000000000004">
      <c r="A57" s="59"/>
      <c r="B57" s="5"/>
      <c r="C57" s="5"/>
    </row>
    <row r="58" spans="1:3" x14ac:dyDescent="0.55000000000000004">
      <c r="A58" s="59"/>
      <c r="B58" s="5"/>
      <c r="C58" s="5"/>
    </row>
    <row r="59" spans="1:3" x14ac:dyDescent="0.55000000000000004">
      <c r="A59" s="59"/>
      <c r="B59" s="5"/>
      <c r="C59" s="5"/>
    </row>
    <row r="60" spans="1:3" x14ac:dyDescent="0.55000000000000004">
      <c r="A60" s="59"/>
      <c r="B60" s="5"/>
      <c r="C60" s="5"/>
    </row>
    <row r="61" spans="1:3" x14ac:dyDescent="0.55000000000000004">
      <c r="A61" s="59"/>
      <c r="B61" s="5"/>
      <c r="C61" s="5"/>
    </row>
    <row r="62" spans="1:3" x14ac:dyDescent="0.55000000000000004">
      <c r="A62" s="59"/>
      <c r="B62" s="5"/>
      <c r="C62" s="8"/>
    </row>
    <row r="63" spans="1:3" x14ac:dyDescent="0.55000000000000004">
      <c r="A63" s="59"/>
      <c r="B63" s="5"/>
      <c r="C63" s="5"/>
    </row>
    <row r="64" spans="1:3" x14ac:dyDescent="0.55000000000000004">
      <c r="A64" s="59"/>
      <c r="B64" s="5"/>
      <c r="C64" s="5"/>
    </row>
    <row r="65" spans="1:5" x14ac:dyDescent="0.55000000000000004">
      <c r="A65" s="59"/>
      <c r="B65" s="5" t="s">
        <v>62</v>
      </c>
      <c r="C65" s="5"/>
      <c r="D65" s="2">
        <v>3</v>
      </c>
    </row>
    <row r="66" spans="1:5" x14ac:dyDescent="0.55000000000000004">
      <c r="A66" s="59"/>
      <c r="B66" s="5" t="s">
        <v>63</v>
      </c>
      <c r="C66" s="5"/>
      <c r="D66" s="2" t="s">
        <v>191</v>
      </c>
      <c r="E66" s="1" t="s">
        <v>988</v>
      </c>
    </row>
    <row r="67" spans="1:5" ht="26.1" x14ac:dyDescent="0.55000000000000004">
      <c r="A67" s="59" t="s">
        <v>65</v>
      </c>
      <c r="B67" s="59"/>
      <c r="C67" s="5"/>
      <c r="D67" s="2" t="s">
        <v>989</v>
      </c>
    </row>
    <row r="68" spans="1:5" x14ac:dyDescent="0.55000000000000004">
      <c r="A68" s="3" t="s">
        <v>67</v>
      </c>
    </row>
    <row r="69" spans="1:5" x14ac:dyDescent="0.55000000000000004">
      <c r="A69" s="1" t="s">
        <v>68</v>
      </c>
      <c r="C69" s="1">
        <v>11</v>
      </c>
      <c r="D69" s="2">
        <v>28</v>
      </c>
    </row>
    <row r="70" spans="1:5" x14ac:dyDescent="0.55000000000000004">
      <c r="B70" s="1" t="s">
        <v>94</v>
      </c>
    </row>
    <row r="71" spans="1:5" x14ac:dyDescent="0.55000000000000004">
      <c r="C71" s="5" t="s">
        <v>990</v>
      </c>
      <c r="D71" s="7">
        <v>20.100000000000001</v>
      </c>
      <c r="E71" s="10">
        <v>8.5</v>
      </c>
    </row>
    <row r="72" spans="1:5" x14ac:dyDescent="0.55000000000000004">
      <c r="C72" s="5" t="s">
        <v>991</v>
      </c>
      <c r="D72" s="7">
        <v>13.6</v>
      </c>
      <c r="E72" s="10">
        <v>5.4</v>
      </c>
    </row>
    <row r="73" spans="1:5" x14ac:dyDescent="0.55000000000000004">
      <c r="C73" s="5" t="s">
        <v>992</v>
      </c>
      <c r="D73" s="7">
        <v>2.5</v>
      </c>
      <c r="E73" s="10">
        <v>2.2999999999999998</v>
      </c>
    </row>
    <row r="74" spans="1:5" x14ac:dyDescent="0.55000000000000004">
      <c r="C74" s="5" t="s">
        <v>993</v>
      </c>
      <c r="D74" s="7">
        <v>1.5</v>
      </c>
      <c r="E74" s="10">
        <v>1.4</v>
      </c>
    </row>
    <row r="75" spans="1:5" x14ac:dyDescent="0.55000000000000004">
      <c r="C75" s="5" t="s">
        <v>994</v>
      </c>
      <c r="D75" s="7">
        <v>2.2000000000000002</v>
      </c>
      <c r="E75" s="10">
        <v>1.7</v>
      </c>
    </row>
    <row r="76" spans="1:5" x14ac:dyDescent="0.55000000000000004">
      <c r="C76" s="5" t="s">
        <v>995</v>
      </c>
      <c r="D76" s="7">
        <v>1.4</v>
      </c>
      <c r="E76" s="10">
        <v>1.4</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AMJ69"/>
  <sheetViews>
    <sheetView topLeftCell="B1" zoomScale="90" zoomScaleNormal="90" workbookViewId="0">
      <selection activeCell="D10" sqref="D10"/>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68.83984375" style="1" customWidth="1"/>
    <col min="6" max="1024" width="11.41796875" style="1"/>
  </cols>
  <sheetData>
    <row r="1" spans="1:4" x14ac:dyDescent="0.55000000000000004">
      <c r="A1" s="3" t="s">
        <v>0</v>
      </c>
      <c r="D1" s="2" t="s">
        <v>426</v>
      </c>
    </row>
    <row r="2" spans="1:4" x14ac:dyDescent="0.55000000000000004">
      <c r="A2" s="58" t="s">
        <v>2</v>
      </c>
      <c r="B2" s="58"/>
      <c r="D2" s="1" t="s">
        <v>996</v>
      </c>
    </row>
    <row r="3" spans="1:4" x14ac:dyDescent="0.55000000000000004">
      <c r="A3" s="58"/>
      <c r="B3" s="58"/>
      <c r="C3" s="5" t="s">
        <v>4</v>
      </c>
      <c r="D3" s="2" t="s">
        <v>997</v>
      </c>
    </row>
    <row r="4" spans="1:4" x14ac:dyDescent="0.55000000000000004">
      <c r="A4" s="58"/>
      <c r="B4" s="58"/>
      <c r="C4" s="5" t="s">
        <v>6</v>
      </c>
      <c r="D4" s="2">
        <v>1991</v>
      </c>
    </row>
    <row r="5" spans="1:4" ht="26.1" x14ac:dyDescent="0.55000000000000004">
      <c r="A5" s="58"/>
      <c r="B5" s="58"/>
      <c r="C5" s="5" t="s">
        <v>7</v>
      </c>
      <c r="D5" s="2" t="s">
        <v>998</v>
      </c>
    </row>
    <row r="6" spans="1:4" x14ac:dyDescent="0.55000000000000004">
      <c r="A6" s="58"/>
      <c r="B6" s="58"/>
      <c r="C6" s="5" t="s">
        <v>9</v>
      </c>
      <c r="D6" s="2" t="s">
        <v>999</v>
      </c>
    </row>
    <row r="7" spans="1:4" x14ac:dyDescent="0.55000000000000004">
      <c r="A7" s="58"/>
      <c r="B7" s="58"/>
      <c r="C7" s="5" t="s">
        <v>11</v>
      </c>
      <c r="D7" s="2" t="s">
        <v>12</v>
      </c>
    </row>
    <row r="8" spans="1:4" x14ac:dyDescent="0.55000000000000004">
      <c r="A8" s="59" t="s">
        <v>13</v>
      </c>
      <c r="B8" s="59"/>
      <c r="C8" s="5"/>
    </row>
    <row r="9" spans="1:4" ht="26.1" x14ac:dyDescent="0.55000000000000004">
      <c r="A9" s="58"/>
      <c r="B9" s="58"/>
      <c r="C9" s="5" t="s">
        <v>14</v>
      </c>
      <c r="D9" s="2" t="s">
        <v>1000</v>
      </c>
    </row>
    <row r="10" spans="1:4" x14ac:dyDescent="0.55000000000000004">
      <c r="A10" s="58"/>
      <c r="B10" s="58"/>
      <c r="C10" s="5" t="s">
        <v>16</v>
      </c>
      <c r="D10" s="2" t="s">
        <v>17</v>
      </c>
    </row>
    <row r="11" spans="1:4" x14ac:dyDescent="0.55000000000000004">
      <c r="A11" s="58"/>
      <c r="B11" s="58"/>
      <c r="C11" s="5" t="s">
        <v>19</v>
      </c>
      <c r="D11" s="2" t="s">
        <v>20</v>
      </c>
    </row>
    <row r="12" spans="1:4" x14ac:dyDescent="0.55000000000000004">
      <c r="A12" s="58"/>
      <c r="B12" s="58"/>
      <c r="C12" s="5" t="s">
        <v>21</v>
      </c>
      <c r="D12" s="2" t="s">
        <v>20</v>
      </c>
    </row>
    <row r="13" spans="1:4" x14ac:dyDescent="0.55000000000000004">
      <c r="A13" s="58"/>
      <c r="B13" s="58"/>
      <c r="C13" s="5" t="s">
        <v>22</v>
      </c>
      <c r="D13" s="2" t="s">
        <v>20</v>
      </c>
    </row>
    <row r="14" spans="1:4" x14ac:dyDescent="0.55000000000000004">
      <c r="A14" s="59" t="s">
        <v>24</v>
      </c>
      <c r="B14" s="59"/>
      <c r="C14" s="5"/>
    </row>
    <row r="15" spans="1:4" x14ac:dyDescent="0.55000000000000004">
      <c r="A15" s="58"/>
      <c r="B15" s="58"/>
      <c r="C15" s="5" t="s">
        <v>25</v>
      </c>
      <c r="D15" s="2" t="s">
        <v>553</v>
      </c>
    </row>
    <row r="16" spans="1:4" x14ac:dyDescent="0.55000000000000004">
      <c r="A16" s="58"/>
      <c r="B16" s="58"/>
      <c r="C16" s="5" t="s">
        <v>27</v>
      </c>
      <c r="D16" s="2" t="s">
        <v>88</v>
      </c>
    </row>
    <row r="17" spans="1:5" x14ac:dyDescent="0.55000000000000004">
      <c r="A17" s="59" t="s">
        <v>29</v>
      </c>
      <c r="B17" s="59"/>
      <c r="C17" s="5"/>
    </row>
    <row r="18" spans="1:5" ht="26.1" x14ac:dyDescent="0.55000000000000004">
      <c r="A18" s="58"/>
      <c r="B18" s="58"/>
      <c r="C18" s="5" t="s">
        <v>30</v>
      </c>
      <c r="D18" s="2" t="s">
        <v>1001</v>
      </c>
    </row>
    <row r="19" spans="1:5" x14ac:dyDescent="0.55000000000000004">
      <c r="A19" s="58"/>
      <c r="B19" s="58"/>
      <c r="C19" s="5" t="s">
        <v>32</v>
      </c>
      <c r="D19" s="2" t="s">
        <v>20</v>
      </c>
    </row>
    <row r="20" spans="1:5" x14ac:dyDescent="0.55000000000000004">
      <c r="A20" s="59" t="s">
        <v>34</v>
      </c>
      <c r="B20" s="59"/>
      <c r="C20" s="5"/>
      <c r="D20" s="2" t="s">
        <v>35</v>
      </c>
    </row>
    <row r="21" spans="1:5" x14ac:dyDescent="0.55000000000000004">
      <c r="A21" s="58"/>
      <c r="B21" s="58"/>
      <c r="C21" s="5" t="s">
        <v>36</v>
      </c>
      <c r="D21" s="2" t="s">
        <v>20</v>
      </c>
    </row>
    <row r="22" spans="1:5" x14ac:dyDescent="0.55000000000000004">
      <c r="A22" s="58"/>
      <c r="B22" s="58"/>
      <c r="C22" s="5" t="s">
        <v>37</v>
      </c>
      <c r="D22" s="2">
        <f>D23+D24</f>
        <v>657</v>
      </c>
    </row>
    <row r="23" spans="1:5" x14ac:dyDescent="0.55000000000000004">
      <c r="A23" s="58"/>
      <c r="B23" s="58"/>
      <c r="C23" s="5" t="s">
        <v>38</v>
      </c>
      <c r="D23" s="2">
        <f>74+78+123+114</f>
        <v>389</v>
      </c>
    </row>
    <row r="24" spans="1:5" x14ac:dyDescent="0.55000000000000004">
      <c r="A24" s="58"/>
      <c r="B24" s="58"/>
      <c r="C24" s="5" t="s">
        <v>39</v>
      </c>
      <c r="D24" s="2">
        <v>268</v>
      </c>
    </row>
    <row r="25" spans="1:5" x14ac:dyDescent="0.55000000000000004">
      <c r="A25" s="58"/>
      <c r="B25" s="58"/>
      <c r="C25" s="5" t="s">
        <v>40</v>
      </c>
      <c r="D25" s="2">
        <v>50</v>
      </c>
      <c r="E25" s="1" t="s">
        <v>1002</v>
      </c>
    </row>
    <row r="26" spans="1:5" x14ac:dyDescent="0.55000000000000004">
      <c r="A26" s="58"/>
      <c r="B26" s="58"/>
      <c r="C26" s="5" t="s">
        <v>41</v>
      </c>
      <c r="D26" s="7">
        <f>(62.2*74+58.9*78+60.5*123+60*114)/389</f>
        <v>60.3560411311054</v>
      </c>
    </row>
    <row r="27" spans="1:5" x14ac:dyDescent="0.55000000000000004">
      <c r="A27" s="58"/>
      <c r="B27" s="58"/>
      <c r="C27" s="5" t="s">
        <v>42</v>
      </c>
      <c r="D27" s="7">
        <f>(8.6*74+10.7*78+8.9*123+9.9*114)/389</f>
        <v>9.496915167095116</v>
      </c>
    </row>
    <row r="28" spans="1:5" x14ac:dyDescent="0.55000000000000004">
      <c r="A28" s="58"/>
      <c r="B28" s="58"/>
      <c r="C28" s="5" t="s">
        <v>43</v>
      </c>
      <c r="D28" s="2" t="s">
        <v>20</v>
      </c>
    </row>
    <row r="29" spans="1:5" x14ac:dyDescent="0.55000000000000004">
      <c r="A29" s="58"/>
      <c r="B29" s="58"/>
      <c r="C29" s="5" t="s">
        <v>44</v>
      </c>
      <c r="D29" s="2">
        <v>2</v>
      </c>
    </row>
    <row r="30" spans="1:5" x14ac:dyDescent="0.55000000000000004">
      <c r="A30" s="58"/>
      <c r="B30" s="58"/>
      <c r="C30" s="5" t="s">
        <v>45</v>
      </c>
      <c r="D30" s="2" t="s">
        <v>20</v>
      </c>
    </row>
    <row r="31" spans="1:5" x14ac:dyDescent="0.55000000000000004">
      <c r="A31" s="58"/>
      <c r="B31" s="58"/>
      <c r="C31" s="5" t="s">
        <v>46</v>
      </c>
      <c r="D31" s="2" t="s">
        <v>20</v>
      </c>
    </row>
    <row r="32" spans="1:5" x14ac:dyDescent="0.55000000000000004">
      <c r="A32" s="59" t="s">
        <v>47</v>
      </c>
      <c r="B32" s="59"/>
      <c r="C32" s="5"/>
    </row>
    <row r="33" spans="1:9" ht="39" x14ac:dyDescent="0.55000000000000004">
      <c r="A33" s="58"/>
      <c r="B33" s="58"/>
      <c r="C33" s="5" t="s">
        <v>48</v>
      </c>
      <c r="D33" s="2" t="s">
        <v>1003</v>
      </c>
    </row>
    <row r="34" spans="1:9" x14ac:dyDescent="0.55000000000000004">
      <c r="A34" s="59" t="s">
        <v>50</v>
      </c>
      <c r="B34" s="59"/>
      <c r="C34" s="5"/>
    </row>
    <row r="35" spans="1:9" x14ac:dyDescent="0.55000000000000004">
      <c r="A35" s="8"/>
      <c r="B35" s="8"/>
      <c r="C35" s="5"/>
    </row>
    <row r="36" spans="1:9" x14ac:dyDescent="0.55000000000000004">
      <c r="A36" s="59"/>
      <c r="B36" s="5" t="s">
        <v>59</v>
      </c>
      <c r="C36" s="5"/>
      <c r="D36" s="2" t="s">
        <v>51</v>
      </c>
      <c r="E36" s="1" t="s">
        <v>52</v>
      </c>
      <c r="F36" s="1" t="s">
        <v>53</v>
      </c>
      <c r="G36" s="1" t="s">
        <v>54</v>
      </c>
      <c r="H36" s="1" t="s">
        <v>55</v>
      </c>
      <c r="I36" s="1" t="s">
        <v>56</v>
      </c>
    </row>
    <row r="37" spans="1:9" x14ac:dyDescent="0.55000000000000004">
      <c r="A37" s="59"/>
      <c r="B37" s="5"/>
      <c r="C37" s="5" t="s">
        <v>1004</v>
      </c>
    </row>
    <row r="38" spans="1:9" x14ac:dyDescent="0.55000000000000004">
      <c r="A38" s="59"/>
      <c r="B38" s="5"/>
      <c r="C38" s="5" t="s">
        <v>79</v>
      </c>
    </row>
    <row r="39" spans="1:9" x14ac:dyDescent="0.55000000000000004">
      <c r="A39" s="59"/>
      <c r="B39" s="5"/>
      <c r="C39" s="5"/>
    </row>
    <row r="40" spans="1:9" x14ac:dyDescent="0.55000000000000004">
      <c r="A40" s="59"/>
      <c r="B40" s="5"/>
      <c r="C40" s="5"/>
    </row>
    <row r="41" spans="1:9" x14ac:dyDescent="0.55000000000000004">
      <c r="A41" s="59"/>
      <c r="B41" s="5"/>
      <c r="C41" s="5"/>
    </row>
    <row r="42" spans="1:9" x14ac:dyDescent="0.55000000000000004">
      <c r="A42" s="59"/>
      <c r="B42" s="5"/>
      <c r="C42" s="5"/>
    </row>
    <row r="43" spans="1:9" x14ac:dyDescent="0.55000000000000004">
      <c r="A43" s="59"/>
      <c r="B43" s="5"/>
      <c r="C43" s="5"/>
    </row>
    <row r="44" spans="1:9" x14ac:dyDescent="0.55000000000000004">
      <c r="A44" s="59"/>
      <c r="B44" s="5"/>
      <c r="C44" s="5" t="s">
        <v>1005</v>
      </c>
      <c r="D44" s="2" t="s">
        <v>1006</v>
      </c>
      <c r="E44" s="39" t="s">
        <v>1007</v>
      </c>
    </row>
    <row r="45" spans="1:9" x14ac:dyDescent="0.55000000000000004">
      <c r="A45" s="59"/>
      <c r="B45" s="5" t="s">
        <v>61</v>
      </c>
      <c r="C45" s="5"/>
    </row>
    <row r="46" spans="1:9" x14ac:dyDescent="0.55000000000000004">
      <c r="A46" s="59"/>
      <c r="B46" s="5"/>
      <c r="C46" s="5" t="s">
        <v>1008</v>
      </c>
    </row>
    <row r="47" spans="1:9" x14ac:dyDescent="0.55000000000000004">
      <c r="A47" s="59"/>
      <c r="B47" s="5"/>
      <c r="C47" s="5"/>
    </row>
    <row r="48" spans="1:9" x14ac:dyDescent="0.55000000000000004">
      <c r="A48" s="59"/>
      <c r="B48" s="5"/>
      <c r="C48" s="5"/>
    </row>
    <row r="49" spans="1:3" x14ac:dyDescent="0.55000000000000004">
      <c r="A49" s="59"/>
      <c r="B49" s="5"/>
      <c r="C49" s="5"/>
    </row>
    <row r="50" spans="1:3" x14ac:dyDescent="0.55000000000000004">
      <c r="A50" s="59"/>
      <c r="B50" s="5"/>
      <c r="C50" s="5"/>
    </row>
    <row r="51" spans="1:3" x14ac:dyDescent="0.55000000000000004">
      <c r="A51" s="59"/>
      <c r="B51" s="5"/>
      <c r="C51" s="5"/>
    </row>
    <row r="52" spans="1:3" x14ac:dyDescent="0.55000000000000004">
      <c r="A52" s="59"/>
      <c r="B52" s="5"/>
      <c r="C52" s="5"/>
    </row>
    <row r="53" spans="1:3" x14ac:dyDescent="0.55000000000000004">
      <c r="A53" s="59"/>
      <c r="B53" s="5"/>
      <c r="C53" s="5"/>
    </row>
    <row r="54" spans="1:3" x14ac:dyDescent="0.55000000000000004">
      <c r="A54" s="59"/>
      <c r="B54" s="5"/>
      <c r="C54" s="5"/>
    </row>
    <row r="55" spans="1:3" x14ac:dyDescent="0.55000000000000004">
      <c r="A55" s="59"/>
      <c r="B55" s="5"/>
      <c r="C55" s="5"/>
    </row>
    <row r="56" spans="1:3" x14ac:dyDescent="0.55000000000000004">
      <c r="A56" s="59"/>
      <c r="B56" s="5"/>
      <c r="C56" s="5"/>
    </row>
    <row r="57" spans="1:3" x14ac:dyDescent="0.55000000000000004">
      <c r="A57" s="59"/>
      <c r="B57" s="5"/>
      <c r="C57" s="5"/>
    </row>
    <row r="58" spans="1:3" x14ac:dyDescent="0.55000000000000004">
      <c r="A58" s="59"/>
      <c r="B58" s="5"/>
      <c r="C58" s="5"/>
    </row>
    <row r="59" spans="1:3" x14ac:dyDescent="0.55000000000000004">
      <c r="A59" s="59"/>
      <c r="B59" s="5"/>
      <c r="C59" s="5"/>
    </row>
    <row r="60" spans="1:3" x14ac:dyDescent="0.55000000000000004">
      <c r="A60" s="59"/>
      <c r="B60" s="5"/>
      <c r="C60" s="5"/>
    </row>
    <row r="61" spans="1:3" x14ac:dyDescent="0.55000000000000004">
      <c r="A61" s="59"/>
      <c r="B61" s="5"/>
      <c r="C61" s="5"/>
    </row>
    <row r="62" spans="1:3" x14ac:dyDescent="0.55000000000000004">
      <c r="A62" s="59"/>
      <c r="B62" s="5"/>
      <c r="C62" s="5"/>
    </row>
    <row r="63" spans="1:3" x14ac:dyDescent="0.55000000000000004">
      <c r="A63" s="59"/>
      <c r="B63" s="5"/>
      <c r="C63" s="5"/>
    </row>
    <row r="64" spans="1:3" x14ac:dyDescent="0.55000000000000004">
      <c r="A64" s="59"/>
      <c r="B64" s="5"/>
      <c r="C64" s="5"/>
    </row>
    <row r="65" spans="1:4" x14ac:dyDescent="0.55000000000000004">
      <c r="A65" s="59"/>
      <c r="B65" s="5" t="s">
        <v>62</v>
      </c>
      <c r="C65" s="5"/>
      <c r="D65" s="2">
        <f>48*30</f>
        <v>1440</v>
      </c>
    </row>
    <row r="66" spans="1:4" x14ac:dyDescent="0.55000000000000004">
      <c r="A66" s="59"/>
      <c r="B66" s="5" t="s">
        <v>63</v>
      </c>
      <c r="C66" s="5"/>
      <c r="D66" s="2" t="s">
        <v>20</v>
      </c>
    </row>
    <row r="67" spans="1:4" x14ac:dyDescent="0.55000000000000004">
      <c r="A67" s="59" t="s">
        <v>65</v>
      </c>
      <c r="B67" s="59"/>
      <c r="C67" s="5"/>
      <c r="D67" s="2" t="s">
        <v>1009</v>
      </c>
    </row>
    <row r="68" spans="1:4" x14ac:dyDescent="0.55000000000000004">
      <c r="A68" s="3" t="s">
        <v>67</v>
      </c>
    </row>
    <row r="69" spans="1:4" x14ac:dyDescent="0.55000000000000004">
      <c r="A69" s="1" t="s">
        <v>68</v>
      </c>
      <c r="C69" s="1">
        <v>11</v>
      </c>
      <c r="D69" s="2">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AMJ70"/>
  <sheetViews>
    <sheetView topLeftCell="A16" zoomScale="90" zoomScaleNormal="90" workbookViewId="0">
      <selection activeCell="C48" sqref="C48"/>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30.15625" style="1" customWidth="1"/>
    <col min="6" max="1024" width="11.41796875" style="1"/>
  </cols>
  <sheetData>
    <row r="1" spans="1:5" x14ac:dyDescent="0.55000000000000004">
      <c r="A1" s="3" t="s">
        <v>0</v>
      </c>
      <c r="D1" s="2" t="s">
        <v>1010</v>
      </c>
    </row>
    <row r="2" spans="1:5" x14ac:dyDescent="0.55000000000000004">
      <c r="A2" s="58" t="s">
        <v>2</v>
      </c>
      <c r="B2" s="58"/>
      <c r="D2" s="1" t="s">
        <v>1011</v>
      </c>
    </row>
    <row r="3" spans="1:5" ht="26.1" x14ac:dyDescent="0.55000000000000004">
      <c r="A3" s="58"/>
      <c r="B3" s="58"/>
      <c r="C3" s="5" t="s">
        <v>4</v>
      </c>
      <c r="D3" s="2" t="s">
        <v>1012</v>
      </c>
    </row>
    <row r="4" spans="1:5" x14ac:dyDescent="0.55000000000000004">
      <c r="A4" s="58"/>
      <c r="B4" s="58"/>
      <c r="C4" s="5" t="s">
        <v>6</v>
      </c>
      <c r="D4" s="2">
        <v>2003</v>
      </c>
    </row>
    <row r="5" spans="1:5" ht="39" x14ac:dyDescent="0.55000000000000004">
      <c r="A5" s="58"/>
      <c r="B5" s="58"/>
      <c r="C5" s="5" t="s">
        <v>7</v>
      </c>
      <c r="D5" s="2" t="s">
        <v>1013</v>
      </c>
    </row>
    <row r="6" spans="1:5" x14ac:dyDescent="0.55000000000000004">
      <c r="A6" s="58"/>
      <c r="B6" s="58"/>
      <c r="C6" s="5" t="s">
        <v>9</v>
      </c>
      <c r="D6" s="2" t="s">
        <v>10</v>
      </c>
    </row>
    <row r="7" spans="1:5" x14ac:dyDescent="0.55000000000000004">
      <c r="A7" s="58"/>
      <c r="B7" s="58"/>
      <c r="C7" s="5" t="s">
        <v>11</v>
      </c>
      <c r="D7" s="2" t="s">
        <v>12</v>
      </c>
    </row>
    <row r="8" spans="1:5" x14ac:dyDescent="0.55000000000000004">
      <c r="A8" s="59" t="s">
        <v>13</v>
      </c>
      <c r="B8" s="59"/>
      <c r="C8" s="5"/>
    </row>
    <row r="9" spans="1:5" ht="26.1" x14ac:dyDescent="0.55000000000000004">
      <c r="A9" s="58"/>
      <c r="B9" s="58"/>
      <c r="C9" s="5" t="s">
        <v>14</v>
      </c>
      <c r="D9" s="2" t="s">
        <v>1014</v>
      </c>
    </row>
    <row r="10" spans="1:5" x14ac:dyDescent="0.55000000000000004">
      <c r="A10" s="58"/>
      <c r="B10" s="58"/>
      <c r="C10" s="5" t="s">
        <v>16</v>
      </c>
      <c r="D10" s="2" t="s">
        <v>165</v>
      </c>
      <c r="E10" s="1" t="s">
        <v>496</v>
      </c>
    </row>
    <row r="11" spans="1:5" x14ac:dyDescent="0.55000000000000004">
      <c r="A11" s="58"/>
      <c r="B11" s="58"/>
      <c r="C11" s="5" t="s">
        <v>19</v>
      </c>
      <c r="D11" s="2" t="s">
        <v>20</v>
      </c>
    </row>
    <row r="12" spans="1:5" x14ac:dyDescent="0.55000000000000004">
      <c r="A12" s="58"/>
      <c r="B12" s="58"/>
      <c r="C12" s="5" t="s">
        <v>21</v>
      </c>
      <c r="D12" s="2" t="s">
        <v>20</v>
      </c>
    </row>
    <row r="13" spans="1:5" x14ac:dyDescent="0.55000000000000004">
      <c r="A13" s="58"/>
      <c r="B13" s="58"/>
      <c r="C13" s="5" t="s">
        <v>22</v>
      </c>
      <c r="D13" s="2" t="s">
        <v>1015</v>
      </c>
    </row>
    <row r="14" spans="1:5" x14ac:dyDescent="0.55000000000000004">
      <c r="A14" s="59" t="s">
        <v>24</v>
      </c>
      <c r="B14" s="59"/>
      <c r="C14" s="5"/>
    </row>
    <row r="15" spans="1:5" x14ac:dyDescent="0.55000000000000004">
      <c r="A15" s="58"/>
      <c r="B15" s="58"/>
      <c r="C15" s="5" t="s">
        <v>25</v>
      </c>
      <c r="D15" s="2" t="s">
        <v>537</v>
      </c>
    </row>
    <row r="16" spans="1:5" ht="26.1" x14ac:dyDescent="0.55000000000000004">
      <c r="A16" s="58"/>
      <c r="B16" s="58"/>
      <c r="C16" s="5" t="s">
        <v>27</v>
      </c>
      <c r="D16" s="2" t="s">
        <v>1016</v>
      </c>
    </row>
    <row r="17" spans="1:4" x14ac:dyDescent="0.55000000000000004">
      <c r="A17" s="59" t="s">
        <v>29</v>
      </c>
      <c r="B17" s="59"/>
      <c r="C17" s="5"/>
    </row>
    <row r="18" spans="1:4" ht="39" x14ac:dyDescent="0.55000000000000004">
      <c r="A18" s="58"/>
      <c r="B18" s="58"/>
      <c r="C18" s="5" t="s">
        <v>30</v>
      </c>
      <c r="D18" s="2" t="s">
        <v>1017</v>
      </c>
    </row>
    <row r="19" spans="1:4" x14ac:dyDescent="0.55000000000000004">
      <c r="A19" s="58"/>
      <c r="B19" s="58"/>
      <c r="C19" s="5" t="s">
        <v>32</v>
      </c>
      <c r="D19" s="2" t="s">
        <v>20</v>
      </c>
    </row>
    <row r="20" spans="1:4" x14ac:dyDescent="0.55000000000000004">
      <c r="A20" s="59" t="s">
        <v>34</v>
      </c>
      <c r="B20" s="59"/>
      <c r="C20" s="5"/>
      <c r="D20" s="2" t="s">
        <v>35</v>
      </c>
    </row>
    <row r="21" spans="1:4" x14ac:dyDescent="0.55000000000000004">
      <c r="A21" s="58"/>
      <c r="B21" s="58"/>
      <c r="C21" s="5" t="s">
        <v>36</v>
      </c>
      <c r="D21" s="2">
        <v>12</v>
      </c>
    </row>
    <row r="22" spans="1:4" x14ac:dyDescent="0.55000000000000004">
      <c r="A22" s="58"/>
      <c r="B22" s="58"/>
      <c r="C22" s="5" t="s">
        <v>37</v>
      </c>
      <c r="D22" s="2">
        <v>10</v>
      </c>
    </row>
    <row r="23" spans="1:4" x14ac:dyDescent="0.55000000000000004">
      <c r="A23" s="58"/>
      <c r="B23" s="58"/>
      <c r="C23" s="5" t="s">
        <v>38</v>
      </c>
      <c r="D23" s="2">
        <v>10</v>
      </c>
    </row>
    <row r="24" spans="1:4" x14ac:dyDescent="0.55000000000000004">
      <c r="A24" s="58"/>
      <c r="B24" s="58"/>
      <c r="C24" s="5" t="s">
        <v>39</v>
      </c>
      <c r="D24" s="2">
        <v>0</v>
      </c>
    </row>
    <row r="25" spans="1:4" x14ac:dyDescent="0.55000000000000004">
      <c r="A25" s="58"/>
      <c r="B25" s="58"/>
      <c r="C25" s="5" t="s">
        <v>40</v>
      </c>
      <c r="D25" s="2">
        <v>40</v>
      </c>
    </row>
    <row r="26" spans="1:4" x14ac:dyDescent="0.55000000000000004">
      <c r="A26" s="58"/>
      <c r="B26" s="58"/>
      <c r="C26" s="5" t="s">
        <v>41</v>
      </c>
      <c r="D26" s="2">
        <v>65.3</v>
      </c>
    </row>
    <row r="27" spans="1:4" x14ac:dyDescent="0.55000000000000004">
      <c r="A27" s="58"/>
      <c r="B27" s="58"/>
      <c r="C27" s="5" t="s">
        <v>42</v>
      </c>
      <c r="D27" s="2">
        <v>11.41</v>
      </c>
    </row>
    <row r="28" spans="1:4" x14ac:dyDescent="0.55000000000000004">
      <c r="A28" s="58"/>
      <c r="B28" s="58"/>
      <c r="C28" s="5" t="s">
        <v>43</v>
      </c>
      <c r="D28" s="2">
        <v>66.5</v>
      </c>
    </row>
    <row r="29" spans="1:4" x14ac:dyDescent="0.55000000000000004">
      <c r="A29" s="58"/>
      <c r="B29" s="58"/>
      <c r="C29" s="5" t="s">
        <v>44</v>
      </c>
      <c r="D29" s="2">
        <v>1.25</v>
      </c>
    </row>
    <row r="30" spans="1:4" x14ac:dyDescent="0.55000000000000004">
      <c r="A30" s="58"/>
      <c r="B30" s="58"/>
      <c r="C30" s="5" t="s">
        <v>45</v>
      </c>
      <c r="D30" s="2">
        <v>23</v>
      </c>
    </row>
    <row r="31" spans="1:4" x14ac:dyDescent="0.55000000000000004">
      <c r="A31" s="58"/>
      <c r="B31" s="58"/>
      <c r="C31" s="5" t="s">
        <v>46</v>
      </c>
      <c r="D31" s="2">
        <v>9.98</v>
      </c>
    </row>
    <row r="32" spans="1:4" x14ac:dyDescent="0.55000000000000004">
      <c r="A32" s="59" t="s">
        <v>47</v>
      </c>
      <c r="B32" s="59"/>
      <c r="C32" s="5"/>
    </row>
    <row r="33" spans="1:10" ht="77.7" x14ac:dyDescent="0.55000000000000004">
      <c r="A33" s="58"/>
      <c r="B33" s="58"/>
      <c r="C33" s="5" t="s">
        <v>48</v>
      </c>
      <c r="D33" s="2" t="s">
        <v>1018</v>
      </c>
    </row>
    <row r="34" spans="1:10" x14ac:dyDescent="0.55000000000000004">
      <c r="A34" s="59" t="s">
        <v>50</v>
      </c>
      <c r="B34" s="59"/>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9"/>
      <c r="B36" s="5" t="s">
        <v>59</v>
      </c>
      <c r="C36" s="5"/>
    </row>
    <row r="37" spans="1:10" x14ac:dyDescent="0.55000000000000004">
      <c r="A37" s="59"/>
      <c r="B37" s="5"/>
      <c r="C37" s="5"/>
    </row>
    <row r="38" spans="1:10" x14ac:dyDescent="0.55000000000000004">
      <c r="A38" s="59"/>
      <c r="B38" s="5"/>
      <c r="C38" s="5"/>
    </row>
    <row r="39" spans="1:10" x14ac:dyDescent="0.55000000000000004">
      <c r="A39" s="59"/>
      <c r="B39" s="5"/>
      <c r="C39" s="5"/>
    </row>
    <row r="40" spans="1:10" x14ac:dyDescent="0.55000000000000004">
      <c r="A40" s="59"/>
      <c r="B40" s="5"/>
      <c r="C40" s="5"/>
    </row>
    <row r="41" spans="1:10" x14ac:dyDescent="0.55000000000000004">
      <c r="A41" s="59"/>
      <c r="B41" s="5"/>
      <c r="C41" s="5"/>
    </row>
    <row r="42" spans="1:10" x14ac:dyDescent="0.55000000000000004">
      <c r="A42" s="59"/>
      <c r="B42" s="5"/>
      <c r="C42" s="5"/>
    </row>
    <row r="43" spans="1:10" x14ac:dyDescent="0.55000000000000004">
      <c r="A43" s="59"/>
      <c r="B43" s="5"/>
      <c r="C43" s="5"/>
    </row>
    <row r="44" spans="1:10" x14ac:dyDescent="0.55000000000000004">
      <c r="A44" s="59"/>
      <c r="B44" s="5"/>
      <c r="C44" s="5"/>
    </row>
    <row r="45" spans="1:10" x14ac:dyDescent="0.55000000000000004">
      <c r="A45" s="59"/>
      <c r="B45" s="5" t="s">
        <v>61</v>
      </c>
      <c r="C45" s="5"/>
    </row>
    <row r="46" spans="1:10" x14ac:dyDescent="0.55000000000000004">
      <c r="A46" s="59"/>
      <c r="B46" s="5"/>
      <c r="C46" s="5" t="s">
        <v>1019</v>
      </c>
      <c r="D46" s="7">
        <v>3.05</v>
      </c>
      <c r="E46" s="10">
        <v>1.12805141726785</v>
      </c>
    </row>
    <row r="47" spans="1:10" x14ac:dyDescent="0.55000000000000004">
      <c r="A47" s="59"/>
      <c r="B47" s="5"/>
      <c r="C47" s="5" t="s">
        <v>1020</v>
      </c>
      <c r="D47" s="10">
        <v>2.1298701298701301</v>
      </c>
      <c r="E47" s="10">
        <v>1.38961038961039</v>
      </c>
    </row>
    <row r="48" spans="1:10" x14ac:dyDescent="0.55000000000000004">
      <c r="A48" s="59"/>
      <c r="B48" s="5"/>
      <c r="C48" s="5" t="s">
        <v>1021</v>
      </c>
      <c r="D48" s="7">
        <v>3.05</v>
      </c>
      <c r="E48" s="10">
        <v>1.12805141726785</v>
      </c>
    </row>
    <row r="49" spans="1:5" x14ac:dyDescent="0.55000000000000004">
      <c r="A49" s="59"/>
      <c r="B49" s="5"/>
      <c r="C49" s="5" t="s">
        <v>1022</v>
      </c>
      <c r="D49" s="10">
        <v>2.81168831168831</v>
      </c>
      <c r="E49" s="10">
        <v>1.33766233766234</v>
      </c>
    </row>
    <row r="50" spans="1:5" x14ac:dyDescent="0.55000000000000004">
      <c r="A50" s="59"/>
      <c r="B50" s="5"/>
    </row>
    <row r="51" spans="1:5" x14ac:dyDescent="0.55000000000000004">
      <c r="A51" s="59"/>
      <c r="B51" s="5"/>
    </row>
    <row r="52" spans="1:5" x14ac:dyDescent="0.55000000000000004">
      <c r="A52" s="59"/>
      <c r="B52" s="5"/>
      <c r="C52" s="5"/>
    </row>
    <row r="53" spans="1:5" x14ac:dyDescent="0.55000000000000004">
      <c r="A53" s="59"/>
      <c r="B53" s="5"/>
      <c r="C53" s="5"/>
    </row>
    <row r="54" spans="1:5" x14ac:dyDescent="0.55000000000000004">
      <c r="A54" s="59"/>
      <c r="B54" s="5"/>
      <c r="C54" s="5"/>
    </row>
    <row r="55" spans="1:5" x14ac:dyDescent="0.55000000000000004">
      <c r="A55" s="59"/>
      <c r="B55" s="5"/>
      <c r="C55" s="5"/>
    </row>
    <row r="56" spans="1:5" x14ac:dyDescent="0.55000000000000004">
      <c r="A56" s="59"/>
      <c r="B56" s="5"/>
      <c r="C56" s="5"/>
    </row>
    <row r="57" spans="1:5" x14ac:dyDescent="0.55000000000000004">
      <c r="A57" s="59"/>
      <c r="B57" s="5"/>
      <c r="C57" s="5"/>
    </row>
    <row r="58" spans="1:5" x14ac:dyDescent="0.55000000000000004">
      <c r="A58" s="59"/>
      <c r="B58" s="5"/>
      <c r="C58" s="5"/>
    </row>
    <row r="59" spans="1:5" x14ac:dyDescent="0.55000000000000004">
      <c r="A59" s="59"/>
      <c r="B59" s="5"/>
      <c r="C59" s="5"/>
    </row>
    <row r="60" spans="1:5" x14ac:dyDescent="0.55000000000000004">
      <c r="A60" s="59"/>
      <c r="B60" s="5"/>
      <c r="C60" s="5"/>
    </row>
    <row r="61" spans="1:5" x14ac:dyDescent="0.55000000000000004">
      <c r="A61" s="59"/>
      <c r="B61" s="5"/>
      <c r="C61" s="5"/>
    </row>
    <row r="62" spans="1:5" x14ac:dyDescent="0.55000000000000004">
      <c r="A62" s="59"/>
      <c r="B62" s="5"/>
      <c r="C62" s="5"/>
    </row>
    <row r="63" spans="1:5" x14ac:dyDescent="0.55000000000000004">
      <c r="A63" s="59"/>
      <c r="B63" s="5"/>
      <c r="C63" s="5"/>
    </row>
    <row r="64" spans="1:5" x14ac:dyDescent="0.55000000000000004">
      <c r="A64" s="59"/>
      <c r="B64" s="5"/>
      <c r="C64" s="5"/>
    </row>
    <row r="65" spans="1:5" x14ac:dyDescent="0.55000000000000004">
      <c r="A65" s="59"/>
      <c r="B65" s="5" t="s">
        <v>62</v>
      </c>
      <c r="C65" s="5"/>
      <c r="D65" s="2">
        <v>3</v>
      </c>
    </row>
    <row r="66" spans="1:5" x14ac:dyDescent="0.55000000000000004">
      <c r="A66" s="59"/>
      <c r="B66" s="5" t="s">
        <v>63</v>
      </c>
      <c r="C66" s="5"/>
      <c r="D66" s="2" t="s">
        <v>207</v>
      </c>
      <c r="E66" s="1" t="s">
        <v>1023</v>
      </c>
    </row>
    <row r="67" spans="1:5" x14ac:dyDescent="0.55000000000000004">
      <c r="A67" s="59" t="s">
        <v>65</v>
      </c>
      <c r="B67" s="59"/>
      <c r="C67" s="5"/>
      <c r="D67" s="2" t="s">
        <v>1024</v>
      </c>
    </row>
    <row r="68" spans="1:5" x14ac:dyDescent="0.55000000000000004">
      <c r="A68" s="3" t="s">
        <v>67</v>
      </c>
    </row>
    <row r="69" spans="1:5" x14ac:dyDescent="0.55000000000000004">
      <c r="A69" s="1" t="s">
        <v>68</v>
      </c>
      <c r="C69" s="1">
        <v>12</v>
      </c>
      <c r="D69" s="2">
        <v>26</v>
      </c>
    </row>
    <row r="70" spans="1:5" x14ac:dyDescent="0.55000000000000004">
      <c r="B70" s="1" t="s">
        <v>94</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AMJ72"/>
  <sheetViews>
    <sheetView zoomScale="90" zoomScaleNormal="90" workbookViewId="0">
      <selection activeCell="D21" sqref="D21"/>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1024" width="11.41796875" style="1"/>
  </cols>
  <sheetData>
    <row r="1" spans="1:5" x14ac:dyDescent="0.55000000000000004">
      <c r="A1" s="3" t="s">
        <v>0</v>
      </c>
      <c r="D1" s="2" t="s">
        <v>1010</v>
      </c>
    </row>
    <row r="2" spans="1:5" x14ac:dyDescent="0.55000000000000004">
      <c r="A2" s="58" t="s">
        <v>2</v>
      </c>
      <c r="B2" s="58"/>
      <c r="D2" s="1" t="s">
        <v>1011</v>
      </c>
    </row>
    <row r="3" spans="1:5" ht="26.1" x14ac:dyDescent="0.55000000000000004">
      <c r="A3" s="58"/>
      <c r="B3" s="58"/>
      <c r="C3" s="5" t="s">
        <v>4</v>
      </c>
      <c r="D3" s="2" t="s">
        <v>1012</v>
      </c>
    </row>
    <row r="4" spans="1:5" x14ac:dyDescent="0.55000000000000004">
      <c r="A4" s="58"/>
      <c r="B4" s="58"/>
      <c r="C4" s="5" t="s">
        <v>6</v>
      </c>
      <c r="D4" s="2">
        <v>2003</v>
      </c>
    </row>
    <row r="5" spans="1:5" ht="39" x14ac:dyDescent="0.55000000000000004">
      <c r="A5" s="58"/>
      <c r="B5" s="58"/>
      <c r="C5" s="5" t="s">
        <v>7</v>
      </c>
      <c r="D5" s="2" t="s">
        <v>1013</v>
      </c>
    </row>
    <row r="6" spans="1:5" x14ac:dyDescent="0.55000000000000004">
      <c r="A6" s="58"/>
      <c r="B6" s="58"/>
      <c r="C6" s="5" t="s">
        <v>9</v>
      </c>
      <c r="D6" s="2" t="s">
        <v>10</v>
      </c>
    </row>
    <row r="7" spans="1:5" x14ac:dyDescent="0.55000000000000004">
      <c r="A7" s="58"/>
      <c r="B7" s="58"/>
      <c r="C7" s="5" t="s">
        <v>11</v>
      </c>
      <c r="D7" s="2" t="s">
        <v>12</v>
      </c>
    </row>
    <row r="8" spans="1:5" x14ac:dyDescent="0.55000000000000004">
      <c r="A8" s="59" t="s">
        <v>13</v>
      </c>
      <c r="B8" s="59"/>
      <c r="C8" s="5"/>
    </row>
    <row r="9" spans="1:5" ht="26.1" x14ac:dyDescent="0.55000000000000004">
      <c r="A9" s="58"/>
      <c r="B9" s="58"/>
      <c r="C9" s="5" t="s">
        <v>14</v>
      </c>
      <c r="D9" s="2" t="s">
        <v>1025</v>
      </c>
    </row>
    <row r="10" spans="1:5" x14ac:dyDescent="0.55000000000000004">
      <c r="A10" s="58"/>
      <c r="B10" s="58"/>
      <c r="C10" s="5" t="s">
        <v>16</v>
      </c>
      <c r="D10" s="2" t="s">
        <v>165</v>
      </c>
      <c r="E10" s="1" t="s">
        <v>496</v>
      </c>
    </row>
    <row r="11" spans="1:5" x14ac:dyDescent="0.55000000000000004">
      <c r="A11" s="58"/>
      <c r="B11" s="58"/>
      <c r="C11" s="5" t="s">
        <v>19</v>
      </c>
      <c r="D11" s="2" t="s">
        <v>20</v>
      </c>
    </row>
    <row r="12" spans="1:5" x14ac:dyDescent="0.55000000000000004">
      <c r="A12" s="58"/>
      <c r="B12" s="58"/>
      <c r="C12" s="5" t="s">
        <v>21</v>
      </c>
      <c r="D12" s="2" t="s">
        <v>20</v>
      </c>
    </row>
    <row r="13" spans="1:5" x14ac:dyDescent="0.55000000000000004">
      <c r="A13" s="58"/>
      <c r="B13" s="58"/>
      <c r="C13" s="5" t="s">
        <v>22</v>
      </c>
      <c r="D13" s="2" t="s">
        <v>1026</v>
      </c>
    </row>
    <row r="14" spans="1:5" x14ac:dyDescent="0.55000000000000004">
      <c r="A14" s="59" t="s">
        <v>24</v>
      </c>
      <c r="B14" s="59"/>
      <c r="C14" s="5"/>
    </row>
    <row r="15" spans="1:5" x14ac:dyDescent="0.55000000000000004">
      <c r="A15" s="58"/>
      <c r="B15" s="58"/>
      <c r="C15" s="5" t="s">
        <v>25</v>
      </c>
      <c r="D15" s="2" t="s">
        <v>537</v>
      </c>
    </row>
    <row r="16" spans="1:5" ht="26.1" x14ac:dyDescent="0.55000000000000004">
      <c r="A16" s="58"/>
      <c r="B16" s="58"/>
      <c r="C16" s="5" t="s">
        <v>27</v>
      </c>
      <c r="D16" s="2" t="s">
        <v>1016</v>
      </c>
    </row>
    <row r="17" spans="1:4" x14ac:dyDescent="0.55000000000000004">
      <c r="A17" s="59" t="s">
        <v>29</v>
      </c>
      <c r="B17" s="59"/>
      <c r="C17" s="5"/>
    </row>
    <row r="18" spans="1:4" ht="39" x14ac:dyDescent="0.55000000000000004">
      <c r="A18" s="58"/>
      <c r="B18" s="58"/>
      <c r="C18" s="5" t="s">
        <v>30</v>
      </c>
      <c r="D18" s="2" t="s">
        <v>1017</v>
      </c>
    </row>
    <row r="19" spans="1:4" x14ac:dyDescent="0.55000000000000004">
      <c r="A19" s="58"/>
      <c r="B19" s="58"/>
      <c r="C19" s="5" t="s">
        <v>32</v>
      </c>
      <c r="D19" s="2" t="s">
        <v>20</v>
      </c>
    </row>
    <row r="20" spans="1:4" x14ac:dyDescent="0.55000000000000004">
      <c r="A20" s="59" t="s">
        <v>34</v>
      </c>
      <c r="B20" s="59"/>
      <c r="C20" s="5"/>
      <c r="D20" s="2" t="s">
        <v>35</v>
      </c>
    </row>
    <row r="21" spans="1:4" x14ac:dyDescent="0.55000000000000004">
      <c r="A21" s="58"/>
      <c r="B21" s="58"/>
      <c r="C21" s="5" t="s">
        <v>36</v>
      </c>
      <c r="D21" s="2">
        <v>12</v>
      </c>
    </row>
    <row r="22" spans="1:4" x14ac:dyDescent="0.55000000000000004">
      <c r="A22" s="58"/>
      <c r="B22" s="58"/>
      <c r="C22" s="5" t="s">
        <v>37</v>
      </c>
      <c r="D22" s="2">
        <v>10</v>
      </c>
    </row>
    <row r="23" spans="1:4" x14ac:dyDescent="0.55000000000000004">
      <c r="A23" s="58"/>
      <c r="B23" s="58"/>
      <c r="C23" s="5" t="s">
        <v>38</v>
      </c>
      <c r="D23" s="2">
        <v>10</v>
      </c>
    </row>
    <row r="24" spans="1:4" x14ac:dyDescent="0.55000000000000004">
      <c r="A24" s="58"/>
      <c r="B24" s="58"/>
      <c r="C24" s="5" t="s">
        <v>39</v>
      </c>
      <c r="D24" s="2">
        <v>0</v>
      </c>
    </row>
    <row r="25" spans="1:4" x14ac:dyDescent="0.55000000000000004">
      <c r="A25" s="58"/>
      <c r="B25" s="58"/>
      <c r="C25" s="5" t="s">
        <v>40</v>
      </c>
      <c r="D25" s="2">
        <v>40</v>
      </c>
    </row>
    <row r="26" spans="1:4" x14ac:dyDescent="0.55000000000000004">
      <c r="A26" s="58"/>
      <c r="B26" s="58"/>
      <c r="C26" s="5" t="s">
        <v>41</v>
      </c>
      <c r="D26" s="2">
        <v>65.3</v>
      </c>
    </row>
    <row r="27" spans="1:4" x14ac:dyDescent="0.55000000000000004">
      <c r="A27" s="58"/>
      <c r="B27" s="58"/>
      <c r="C27" s="5" t="s">
        <v>42</v>
      </c>
      <c r="D27" s="2">
        <v>11.41</v>
      </c>
    </row>
    <row r="28" spans="1:4" x14ac:dyDescent="0.55000000000000004">
      <c r="A28" s="58"/>
      <c r="B28" s="58"/>
      <c r="C28" s="5" t="s">
        <v>43</v>
      </c>
      <c r="D28" s="2">
        <v>66.5</v>
      </c>
    </row>
    <row r="29" spans="1:4" x14ac:dyDescent="0.55000000000000004">
      <c r="A29" s="58"/>
      <c r="B29" s="58"/>
      <c r="C29" s="5" t="s">
        <v>44</v>
      </c>
      <c r="D29" s="2">
        <v>1.25</v>
      </c>
    </row>
    <row r="30" spans="1:4" x14ac:dyDescent="0.55000000000000004">
      <c r="A30" s="58"/>
      <c r="B30" s="58"/>
      <c r="C30" s="5" t="s">
        <v>45</v>
      </c>
      <c r="D30" s="2">
        <v>23</v>
      </c>
    </row>
    <row r="31" spans="1:4" x14ac:dyDescent="0.55000000000000004">
      <c r="A31" s="58"/>
      <c r="B31" s="58"/>
      <c r="C31" s="5" t="s">
        <v>46</v>
      </c>
      <c r="D31" s="2">
        <v>9.98</v>
      </c>
    </row>
    <row r="32" spans="1:4" x14ac:dyDescent="0.55000000000000004">
      <c r="A32" s="59" t="s">
        <v>47</v>
      </c>
      <c r="B32" s="59"/>
      <c r="C32" s="5"/>
    </row>
    <row r="33" spans="1:10" ht="77.7" x14ac:dyDescent="0.55000000000000004">
      <c r="A33" s="58"/>
      <c r="B33" s="58"/>
      <c r="C33" s="5" t="s">
        <v>48</v>
      </c>
      <c r="D33" s="2" t="s">
        <v>1018</v>
      </c>
    </row>
    <row r="34" spans="1:10" x14ac:dyDescent="0.55000000000000004">
      <c r="A34" s="59" t="s">
        <v>50</v>
      </c>
      <c r="B34" s="59"/>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9"/>
      <c r="B36" s="5" t="s">
        <v>59</v>
      </c>
      <c r="C36" s="5"/>
    </row>
    <row r="37" spans="1:10" x14ac:dyDescent="0.55000000000000004">
      <c r="A37" s="59"/>
      <c r="B37" s="5"/>
      <c r="C37" s="5"/>
    </row>
    <row r="38" spans="1:10" x14ac:dyDescent="0.55000000000000004">
      <c r="A38" s="59"/>
      <c r="B38" s="5"/>
      <c r="C38" s="5"/>
    </row>
    <row r="39" spans="1:10" x14ac:dyDescent="0.55000000000000004">
      <c r="A39" s="59"/>
      <c r="B39" s="5"/>
      <c r="C39" s="5"/>
    </row>
    <row r="40" spans="1:10" x14ac:dyDescent="0.55000000000000004">
      <c r="A40" s="59"/>
      <c r="B40" s="5"/>
      <c r="C40" s="5"/>
    </row>
    <row r="41" spans="1:10" x14ac:dyDescent="0.55000000000000004">
      <c r="A41" s="59"/>
      <c r="B41" s="5"/>
      <c r="C41" s="5"/>
    </row>
    <row r="42" spans="1:10" x14ac:dyDescent="0.55000000000000004">
      <c r="A42" s="59"/>
      <c r="B42" s="5"/>
      <c r="C42" s="5"/>
    </row>
    <row r="43" spans="1:10" x14ac:dyDescent="0.55000000000000004">
      <c r="A43" s="59"/>
      <c r="B43" s="5"/>
      <c r="C43" s="5"/>
    </row>
    <row r="44" spans="1:10" x14ac:dyDescent="0.55000000000000004">
      <c r="A44" s="59"/>
      <c r="B44" s="5"/>
      <c r="C44" s="5"/>
    </row>
    <row r="45" spans="1:10" x14ac:dyDescent="0.55000000000000004">
      <c r="A45" s="59"/>
      <c r="B45" s="5" t="s">
        <v>61</v>
      </c>
      <c r="C45" s="5"/>
    </row>
    <row r="46" spans="1:10" x14ac:dyDescent="0.55000000000000004">
      <c r="A46" s="59"/>
      <c r="B46" s="5"/>
      <c r="C46" s="5" t="s">
        <v>1027</v>
      </c>
      <c r="D46" s="7">
        <v>3.05</v>
      </c>
      <c r="E46" s="10">
        <v>1.12805141726785</v>
      </c>
    </row>
    <row r="47" spans="1:10" x14ac:dyDescent="0.55000000000000004">
      <c r="A47" s="59"/>
      <c r="B47" s="5"/>
      <c r="C47" s="5" t="s">
        <v>1028</v>
      </c>
      <c r="D47" s="10">
        <v>1.85064935064935</v>
      </c>
      <c r="E47" s="10">
        <v>1.31168831168831</v>
      </c>
    </row>
    <row r="48" spans="1:10" x14ac:dyDescent="0.55000000000000004">
      <c r="A48" s="59"/>
      <c r="B48" s="5"/>
      <c r="C48" s="5" t="s">
        <v>1021</v>
      </c>
      <c r="D48" s="7">
        <v>3.05</v>
      </c>
      <c r="E48" s="10">
        <v>1.12805141726785</v>
      </c>
    </row>
    <row r="49" spans="1:5" x14ac:dyDescent="0.55000000000000004">
      <c r="A49" s="59"/>
      <c r="B49" s="5"/>
      <c r="C49" s="5" t="s">
        <v>1022</v>
      </c>
      <c r="D49" s="10">
        <v>2.81168831168831</v>
      </c>
      <c r="E49" s="10">
        <v>1.33766233766234</v>
      </c>
    </row>
    <row r="50" spans="1:5" x14ac:dyDescent="0.55000000000000004">
      <c r="A50" s="59"/>
      <c r="B50" s="5"/>
    </row>
    <row r="51" spans="1:5" x14ac:dyDescent="0.55000000000000004">
      <c r="A51" s="59"/>
      <c r="B51" s="5"/>
    </row>
    <row r="52" spans="1:5" x14ac:dyDescent="0.55000000000000004">
      <c r="A52" s="59"/>
      <c r="B52" s="5"/>
    </row>
    <row r="53" spans="1:5" x14ac:dyDescent="0.55000000000000004">
      <c r="A53" s="59"/>
      <c r="B53" s="5"/>
      <c r="C53" s="5"/>
    </row>
    <row r="54" spans="1:5" x14ac:dyDescent="0.55000000000000004">
      <c r="A54" s="59"/>
      <c r="B54" s="5"/>
      <c r="C54" s="5"/>
    </row>
    <row r="55" spans="1:5" x14ac:dyDescent="0.55000000000000004">
      <c r="A55" s="59"/>
      <c r="B55" s="5"/>
      <c r="C55" s="5"/>
    </row>
    <row r="56" spans="1:5" x14ac:dyDescent="0.55000000000000004">
      <c r="A56" s="59"/>
      <c r="B56" s="5"/>
      <c r="C56" s="5"/>
    </row>
    <row r="57" spans="1:5" x14ac:dyDescent="0.55000000000000004">
      <c r="A57" s="59"/>
      <c r="B57" s="5"/>
      <c r="C57" s="5"/>
    </row>
    <row r="58" spans="1:5" x14ac:dyDescent="0.55000000000000004">
      <c r="A58" s="59"/>
      <c r="B58" s="5"/>
      <c r="C58" s="5"/>
    </row>
    <row r="59" spans="1:5" x14ac:dyDescent="0.55000000000000004">
      <c r="A59" s="59"/>
      <c r="B59" s="5"/>
      <c r="C59" s="5"/>
    </row>
    <row r="60" spans="1:5" x14ac:dyDescent="0.55000000000000004">
      <c r="A60" s="59"/>
      <c r="B60" s="5"/>
      <c r="C60" s="5"/>
    </row>
    <row r="61" spans="1:5" x14ac:dyDescent="0.55000000000000004">
      <c r="A61" s="59"/>
      <c r="B61" s="5"/>
      <c r="C61" s="5"/>
    </row>
    <row r="62" spans="1:5" x14ac:dyDescent="0.55000000000000004">
      <c r="A62" s="59"/>
      <c r="B62" s="5"/>
      <c r="C62" s="5"/>
    </row>
    <row r="63" spans="1:5" x14ac:dyDescent="0.55000000000000004">
      <c r="A63" s="59"/>
      <c r="B63" s="5"/>
      <c r="C63" s="5"/>
    </row>
    <row r="64" spans="1:5" x14ac:dyDescent="0.55000000000000004">
      <c r="A64" s="59"/>
      <c r="B64" s="5"/>
      <c r="C64" s="5"/>
    </row>
    <row r="65" spans="1:5" x14ac:dyDescent="0.55000000000000004">
      <c r="A65" s="59"/>
      <c r="B65" s="5" t="s">
        <v>62</v>
      </c>
      <c r="C65" s="5"/>
      <c r="D65" s="2">
        <v>3</v>
      </c>
    </row>
    <row r="66" spans="1:5" x14ac:dyDescent="0.55000000000000004">
      <c r="A66" s="59"/>
      <c r="B66" s="5" t="s">
        <v>63</v>
      </c>
      <c r="C66" s="5"/>
      <c r="D66" s="2" t="s">
        <v>207</v>
      </c>
      <c r="E66" s="1" t="s">
        <v>1023</v>
      </c>
    </row>
    <row r="67" spans="1:5" x14ac:dyDescent="0.55000000000000004">
      <c r="A67" s="59" t="s">
        <v>65</v>
      </c>
      <c r="B67" s="59"/>
      <c r="C67" s="5"/>
      <c r="D67" s="2" t="s">
        <v>1024</v>
      </c>
    </row>
    <row r="68" spans="1:5" x14ac:dyDescent="0.55000000000000004">
      <c r="A68" s="3" t="s">
        <v>67</v>
      </c>
    </row>
    <row r="69" spans="1:5" x14ac:dyDescent="0.55000000000000004">
      <c r="A69" s="1" t="s">
        <v>68</v>
      </c>
      <c r="C69" s="1">
        <v>12</v>
      </c>
      <c r="D69" s="2">
        <v>26</v>
      </c>
    </row>
    <row r="70" spans="1:5" x14ac:dyDescent="0.55000000000000004">
      <c r="B70" s="1" t="s">
        <v>94</v>
      </c>
    </row>
    <row r="71" spans="1:5" x14ac:dyDescent="0.55000000000000004">
      <c r="C71" s="5" t="s">
        <v>1021</v>
      </c>
      <c r="D71" s="7">
        <v>3.05</v>
      </c>
      <c r="E71" s="10">
        <v>1.12805141726785</v>
      </c>
    </row>
    <row r="72" spans="1:5" x14ac:dyDescent="0.55000000000000004">
      <c r="C72" s="5" t="s">
        <v>1022</v>
      </c>
      <c r="D72" s="10">
        <v>2.81168831168831</v>
      </c>
      <c r="E72" s="10">
        <v>1.33766233766234</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AMJ88"/>
  <sheetViews>
    <sheetView topLeftCell="A6" zoomScale="90" zoomScaleNormal="90" workbookViewId="0">
      <selection activeCell="D20" sqref="D20"/>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20.15625" style="1" customWidth="1"/>
    <col min="6" max="6" width="6" style="1" customWidth="1"/>
    <col min="7" max="7" width="18.15625" style="1" customWidth="1"/>
    <col min="8" max="1024" width="11.41796875" style="1"/>
  </cols>
  <sheetData>
    <row r="1" spans="1:4" x14ac:dyDescent="0.55000000000000004">
      <c r="A1" s="3" t="s">
        <v>0</v>
      </c>
      <c r="D1" s="2" t="s">
        <v>1010</v>
      </c>
    </row>
    <row r="2" spans="1:4" x14ac:dyDescent="0.55000000000000004">
      <c r="A2" s="58" t="s">
        <v>2</v>
      </c>
      <c r="B2" s="58"/>
      <c r="D2" s="1" t="s">
        <v>1011</v>
      </c>
    </row>
    <row r="3" spans="1:4" ht="26.1" x14ac:dyDescent="0.55000000000000004">
      <c r="A3" s="58"/>
      <c r="B3" s="58"/>
      <c r="C3" s="5" t="s">
        <v>4</v>
      </c>
      <c r="D3" s="2" t="s">
        <v>1029</v>
      </c>
    </row>
    <row r="4" spans="1:4" x14ac:dyDescent="0.55000000000000004">
      <c r="A4" s="58"/>
      <c r="B4" s="58"/>
      <c r="C4" s="5" t="s">
        <v>6</v>
      </c>
      <c r="D4" s="2">
        <v>2003</v>
      </c>
    </row>
    <row r="5" spans="1:4" ht="26.1" x14ac:dyDescent="0.55000000000000004">
      <c r="A5" s="58"/>
      <c r="B5" s="58"/>
      <c r="C5" s="5" t="s">
        <v>7</v>
      </c>
      <c r="D5" s="2" t="s">
        <v>1030</v>
      </c>
    </row>
    <row r="6" spans="1:4" x14ac:dyDescent="0.55000000000000004">
      <c r="A6" s="58"/>
      <c r="B6" s="58"/>
      <c r="C6" s="5" t="s">
        <v>9</v>
      </c>
      <c r="D6" s="2" t="s">
        <v>10</v>
      </c>
    </row>
    <row r="7" spans="1:4" x14ac:dyDescent="0.55000000000000004">
      <c r="A7" s="58"/>
      <c r="B7" s="58"/>
      <c r="C7" s="5" t="s">
        <v>11</v>
      </c>
      <c r="D7" s="2" t="s">
        <v>12</v>
      </c>
    </row>
    <row r="8" spans="1:4" x14ac:dyDescent="0.55000000000000004">
      <c r="A8" s="59" t="s">
        <v>13</v>
      </c>
      <c r="B8" s="59"/>
      <c r="C8" s="5"/>
    </row>
    <row r="9" spans="1:4" ht="26.1" x14ac:dyDescent="0.55000000000000004">
      <c r="A9" s="58"/>
      <c r="B9" s="58"/>
      <c r="C9" s="5" t="s">
        <v>14</v>
      </c>
      <c r="D9" s="2" t="s">
        <v>1031</v>
      </c>
    </row>
    <row r="10" spans="1:4" x14ac:dyDescent="0.55000000000000004">
      <c r="A10" s="58"/>
      <c r="B10" s="58"/>
      <c r="C10" s="5" t="s">
        <v>16</v>
      </c>
      <c r="D10" s="2" t="s">
        <v>103</v>
      </c>
    </row>
    <row r="11" spans="1:4" x14ac:dyDescent="0.55000000000000004">
      <c r="A11" s="58"/>
      <c r="B11" s="58"/>
      <c r="C11" s="5" t="s">
        <v>19</v>
      </c>
      <c r="D11" s="21">
        <v>36923</v>
      </c>
    </row>
    <row r="12" spans="1:4" x14ac:dyDescent="0.55000000000000004">
      <c r="A12" s="58"/>
      <c r="B12" s="58"/>
      <c r="C12" s="5" t="s">
        <v>21</v>
      </c>
      <c r="D12" s="21">
        <v>37196</v>
      </c>
    </row>
    <row r="13" spans="1:4" ht="26.1" x14ac:dyDescent="0.55000000000000004">
      <c r="A13" s="58"/>
      <c r="B13" s="58"/>
      <c r="C13" s="5" t="s">
        <v>22</v>
      </c>
      <c r="D13" s="2" t="s">
        <v>1032</v>
      </c>
    </row>
    <row r="14" spans="1:4" x14ac:dyDescent="0.55000000000000004">
      <c r="A14" s="59" t="s">
        <v>24</v>
      </c>
      <c r="B14" s="59"/>
      <c r="C14" s="5"/>
    </row>
    <row r="15" spans="1:4" x14ac:dyDescent="0.55000000000000004">
      <c r="A15" s="58"/>
      <c r="B15" s="58"/>
      <c r="C15" s="5" t="s">
        <v>25</v>
      </c>
      <c r="D15" s="2" t="s">
        <v>537</v>
      </c>
    </row>
    <row r="16" spans="1:4" ht="26.1" x14ac:dyDescent="0.55000000000000004">
      <c r="A16" s="58"/>
      <c r="B16" s="58"/>
      <c r="C16" s="5" t="s">
        <v>27</v>
      </c>
      <c r="D16" s="2" t="s">
        <v>1016</v>
      </c>
    </row>
    <row r="17" spans="1:7" x14ac:dyDescent="0.55000000000000004">
      <c r="A17" s="59" t="s">
        <v>29</v>
      </c>
      <c r="B17" s="59"/>
      <c r="C17" s="5"/>
    </row>
    <row r="18" spans="1:7" ht="39" x14ac:dyDescent="0.55000000000000004">
      <c r="A18" s="58"/>
      <c r="B18" s="58"/>
      <c r="C18" s="5" t="s">
        <v>30</v>
      </c>
      <c r="D18" s="2" t="s">
        <v>1033</v>
      </c>
    </row>
    <row r="19" spans="1:7" x14ac:dyDescent="0.55000000000000004">
      <c r="A19" s="58"/>
      <c r="B19" s="58"/>
      <c r="C19" s="5" t="s">
        <v>32</v>
      </c>
    </row>
    <row r="20" spans="1:7" x14ac:dyDescent="0.55000000000000004">
      <c r="A20" s="59" t="s">
        <v>34</v>
      </c>
      <c r="B20" s="59"/>
      <c r="C20" s="5"/>
      <c r="D20" s="2" t="s">
        <v>778</v>
      </c>
      <c r="E20" s="1" t="s">
        <v>80</v>
      </c>
      <c r="F20" s="1" t="s">
        <v>109</v>
      </c>
      <c r="G20" s="1" t="s">
        <v>35</v>
      </c>
    </row>
    <row r="21" spans="1:7" x14ac:dyDescent="0.55000000000000004">
      <c r="A21" s="58"/>
      <c r="B21" s="58"/>
      <c r="C21" s="5" t="s">
        <v>36</v>
      </c>
      <c r="G21" s="1">
        <v>40</v>
      </c>
    </row>
    <row r="22" spans="1:7" x14ac:dyDescent="0.55000000000000004">
      <c r="A22" s="58"/>
      <c r="B22" s="58"/>
      <c r="C22" s="5" t="s">
        <v>37</v>
      </c>
      <c r="D22" s="2">
        <v>10</v>
      </c>
      <c r="E22" s="1">
        <v>10</v>
      </c>
      <c r="F22" s="1">
        <v>10</v>
      </c>
      <c r="G22" s="1">
        <f>SUM(D22:F22)</f>
        <v>30</v>
      </c>
    </row>
    <row r="23" spans="1:7" x14ac:dyDescent="0.55000000000000004">
      <c r="A23" s="58"/>
      <c r="B23" s="58"/>
      <c r="C23" s="5" t="s">
        <v>38</v>
      </c>
      <c r="D23" s="2">
        <v>10</v>
      </c>
      <c r="E23" s="1">
        <v>10</v>
      </c>
      <c r="F23" s="1">
        <v>10</v>
      </c>
      <c r="G23" s="1">
        <f>SUM(D23:F23)</f>
        <v>30</v>
      </c>
    </row>
    <row r="24" spans="1:7" x14ac:dyDescent="0.55000000000000004">
      <c r="A24" s="58"/>
      <c r="B24" s="58"/>
      <c r="C24" s="5" t="s">
        <v>39</v>
      </c>
      <c r="G24" s="1">
        <v>10</v>
      </c>
    </row>
    <row r="25" spans="1:7" x14ac:dyDescent="0.55000000000000004">
      <c r="A25" s="58"/>
      <c r="B25" s="58"/>
      <c r="C25" s="5" t="s">
        <v>40</v>
      </c>
      <c r="D25" s="7">
        <f>4/6</f>
        <v>0.66666666666666663</v>
      </c>
      <c r="E25" s="10">
        <f>4/6</f>
        <v>0.66666666666666663</v>
      </c>
      <c r="F25" s="10">
        <f>3/7</f>
        <v>0.42857142857142855</v>
      </c>
      <c r="G25" s="10">
        <f>(4+4+3)/30</f>
        <v>0.36666666666666664</v>
      </c>
    </row>
    <row r="26" spans="1:7" x14ac:dyDescent="0.55000000000000004">
      <c r="A26" s="58"/>
      <c r="B26" s="58"/>
      <c r="C26" s="5" t="s">
        <v>41</v>
      </c>
      <c r="D26" s="2">
        <v>70</v>
      </c>
      <c r="E26" s="1">
        <v>71</v>
      </c>
      <c r="F26" s="1">
        <v>66</v>
      </c>
      <c r="G26" s="1">
        <f>AVERAGE(D26:F26)</f>
        <v>69</v>
      </c>
    </row>
    <row r="27" spans="1:7" x14ac:dyDescent="0.55000000000000004">
      <c r="A27" s="58"/>
      <c r="B27" s="58"/>
      <c r="C27" s="5" t="s">
        <v>42</v>
      </c>
      <c r="D27" s="2" t="s">
        <v>20</v>
      </c>
      <c r="E27" s="1" t="s">
        <v>20</v>
      </c>
      <c r="F27" s="1" t="s">
        <v>20</v>
      </c>
      <c r="G27" s="1" t="s">
        <v>20</v>
      </c>
    </row>
    <row r="28" spans="1:7" x14ac:dyDescent="0.55000000000000004">
      <c r="A28" s="58"/>
      <c r="B28" s="58"/>
      <c r="C28" s="5" t="s">
        <v>43</v>
      </c>
      <c r="D28" s="2" t="s">
        <v>20</v>
      </c>
      <c r="E28" s="1" t="s">
        <v>20</v>
      </c>
      <c r="F28" s="1" t="s">
        <v>20</v>
      </c>
      <c r="G28" s="1" t="s">
        <v>20</v>
      </c>
    </row>
    <row r="29" spans="1:7" x14ac:dyDescent="0.55000000000000004">
      <c r="A29" s="58"/>
      <c r="B29" s="58"/>
      <c r="C29" s="5" t="s">
        <v>44</v>
      </c>
      <c r="D29" s="2">
        <v>2</v>
      </c>
      <c r="E29" s="1">
        <v>1</v>
      </c>
      <c r="F29" s="1">
        <v>1</v>
      </c>
      <c r="G29" s="1" t="s">
        <v>20</v>
      </c>
    </row>
    <row r="30" spans="1:7" x14ac:dyDescent="0.55000000000000004">
      <c r="A30" s="58"/>
      <c r="B30" s="58"/>
      <c r="C30" s="5" t="s">
        <v>45</v>
      </c>
      <c r="D30" s="2">
        <v>32</v>
      </c>
      <c r="E30" s="1">
        <v>30</v>
      </c>
      <c r="F30" s="1">
        <v>35</v>
      </c>
      <c r="G30" s="10">
        <f>AVERAGE(D30:F30)</f>
        <v>32.333333333333336</v>
      </c>
    </row>
    <row r="31" spans="1:7" x14ac:dyDescent="0.55000000000000004">
      <c r="A31" s="58"/>
      <c r="B31" s="58"/>
      <c r="C31" s="5" t="s">
        <v>46</v>
      </c>
      <c r="D31" s="2" t="s">
        <v>20</v>
      </c>
      <c r="E31" s="1" t="s">
        <v>20</v>
      </c>
      <c r="F31" s="1" t="s">
        <v>20</v>
      </c>
    </row>
    <row r="32" spans="1:7" x14ac:dyDescent="0.55000000000000004">
      <c r="A32" s="59" t="s">
        <v>47</v>
      </c>
      <c r="B32" s="59"/>
      <c r="C32" s="5"/>
    </row>
    <row r="33" spans="1:10" ht="64.8" x14ac:dyDescent="0.55000000000000004">
      <c r="A33" s="58"/>
      <c r="B33" s="58"/>
      <c r="C33" s="5" t="s">
        <v>48</v>
      </c>
      <c r="D33" s="2" t="s">
        <v>1034</v>
      </c>
    </row>
    <row r="34" spans="1:10" x14ac:dyDescent="0.55000000000000004">
      <c r="A34" s="59" t="s">
        <v>50</v>
      </c>
      <c r="B34" s="59"/>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9"/>
      <c r="B36" s="5" t="s">
        <v>59</v>
      </c>
      <c r="C36" s="5"/>
    </row>
    <row r="37" spans="1:10" x14ac:dyDescent="0.55000000000000004">
      <c r="A37" s="59"/>
      <c r="B37" s="5"/>
    </row>
    <row r="38" spans="1:10" x14ac:dyDescent="0.55000000000000004">
      <c r="A38" s="59"/>
      <c r="B38" s="5"/>
    </row>
    <row r="39" spans="1:10" x14ac:dyDescent="0.55000000000000004">
      <c r="A39" s="59"/>
      <c r="B39" s="5"/>
    </row>
    <row r="40" spans="1:10" x14ac:dyDescent="0.55000000000000004">
      <c r="A40" s="59"/>
      <c r="B40" s="5"/>
    </row>
    <row r="41" spans="1:10" x14ac:dyDescent="0.55000000000000004">
      <c r="A41" s="59"/>
      <c r="B41" s="5"/>
    </row>
    <row r="42" spans="1:10" x14ac:dyDescent="0.55000000000000004">
      <c r="A42" s="59"/>
      <c r="B42" s="5"/>
    </row>
    <row r="43" spans="1:10" x14ac:dyDescent="0.55000000000000004">
      <c r="A43" s="59"/>
      <c r="B43" s="5"/>
    </row>
    <row r="44" spans="1:10" x14ac:dyDescent="0.55000000000000004">
      <c r="A44" s="59"/>
      <c r="B44" s="5"/>
    </row>
    <row r="45" spans="1:10" x14ac:dyDescent="0.55000000000000004">
      <c r="A45" s="59"/>
      <c r="B45" s="5" t="s">
        <v>61</v>
      </c>
      <c r="C45" s="5"/>
    </row>
    <row r="46" spans="1:10" x14ac:dyDescent="0.55000000000000004">
      <c r="A46" s="59"/>
      <c r="B46" s="5"/>
      <c r="C46" s="5" t="s">
        <v>1035</v>
      </c>
      <c r="D46" s="7">
        <f>AVERAGE(D77,D79,D81)</f>
        <v>3.3333333333333335</v>
      </c>
      <c r="E46" s="10">
        <f>SQRT((((10-1)*E77^2)+((10-1)*E79^2)+((10-1)*E81^2))/(10+10+10-2))</f>
        <v>1.444334992800691</v>
      </c>
    </row>
    <row r="47" spans="1:10" x14ac:dyDescent="0.55000000000000004">
      <c r="A47" s="59"/>
      <c r="B47" s="5"/>
      <c r="C47" s="5" t="s">
        <v>1036</v>
      </c>
      <c r="D47" s="7">
        <f>AVERAGE(D80,D82,D84)</f>
        <v>1.793333333333333</v>
      </c>
      <c r="E47" s="10">
        <f>SQRT((((10-1)*E78^2)+((10-1)*E80^2)+((10-1)*E82^2))/(10+10+10-2))</f>
        <v>1.3457194039939064</v>
      </c>
    </row>
    <row r="48" spans="1:10" x14ac:dyDescent="0.55000000000000004">
      <c r="A48" s="59"/>
      <c r="B48" s="5"/>
      <c r="C48" s="5" t="s">
        <v>1037</v>
      </c>
      <c r="D48" s="7">
        <f>AVERAGE(D83,D85,D87)</f>
        <v>4</v>
      </c>
      <c r="E48" s="10">
        <f>SQRT((((10-1)*E83^2)+((10-1)*E85^2)+((10-1)*E87^2))/(10+10+10-2))</f>
        <v>1.9292605911518093</v>
      </c>
    </row>
    <row r="49" spans="1:5" x14ac:dyDescent="0.55000000000000004">
      <c r="A49" s="59"/>
      <c r="B49" s="5"/>
      <c r="C49" s="5" t="s">
        <v>1038</v>
      </c>
      <c r="D49" s="7">
        <f>AVERAGE(D84,D86,D88)</f>
        <v>2.46</v>
      </c>
      <c r="E49" s="10">
        <f>SQRT((((10-1)*E84^2)+((10-1)*E86^2)+((10-1)*E88^2))/(10+10+10-2))</f>
        <v>1.6536582821991108</v>
      </c>
    </row>
    <row r="50" spans="1:5" x14ac:dyDescent="0.55000000000000004">
      <c r="A50" s="59"/>
      <c r="B50" s="5"/>
      <c r="C50" s="5" t="s">
        <v>1039</v>
      </c>
      <c r="D50" s="7">
        <f>AVERAGE(D71,D73,D75)</f>
        <v>3.7833333333333337</v>
      </c>
      <c r="E50" s="10">
        <f>SQRT((((10-1)*E71^2)+((10-1)*E73^2)+((10-1)*E75^2))/(10+10+10-2))</f>
        <v>1.5217529835216828</v>
      </c>
    </row>
    <row r="51" spans="1:5" x14ac:dyDescent="0.55000000000000004">
      <c r="A51" s="59"/>
      <c r="B51" s="5"/>
      <c r="C51" s="5" t="s">
        <v>1040</v>
      </c>
      <c r="D51" s="7">
        <f>AVERAGE(D72,D74,D76)</f>
        <v>3.5766666666666667</v>
      </c>
      <c r="E51" s="10">
        <f>SQRT((((10-1)*E72^2)+((10-1)*E74^2)+((10-1)*E76^2))/(10+10+10-2))</f>
        <v>1.5676666008525446</v>
      </c>
    </row>
    <row r="52" spans="1:5" x14ac:dyDescent="0.55000000000000004">
      <c r="A52" s="59"/>
      <c r="B52" s="5"/>
    </row>
    <row r="53" spans="1:5" x14ac:dyDescent="0.55000000000000004">
      <c r="A53" s="59"/>
      <c r="B53" s="5"/>
    </row>
    <row r="54" spans="1:5" x14ac:dyDescent="0.55000000000000004">
      <c r="A54" s="59"/>
      <c r="B54" s="5"/>
    </row>
    <row r="55" spans="1:5" x14ac:dyDescent="0.55000000000000004">
      <c r="A55" s="59"/>
      <c r="B55" s="5"/>
    </row>
    <row r="56" spans="1:5" x14ac:dyDescent="0.55000000000000004">
      <c r="A56" s="59"/>
      <c r="B56" s="5"/>
    </row>
    <row r="57" spans="1:5" x14ac:dyDescent="0.55000000000000004">
      <c r="A57" s="59"/>
      <c r="B57" s="5"/>
    </row>
    <row r="58" spans="1:5" x14ac:dyDescent="0.55000000000000004">
      <c r="A58" s="59"/>
      <c r="B58" s="5"/>
    </row>
    <row r="59" spans="1:5" x14ac:dyDescent="0.55000000000000004">
      <c r="A59" s="59"/>
      <c r="B59" s="5"/>
    </row>
    <row r="60" spans="1:5" x14ac:dyDescent="0.55000000000000004">
      <c r="A60" s="59"/>
      <c r="B60" s="5"/>
    </row>
    <row r="61" spans="1:5" x14ac:dyDescent="0.55000000000000004">
      <c r="A61" s="59"/>
      <c r="B61" s="5"/>
    </row>
    <row r="62" spans="1:5" x14ac:dyDescent="0.55000000000000004">
      <c r="A62" s="59"/>
      <c r="B62" s="5"/>
    </row>
    <row r="63" spans="1:5" x14ac:dyDescent="0.55000000000000004">
      <c r="A63" s="59"/>
      <c r="B63" s="5"/>
    </row>
    <row r="64" spans="1:5" x14ac:dyDescent="0.55000000000000004">
      <c r="A64" s="59"/>
      <c r="B64" s="5"/>
      <c r="C64" s="5" t="s">
        <v>206</v>
      </c>
      <c r="D64" s="2">
        <v>1</v>
      </c>
    </row>
    <row r="65" spans="1:5" x14ac:dyDescent="0.55000000000000004">
      <c r="A65" s="59"/>
      <c r="B65" s="5" t="s">
        <v>62</v>
      </c>
      <c r="C65" s="5"/>
      <c r="D65" s="2">
        <v>180</v>
      </c>
    </row>
    <row r="66" spans="1:5" ht="39" x14ac:dyDescent="0.55000000000000004">
      <c r="A66" s="59"/>
      <c r="B66" s="5" t="s">
        <v>63</v>
      </c>
      <c r="C66" s="5"/>
      <c r="D66" s="2" t="s">
        <v>234</v>
      </c>
      <c r="E66" s="2" t="s">
        <v>1041</v>
      </c>
    </row>
    <row r="67" spans="1:5" x14ac:dyDescent="0.55000000000000004">
      <c r="A67" s="59" t="s">
        <v>65</v>
      </c>
      <c r="B67" s="59"/>
      <c r="C67" s="5"/>
      <c r="D67" s="2" t="s">
        <v>1042</v>
      </c>
    </row>
    <row r="68" spans="1:5" x14ac:dyDescent="0.55000000000000004">
      <c r="A68" s="3" t="s">
        <v>67</v>
      </c>
    </row>
    <row r="69" spans="1:5" x14ac:dyDescent="0.55000000000000004">
      <c r="A69" s="1" t="s">
        <v>68</v>
      </c>
      <c r="C69" s="1">
        <v>27</v>
      </c>
      <c r="D69" s="2">
        <v>28</v>
      </c>
    </row>
    <row r="70" spans="1:5" x14ac:dyDescent="0.55000000000000004">
      <c r="B70" s="1" t="s">
        <v>952</v>
      </c>
    </row>
    <row r="71" spans="1:5" x14ac:dyDescent="0.55000000000000004">
      <c r="C71" s="5" t="s">
        <v>1021</v>
      </c>
      <c r="D71" s="7">
        <v>4.45</v>
      </c>
      <c r="E71" s="10">
        <v>0.98</v>
      </c>
    </row>
    <row r="72" spans="1:5" x14ac:dyDescent="0.55000000000000004">
      <c r="C72" s="5" t="s">
        <v>1022</v>
      </c>
      <c r="D72" s="7">
        <v>3.63</v>
      </c>
      <c r="E72" s="10">
        <v>1.33</v>
      </c>
    </row>
    <row r="73" spans="1:5" x14ac:dyDescent="0.55000000000000004">
      <c r="C73" s="5" t="s">
        <v>1043</v>
      </c>
      <c r="D73" s="7">
        <v>3.6</v>
      </c>
      <c r="E73" s="10">
        <v>1.55</v>
      </c>
    </row>
    <row r="74" spans="1:5" x14ac:dyDescent="0.55000000000000004">
      <c r="C74" s="5" t="s">
        <v>1044</v>
      </c>
      <c r="D74" s="7">
        <v>3.6</v>
      </c>
      <c r="E74" s="10">
        <v>1.37</v>
      </c>
    </row>
    <row r="75" spans="1:5" x14ac:dyDescent="0.55000000000000004">
      <c r="C75" s="5" t="s">
        <v>1045</v>
      </c>
      <c r="D75" s="7">
        <v>3.3</v>
      </c>
      <c r="E75" s="10">
        <v>1.96</v>
      </c>
    </row>
    <row r="76" spans="1:5" x14ac:dyDescent="0.55000000000000004">
      <c r="C76" s="5" t="s">
        <v>1046</v>
      </c>
      <c r="D76" s="7">
        <v>3.5</v>
      </c>
      <c r="E76" s="10">
        <v>2</v>
      </c>
    </row>
    <row r="77" spans="1:5" x14ac:dyDescent="0.55000000000000004">
      <c r="C77" s="5" t="s">
        <v>1047</v>
      </c>
      <c r="D77" s="7">
        <v>4.2</v>
      </c>
      <c r="E77" s="10">
        <v>0.95</v>
      </c>
    </row>
    <row r="78" spans="1:5" x14ac:dyDescent="0.55000000000000004">
      <c r="C78" s="5" t="s">
        <v>1048</v>
      </c>
      <c r="D78" s="7">
        <v>2.25</v>
      </c>
      <c r="E78" s="10">
        <v>1.44</v>
      </c>
    </row>
    <row r="79" spans="1:5" x14ac:dyDescent="0.55000000000000004">
      <c r="C79" s="5" t="s">
        <v>1049</v>
      </c>
      <c r="D79" s="7">
        <v>2.6</v>
      </c>
      <c r="E79" s="10">
        <v>1.6</v>
      </c>
    </row>
    <row r="80" spans="1:5" x14ac:dyDescent="0.55000000000000004">
      <c r="C80" s="5" t="s">
        <v>1050</v>
      </c>
      <c r="D80" s="7">
        <v>0.8</v>
      </c>
      <c r="E80" s="10">
        <v>0.46</v>
      </c>
    </row>
    <row r="81" spans="3:5" x14ac:dyDescent="0.55000000000000004">
      <c r="C81" s="5" t="s">
        <v>1051</v>
      </c>
      <c r="D81" s="7">
        <v>3.2</v>
      </c>
      <c r="E81" s="10">
        <v>1.74</v>
      </c>
    </row>
    <row r="82" spans="3:5" x14ac:dyDescent="0.55000000000000004">
      <c r="C82" s="5" t="s">
        <v>1052</v>
      </c>
      <c r="D82" s="7">
        <v>2.2999999999999998</v>
      </c>
      <c r="E82" s="10">
        <v>1.83</v>
      </c>
    </row>
    <row r="83" spans="3:5" x14ac:dyDescent="0.55000000000000004">
      <c r="C83" s="5" t="s">
        <v>1053</v>
      </c>
      <c r="D83" s="7">
        <v>4.3</v>
      </c>
      <c r="E83" s="10">
        <v>1.48</v>
      </c>
    </row>
    <row r="84" spans="3:5" x14ac:dyDescent="0.55000000000000004">
      <c r="C84" s="5" t="s">
        <v>1054</v>
      </c>
      <c r="D84" s="7">
        <v>2.2799999999999998</v>
      </c>
      <c r="E84" s="10">
        <v>1.28</v>
      </c>
    </row>
    <row r="85" spans="3:5" x14ac:dyDescent="0.55000000000000004">
      <c r="C85" s="5" t="s">
        <v>1055</v>
      </c>
      <c r="D85" s="7">
        <v>3.7</v>
      </c>
      <c r="E85" s="10">
        <v>1.93</v>
      </c>
    </row>
    <row r="86" spans="3:5" x14ac:dyDescent="0.55000000000000004">
      <c r="C86" s="5" t="s">
        <v>1056</v>
      </c>
      <c r="D86" s="7">
        <v>2.1</v>
      </c>
      <c r="E86" s="10">
        <v>1.96</v>
      </c>
    </row>
    <row r="87" spans="3:5" x14ac:dyDescent="0.55000000000000004">
      <c r="C87" s="5" t="s">
        <v>1057</v>
      </c>
      <c r="D87" s="7">
        <v>4</v>
      </c>
      <c r="E87" s="10">
        <v>2.38</v>
      </c>
    </row>
    <row r="88" spans="3:5" x14ac:dyDescent="0.55000000000000004">
      <c r="C88" s="5" t="s">
        <v>1058</v>
      </c>
      <c r="D88" s="7">
        <v>3</v>
      </c>
      <c r="E88" s="10">
        <v>1.74</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AMJ72"/>
  <sheetViews>
    <sheetView tabSelected="1" zoomScale="90" zoomScaleNormal="90" workbookViewId="0">
      <selection activeCell="D10" sqref="D10"/>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8" style="1" customWidth="1"/>
    <col min="6" max="6" width="32" style="1" customWidth="1"/>
    <col min="7" max="1024" width="11.41796875" style="1"/>
  </cols>
  <sheetData>
    <row r="1" spans="1:4" x14ac:dyDescent="0.55000000000000004">
      <c r="A1" s="3" t="s">
        <v>0</v>
      </c>
      <c r="D1" s="2" t="s">
        <v>248</v>
      </c>
    </row>
    <row r="2" spans="1:4" ht="26.1" x14ac:dyDescent="0.55000000000000004">
      <c r="A2" s="58" t="s">
        <v>2</v>
      </c>
      <c r="B2" s="58"/>
      <c r="D2" s="2" t="s">
        <v>1059</v>
      </c>
    </row>
    <row r="3" spans="1:4" x14ac:dyDescent="0.55000000000000004">
      <c r="A3" s="58"/>
      <c r="B3" s="58"/>
      <c r="C3" s="5" t="s">
        <v>4</v>
      </c>
      <c r="D3" s="2" t="s">
        <v>1060</v>
      </c>
    </row>
    <row r="4" spans="1:4" x14ac:dyDescent="0.55000000000000004">
      <c r="A4" s="58"/>
      <c r="B4" s="58"/>
      <c r="C4" s="5" t="s">
        <v>6</v>
      </c>
      <c r="D4" s="2">
        <v>2019</v>
      </c>
    </row>
    <row r="5" spans="1:4" ht="26.1" x14ac:dyDescent="0.55000000000000004">
      <c r="A5" s="58"/>
      <c r="B5" s="58"/>
      <c r="C5" s="5" t="s">
        <v>7</v>
      </c>
      <c r="D5" s="2" t="s">
        <v>1061</v>
      </c>
    </row>
    <row r="6" spans="1:4" x14ac:dyDescent="0.55000000000000004">
      <c r="A6" s="58"/>
      <c r="B6" s="58"/>
      <c r="C6" s="5" t="s">
        <v>9</v>
      </c>
      <c r="D6" s="2" t="s">
        <v>119</v>
      </c>
    </row>
    <row r="7" spans="1:4" x14ac:dyDescent="0.55000000000000004">
      <c r="A7" s="58"/>
      <c r="B7" s="58"/>
      <c r="C7" s="5" t="s">
        <v>11</v>
      </c>
      <c r="D7" s="2" t="s">
        <v>12</v>
      </c>
    </row>
    <row r="8" spans="1:4" x14ac:dyDescent="0.55000000000000004">
      <c r="A8" s="59" t="s">
        <v>13</v>
      </c>
      <c r="B8" s="59"/>
      <c r="C8" s="5"/>
    </row>
    <row r="9" spans="1:4" ht="26.1" x14ac:dyDescent="0.55000000000000004">
      <c r="A9" s="58"/>
      <c r="B9" s="58"/>
      <c r="C9" s="5" t="s">
        <v>14</v>
      </c>
      <c r="D9" s="2" t="s">
        <v>1062</v>
      </c>
    </row>
    <row r="10" spans="1:4" x14ac:dyDescent="0.55000000000000004">
      <c r="A10" s="58"/>
      <c r="B10" s="58"/>
      <c r="C10" s="5" t="s">
        <v>16</v>
      </c>
      <c r="D10" s="2" t="s">
        <v>17</v>
      </c>
    </row>
    <row r="11" spans="1:4" x14ac:dyDescent="0.55000000000000004">
      <c r="A11" s="58"/>
      <c r="B11" s="58"/>
      <c r="C11" s="5" t="s">
        <v>19</v>
      </c>
      <c r="D11" s="2" t="s">
        <v>20</v>
      </c>
    </row>
    <row r="12" spans="1:4" x14ac:dyDescent="0.55000000000000004">
      <c r="A12" s="58"/>
      <c r="B12" s="58"/>
      <c r="C12" s="5" t="s">
        <v>21</v>
      </c>
      <c r="D12" s="2" t="s">
        <v>20</v>
      </c>
    </row>
    <row r="13" spans="1:4" x14ac:dyDescent="0.55000000000000004">
      <c r="A13" s="58"/>
      <c r="B13" s="58"/>
      <c r="C13" s="5" t="s">
        <v>22</v>
      </c>
      <c r="D13" s="2" t="s">
        <v>20</v>
      </c>
    </row>
    <row r="14" spans="1:4" x14ac:dyDescent="0.55000000000000004">
      <c r="A14" s="59" t="s">
        <v>24</v>
      </c>
      <c r="B14" s="59"/>
      <c r="C14" s="5"/>
    </row>
    <row r="15" spans="1:4" x14ac:dyDescent="0.55000000000000004">
      <c r="A15" s="58"/>
      <c r="B15" s="58"/>
      <c r="C15" s="5" t="s">
        <v>25</v>
      </c>
      <c r="D15" s="2" t="s">
        <v>122</v>
      </c>
    </row>
    <row r="16" spans="1:4" x14ac:dyDescent="0.55000000000000004">
      <c r="A16" s="58"/>
      <c r="B16" s="58"/>
      <c r="C16" s="5" t="s">
        <v>27</v>
      </c>
      <c r="D16" s="2" t="s">
        <v>1063</v>
      </c>
    </row>
    <row r="17" spans="1:5" x14ac:dyDescent="0.55000000000000004">
      <c r="A17" s="59" t="s">
        <v>29</v>
      </c>
      <c r="B17" s="59"/>
      <c r="C17" s="5"/>
    </row>
    <row r="18" spans="1:5" ht="26.1" x14ac:dyDescent="0.55000000000000004">
      <c r="A18" s="58"/>
      <c r="B18" s="58"/>
      <c r="C18" s="5" t="s">
        <v>30</v>
      </c>
      <c r="D18" s="2" t="s">
        <v>1064</v>
      </c>
    </row>
    <row r="19" spans="1:5" ht="26.1" x14ac:dyDescent="0.55000000000000004">
      <c r="A19" s="58"/>
      <c r="B19" s="58"/>
      <c r="C19" s="5" t="s">
        <v>32</v>
      </c>
      <c r="D19" s="2" t="s">
        <v>1065</v>
      </c>
    </row>
    <row r="20" spans="1:5" x14ac:dyDescent="0.55000000000000004">
      <c r="A20" s="59" t="s">
        <v>34</v>
      </c>
      <c r="B20" s="59"/>
      <c r="C20" s="5"/>
      <c r="D20" s="2" t="s">
        <v>35</v>
      </c>
    </row>
    <row r="21" spans="1:5" x14ac:dyDescent="0.55000000000000004">
      <c r="A21" s="58"/>
      <c r="B21" s="58"/>
      <c r="C21" s="5" t="s">
        <v>36</v>
      </c>
      <c r="D21" s="2" t="s">
        <v>20</v>
      </c>
    </row>
    <row r="22" spans="1:5" x14ac:dyDescent="0.55000000000000004">
      <c r="A22" s="58"/>
      <c r="B22" s="58"/>
      <c r="C22" s="5" t="s">
        <v>37</v>
      </c>
      <c r="D22" s="2">
        <v>18</v>
      </c>
    </row>
    <row r="23" spans="1:5" x14ac:dyDescent="0.55000000000000004">
      <c r="A23" s="58"/>
      <c r="B23" s="58"/>
      <c r="C23" s="5" t="s">
        <v>38</v>
      </c>
      <c r="D23" s="2">
        <v>16</v>
      </c>
    </row>
    <row r="24" spans="1:5" x14ac:dyDescent="0.55000000000000004">
      <c r="A24" s="58"/>
      <c r="B24" s="58"/>
      <c r="C24" s="5" t="s">
        <v>39</v>
      </c>
      <c r="D24" s="2">
        <v>2</v>
      </c>
    </row>
    <row r="25" spans="1:5" x14ac:dyDescent="0.55000000000000004">
      <c r="A25" s="58"/>
      <c r="B25" s="58"/>
      <c r="C25" s="5" t="s">
        <v>40</v>
      </c>
      <c r="D25" s="2">
        <v>19</v>
      </c>
    </row>
    <row r="26" spans="1:5" x14ac:dyDescent="0.55000000000000004">
      <c r="A26" s="58"/>
      <c r="B26" s="58"/>
      <c r="C26" s="5" t="s">
        <v>41</v>
      </c>
      <c r="D26" s="7">
        <v>66.099999999999994</v>
      </c>
    </row>
    <row r="27" spans="1:5" x14ac:dyDescent="0.55000000000000004">
      <c r="A27" s="58"/>
      <c r="B27" s="58"/>
      <c r="C27" s="5" t="s">
        <v>42</v>
      </c>
      <c r="D27" s="7">
        <v>7.2</v>
      </c>
    </row>
    <row r="28" spans="1:5" x14ac:dyDescent="0.55000000000000004">
      <c r="A28" s="58"/>
      <c r="B28" s="58"/>
      <c r="C28" s="5" t="s">
        <v>43</v>
      </c>
      <c r="D28" s="2" t="s">
        <v>20</v>
      </c>
    </row>
    <row r="29" spans="1:5" x14ac:dyDescent="0.55000000000000004">
      <c r="A29" s="58"/>
      <c r="B29" s="58"/>
      <c r="C29" s="5" t="s">
        <v>44</v>
      </c>
      <c r="D29" s="2" t="s">
        <v>20</v>
      </c>
    </row>
    <row r="30" spans="1:5" x14ac:dyDescent="0.55000000000000004">
      <c r="A30" s="58"/>
      <c r="B30" s="58"/>
      <c r="C30" s="5" t="s">
        <v>45</v>
      </c>
      <c r="D30" s="7">
        <v>22.7</v>
      </c>
      <c r="E30" s="1" t="s">
        <v>1066</v>
      </c>
    </row>
    <row r="31" spans="1:5" x14ac:dyDescent="0.55000000000000004">
      <c r="A31" s="58"/>
      <c r="B31" s="58"/>
      <c r="C31" s="5" t="s">
        <v>46</v>
      </c>
      <c r="D31" s="7">
        <v>7.2</v>
      </c>
      <c r="E31" s="1" t="s">
        <v>1066</v>
      </c>
    </row>
    <row r="32" spans="1:5" x14ac:dyDescent="0.55000000000000004">
      <c r="A32" s="59" t="s">
        <v>47</v>
      </c>
      <c r="B32" s="59"/>
      <c r="C32" s="5"/>
    </row>
    <row r="33" spans="1:10" ht="39" x14ac:dyDescent="0.55000000000000004">
      <c r="A33" s="58"/>
      <c r="B33" s="58"/>
      <c r="C33" s="5" t="s">
        <v>48</v>
      </c>
      <c r="D33" s="2" t="s">
        <v>1067</v>
      </c>
    </row>
    <row r="34" spans="1:10" x14ac:dyDescent="0.55000000000000004">
      <c r="A34" s="59" t="s">
        <v>50</v>
      </c>
      <c r="B34" s="59"/>
      <c r="C34" s="5"/>
    </row>
    <row r="35" spans="1:10" x14ac:dyDescent="0.55000000000000004">
      <c r="A35" s="8"/>
      <c r="B35" s="8"/>
      <c r="C35" s="5"/>
    </row>
    <row r="36" spans="1:10" x14ac:dyDescent="0.55000000000000004">
      <c r="A36" s="59"/>
      <c r="B36" s="5" t="s">
        <v>59</v>
      </c>
      <c r="C36" s="5"/>
      <c r="D36" s="2" t="s">
        <v>51</v>
      </c>
      <c r="E36" s="1" t="s">
        <v>52</v>
      </c>
      <c r="F36" s="1" t="s">
        <v>53</v>
      </c>
      <c r="G36" s="1" t="s">
        <v>54</v>
      </c>
      <c r="H36" s="1" t="s">
        <v>55</v>
      </c>
      <c r="I36" s="1" t="s">
        <v>56</v>
      </c>
      <c r="J36" s="1" t="s">
        <v>57</v>
      </c>
    </row>
    <row r="37" spans="1:10" x14ac:dyDescent="0.55000000000000004">
      <c r="A37" s="59"/>
      <c r="B37" s="5"/>
      <c r="C37" s="5" t="s">
        <v>127</v>
      </c>
      <c r="D37" s="7">
        <v>5.0999999999999996</v>
      </c>
      <c r="E37" s="10">
        <v>2.1</v>
      </c>
    </row>
    <row r="38" spans="1:10" x14ac:dyDescent="0.55000000000000004">
      <c r="A38" s="59"/>
      <c r="B38" s="5"/>
      <c r="C38" s="5" t="s">
        <v>128</v>
      </c>
      <c r="D38" s="7">
        <v>2.2000000000000002</v>
      </c>
      <c r="E38" s="10">
        <v>1.2</v>
      </c>
    </row>
    <row r="39" spans="1:10" x14ac:dyDescent="0.55000000000000004">
      <c r="A39" s="59"/>
      <c r="B39" s="5"/>
      <c r="C39" s="5" t="s">
        <v>129</v>
      </c>
      <c r="D39" s="7">
        <v>5</v>
      </c>
      <c r="E39" s="10">
        <v>2.2000000000000002</v>
      </c>
    </row>
    <row r="40" spans="1:10" x14ac:dyDescent="0.55000000000000004">
      <c r="A40" s="59"/>
      <c r="B40" s="5"/>
      <c r="C40" s="5" t="s">
        <v>130</v>
      </c>
      <c r="D40" s="7">
        <v>3.7</v>
      </c>
      <c r="E40" s="10">
        <v>2.4</v>
      </c>
    </row>
    <row r="41" spans="1:10" x14ac:dyDescent="0.55000000000000004">
      <c r="A41" s="59"/>
      <c r="B41" s="5"/>
    </row>
    <row r="42" spans="1:10" x14ac:dyDescent="0.55000000000000004">
      <c r="A42" s="59"/>
      <c r="B42" s="5"/>
      <c r="C42" s="5"/>
      <c r="D42" s="40"/>
      <c r="E42" s="41"/>
    </row>
    <row r="43" spans="1:10" x14ac:dyDescent="0.55000000000000004">
      <c r="A43" s="59"/>
      <c r="B43" s="5"/>
      <c r="C43" s="5"/>
      <c r="D43" s="40"/>
      <c r="E43" s="41"/>
    </row>
    <row r="44" spans="1:10" x14ac:dyDescent="0.55000000000000004">
      <c r="A44" s="59"/>
      <c r="B44" s="5"/>
      <c r="C44" s="5"/>
      <c r="D44" s="40"/>
      <c r="E44" s="41"/>
    </row>
    <row r="45" spans="1:10" x14ac:dyDescent="0.55000000000000004">
      <c r="A45" s="59"/>
      <c r="B45" s="5" t="s">
        <v>61</v>
      </c>
      <c r="C45" s="5"/>
    </row>
    <row r="46" spans="1:10" x14ac:dyDescent="0.55000000000000004">
      <c r="A46" s="59"/>
      <c r="B46" s="5"/>
    </row>
    <row r="47" spans="1:10" x14ac:dyDescent="0.55000000000000004">
      <c r="A47" s="59"/>
      <c r="B47" s="5"/>
    </row>
    <row r="48" spans="1:10" x14ac:dyDescent="0.55000000000000004">
      <c r="A48" s="59"/>
      <c r="B48" s="5"/>
      <c r="C48" s="5"/>
    </row>
    <row r="49" spans="1:6" x14ac:dyDescent="0.55000000000000004">
      <c r="A49" s="59"/>
      <c r="B49" s="5"/>
      <c r="C49" s="5"/>
    </row>
    <row r="50" spans="1:6" x14ac:dyDescent="0.55000000000000004">
      <c r="A50" s="59"/>
      <c r="B50" s="5"/>
      <c r="C50" s="5"/>
    </row>
    <row r="51" spans="1:6" x14ac:dyDescent="0.55000000000000004">
      <c r="A51" s="59"/>
      <c r="B51" s="5"/>
      <c r="C51" s="5"/>
    </row>
    <row r="52" spans="1:6" x14ac:dyDescent="0.55000000000000004">
      <c r="A52" s="59"/>
      <c r="B52" s="5"/>
      <c r="C52" s="5"/>
    </row>
    <row r="53" spans="1:6" x14ac:dyDescent="0.55000000000000004">
      <c r="A53" s="59"/>
      <c r="B53" s="5"/>
      <c r="C53" s="5"/>
    </row>
    <row r="54" spans="1:6" x14ac:dyDescent="0.55000000000000004">
      <c r="A54" s="59"/>
      <c r="B54" s="5"/>
      <c r="C54" s="5"/>
    </row>
    <row r="55" spans="1:6" x14ac:dyDescent="0.55000000000000004">
      <c r="A55" s="59"/>
      <c r="B55" s="5"/>
      <c r="C55" s="5"/>
    </row>
    <row r="56" spans="1:6" x14ac:dyDescent="0.55000000000000004">
      <c r="A56" s="59"/>
      <c r="B56" s="5"/>
      <c r="C56" s="5"/>
    </row>
    <row r="57" spans="1:6" x14ac:dyDescent="0.55000000000000004">
      <c r="A57" s="59"/>
      <c r="B57" s="5"/>
      <c r="C57" s="5"/>
    </row>
    <row r="58" spans="1:6" x14ac:dyDescent="0.55000000000000004">
      <c r="A58" s="59"/>
      <c r="B58" s="5"/>
      <c r="C58" s="5"/>
    </row>
    <row r="59" spans="1:6" x14ac:dyDescent="0.55000000000000004">
      <c r="A59" s="59"/>
      <c r="B59" s="5"/>
      <c r="C59" s="5"/>
    </row>
    <row r="60" spans="1:6" x14ac:dyDescent="0.55000000000000004">
      <c r="A60" s="59"/>
      <c r="B60" s="5"/>
      <c r="C60" s="5"/>
      <c r="F60" s="39"/>
    </row>
    <row r="61" spans="1:6" x14ac:dyDescent="0.55000000000000004">
      <c r="A61" s="59"/>
      <c r="B61" s="5"/>
      <c r="C61" s="5"/>
      <c r="D61" s="7"/>
      <c r="E61" s="10"/>
    </row>
    <row r="62" spans="1:6" x14ac:dyDescent="0.55000000000000004">
      <c r="A62" s="59"/>
      <c r="B62" s="5"/>
      <c r="C62" s="5"/>
      <c r="D62" s="7"/>
      <c r="E62" s="10"/>
    </row>
    <row r="63" spans="1:6" x14ac:dyDescent="0.55000000000000004">
      <c r="A63" s="59"/>
      <c r="B63" s="5"/>
      <c r="C63" s="5"/>
      <c r="D63" s="7"/>
      <c r="E63" s="10"/>
    </row>
    <row r="64" spans="1:6" x14ac:dyDescent="0.55000000000000004">
      <c r="A64" s="59"/>
      <c r="B64" s="5"/>
      <c r="C64" s="5"/>
      <c r="D64" s="7"/>
    </row>
    <row r="65" spans="1:4" x14ac:dyDescent="0.55000000000000004">
      <c r="A65" s="59"/>
      <c r="B65" s="5" t="s">
        <v>62</v>
      </c>
      <c r="C65" s="5"/>
      <c r="D65" s="42">
        <f>1/1440*10</f>
        <v>6.9444444444444449E-3</v>
      </c>
    </row>
    <row r="66" spans="1:4" x14ac:dyDescent="0.55000000000000004">
      <c r="A66" s="59"/>
      <c r="B66" s="5" t="s">
        <v>63</v>
      </c>
      <c r="C66" s="5"/>
      <c r="D66" s="2" t="s">
        <v>1068</v>
      </c>
    </row>
    <row r="67" spans="1:4" ht="39" x14ac:dyDescent="0.55000000000000004">
      <c r="A67" s="59" t="s">
        <v>65</v>
      </c>
      <c r="B67" s="59"/>
      <c r="C67" s="5"/>
      <c r="D67" s="2" t="s">
        <v>1069</v>
      </c>
    </row>
    <row r="68" spans="1:4" x14ac:dyDescent="0.55000000000000004">
      <c r="A68" s="3" t="s">
        <v>67</v>
      </c>
    </row>
    <row r="69" spans="1:4" x14ac:dyDescent="0.55000000000000004">
      <c r="A69" s="1" t="s">
        <v>68</v>
      </c>
      <c r="C69" s="1">
        <v>15</v>
      </c>
      <c r="D69" s="2">
        <v>28</v>
      </c>
    </row>
    <row r="70" spans="1:4" x14ac:dyDescent="0.55000000000000004">
      <c r="B70" s="1" t="s">
        <v>94</v>
      </c>
    </row>
    <row r="71" spans="1:4" x14ac:dyDescent="0.55000000000000004">
      <c r="C71" s="5" t="s">
        <v>1070</v>
      </c>
      <c r="D71" s="40">
        <v>0.53500000000000003</v>
      </c>
    </row>
    <row r="72" spans="1:4" x14ac:dyDescent="0.55000000000000004">
      <c r="C72" s="5" t="s">
        <v>1071</v>
      </c>
      <c r="D72" s="43">
        <v>0.19</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AMJ69"/>
  <sheetViews>
    <sheetView topLeftCell="C1" zoomScale="90" zoomScaleNormal="90" workbookViewId="0">
      <selection activeCell="D39" sqref="D39"/>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1024" width="11.41796875" style="1"/>
  </cols>
  <sheetData>
    <row r="1" spans="1:4" x14ac:dyDescent="0.55000000000000004">
      <c r="A1" s="3" t="s">
        <v>0</v>
      </c>
      <c r="D1" s="2" t="s">
        <v>1072</v>
      </c>
    </row>
    <row r="2" spans="1:4" x14ac:dyDescent="0.55000000000000004">
      <c r="A2" s="58" t="s">
        <v>2</v>
      </c>
      <c r="B2" s="58"/>
      <c r="D2" s="1" t="s">
        <v>1073</v>
      </c>
    </row>
    <row r="3" spans="1:4" x14ac:dyDescent="0.55000000000000004">
      <c r="A3" s="58"/>
      <c r="B3" s="58"/>
      <c r="C3" s="5" t="s">
        <v>4</v>
      </c>
      <c r="D3" s="2" t="s">
        <v>1074</v>
      </c>
    </row>
    <row r="4" spans="1:4" x14ac:dyDescent="0.55000000000000004">
      <c r="A4" s="58"/>
      <c r="B4" s="58"/>
      <c r="C4" s="5" t="s">
        <v>6</v>
      </c>
      <c r="D4" s="2">
        <v>2018</v>
      </c>
    </row>
    <row r="5" spans="1:4" ht="39" x14ac:dyDescent="0.55000000000000004">
      <c r="A5" s="58"/>
      <c r="B5" s="58"/>
      <c r="C5" s="5" t="s">
        <v>7</v>
      </c>
      <c r="D5" s="2" t="s">
        <v>1075</v>
      </c>
    </row>
    <row r="6" spans="1:4" x14ac:dyDescent="0.55000000000000004">
      <c r="A6" s="58"/>
      <c r="B6" s="58"/>
      <c r="C6" s="5" t="s">
        <v>9</v>
      </c>
      <c r="D6" s="2" t="s">
        <v>1076</v>
      </c>
    </row>
    <row r="7" spans="1:4" x14ac:dyDescent="0.55000000000000004">
      <c r="A7" s="58"/>
      <c r="B7" s="58"/>
      <c r="C7" s="5" t="s">
        <v>11</v>
      </c>
      <c r="D7" s="2" t="s">
        <v>12</v>
      </c>
    </row>
    <row r="8" spans="1:4" x14ac:dyDescent="0.55000000000000004">
      <c r="A8" s="59" t="s">
        <v>13</v>
      </c>
      <c r="B8" s="59"/>
      <c r="C8" s="5"/>
    </row>
    <row r="9" spans="1:4" ht="26.1" x14ac:dyDescent="0.55000000000000004">
      <c r="A9" s="58"/>
      <c r="B9" s="58"/>
      <c r="C9" s="5" t="s">
        <v>14</v>
      </c>
      <c r="D9" s="2" t="s">
        <v>1077</v>
      </c>
    </row>
    <row r="10" spans="1:4" x14ac:dyDescent="0.55000000000000004">
      <c r="A10" s="58"/>
      <c r="B10" s="58"/>
      <c r="C10" s="5" t="s">
        <v>16</v>
      </c>
      <c r="D10" s="2" t="s">
        <v>165</v>
      </c>
    </row>
    <row r="11" spans="1:4" x14ac:dyDescent="0.55000000000000004">
      <c r="A11" s="58"/>
      <c r="B11" s="58"/>
      <c r="C11" s="5" t="s">
        <v>19</v>
      </c>
      <c r="D11" s="31">
        <v>39326</v>
      </c>
    </row>
    <row r="12" spans="1:4" x14ac:dyDescent="0.55000000000000004">
      <c r="A12" s="58"/>
      <c r="B12" s="58"/>
      <c r="C12" s="5" t="s">
        <v>21</v>
      </c>
      <c r="D12" s="31">
        <v>39904</v>
      </c>
    </row>
    <row r="13" spans="1:4" x14ac:dyDescent="0.55000000000000004">
      <c r="A13" s="58"/>
      <c r="B13" s="58"/>
      <c r="C13" s="5" t="s">
        <v>22</v>
      </c>
    </row>
    <row r="14" spans="1:4" x14ac:dyDescent="0.55000000000000004">
      <c r="A14" s="59" t="s">
        <v>24</v>
      </c>
      <c r="B14" s="59"/>
      <c r="C14" s="5"/>
    </row>
    <row r="15" spans="1:4" x14ac:dyDescent="0.55000000000000004">
      <c r="A15" s="58"/>
      <c r="B15" s="58"/>
      <c r="C15" s="5" t="s">
        <v>25</v>
      </c>
      <c r="D15" s="2" t="s">
        <v>553</v>
      </c>
    </row>
    <row r="16" spans="1:4" x14ac:dyDescent="0.55000000000000004">
      <c r="A16" s="58"/>
      <c r="B16" s="58"/>
      <c r="C16" s="5" t="s">
        <v>27</v>
      </c>
      <c r="D16" s="2" t="s">
        <v>1078</v>
      </c>
    </row>
    <row r="17" spans="1:6" x14ac:dyDescent="0.55000000000000004">
      <c r="A17" s="59" t="s">
        <v>29</v>
      </c>
      <c r="B17" s="59"/>
      <c r="C17" s="5"/>
    </row>
    <row r="18" spans="1:6" ht="26.1" x14ac:dyDescent="0.55000000000000004">
      <c r="A18" s="58"/>
      <c r="B18" s="58"/>
      <c r="C18" s="5" t="s">
        <v>30</v>
      </c>
      <c r="D18" s="2" t="s">
        <v>1079</v>
      </c>
    </row>
    <row r="19" spans="1:6" ht="103.5" x14ac:dyDescent="0.55000000000000004">
      <c r="A19" s="58"/>
      <c r="B19" s="58"/>
      <c r="C19" s="5" t="s">
        <v>32</v>
      </c>
      <c r="D19" s="2" t="s">
        <v>1080</v>
      </c>
    </row>
    <row r="20" spans="1:6" x14ac:dyDescent="0.55000000000000004">
      <c r="A20" s="59" t="s">
        <v>34</v>
      </c>
      <c r="B20" s="59"/>
      <c r="C20" s="5"/>
      <c r="D20" s="2" t="s">
        <v>1072</v>
      </c>
      <c r="E20" s="1" t="s">
        <v>109</v>
      </c>
      <c r="F20" s="1" t="s">
        <v>35</v>
      </c>
    </row>
    <row r="21" spans="1:6" x14ac:dyDescent="0.55000000000000004">
      <c r="A21" s="58"/>
      <c r="B21" s="58"/>
      <c r="C21" s="5" t="s">
        <v>36</v>
      </c>
      <c r="D21" s="2" t="s">
        <v>20</v>
      </c>
    </row>
    <row r="22" spans="1:6" x14ac:dyDescent="0.55000000000000004">
      <c r="A22" s="58"/>
      <c r="B22" s="58"/>
      <c r="C22" s="5" t="s">
        <v>37</v>
      </c>
      <c r="F22" s="1">
        <v>214</v>
      </c>
    </row>
    <row r="23" spans="1:6" x14ac:dyDescent="0.55000000000000004">
      <c r="A23" s="58"/>
      <c r="B23" s="58"/>
      <c r="C23" s="5" t="s">
        <v>38</v>
      </c>
      <c r="D23" s="2">
        <v>87</v>
      </c>
      <c r="E23" s="1">
        <v>87</v>
      </c>
      <c r="F23" s="1">
        <f>SUM(D23:E23)</f>
        <v>174</v>
      </c>
    </row>
    <row r="24" spans="1:6" x14ac:dyDescent="0.55000000000000004">
      <c r="A24" s="58"/>
      <c r="B24" s="58"/>
      <c r="C24" s="5" t="s">
        <v>39</v>
      </c>
      <c r="D24" s="2">
        <v>1</v>
      </c>
      <c r="E24" s="1">
        <v>1</v>
      </c>
      <c r="F24" s="1">
        <f>F22-F23</f>
        <v>40</v>
      </c>
    </row>
    <row r="25" spans="1:6" x14ac:dyDescent="0.55000000000000004">
      <c r="A25" s="58"/>
      <c r="B25" s="58"/>
      <c r="C25" s="5" t="s">
        <v>40</v>
      </c>
      <c r="D25" s="7">
        <f>33/D23</f>
        <v>0.37931034482758619</v>
      </c>
      <c r="E25" s="10">
        <f>37/E23</f>
        <v>0.42528735632183906</v>
      </c>
      <c r="F25" s="10">
        <f>70/F23</f>
        <v>0.40229885057471265</v>
      </c>
    </row>
    <row r="26" spans="1:6" x14ac:dyDescent="0.55000000000000004">
      <c r="A26" s="58"/>
      <c r="B26" s="58"/>
      <c r="C26" s="5" t="s">
        <v>41</v>
      </c>
      <c r="D26" s="7">
        <f>((73.3*28)+(61.3*60))/D23</f>
        <v>65.86666666666666</v>
      </c>
      <c r="E26" s="7">
        <f>((74.2*28)+(61.8*60))/E23</f>
        <v>66.501149425287366</v>
      </c>
      <c r="F26" s="10">
        <f>(D26*D23+E26*E23)/SUM(D23:E23)</f>
        <v>66.183908045977006</v>
      </c>
    </row>
    <row r="27" spans="1:6" x14ac:dyDescent="0.55000000000000004">
      <c r="A27" s="58"/>
      <c r="B27" s="58"/>
      <c r="C27" s="5" t="s">
        <v>42</v>
      </c>
      <c r="D27" s="7">
        <f>SQRT((28*(2.6^2+(5.595402299-2.6)^2)+60*(6.9^2+(5.595402299-6.9)^2))/88)</f>
        <v>6.2151086875298516</v>
      </c>
      <c r="E27" s="10">
        <f>SQRT((31*(3^2+(5-3)^2)+57*(6^2+(5-6)^2))/88)</f>
        <v>5.3427946381509503</v>
      </c>
      <c r="F27" s="10">
        <f>SQRT((D23*(D27^2+(F$26-D26)^2)+E23*(E27^2+(F$26-E26)^2))/F$23)</f>
        <v>5.8040638663249151</v>
      </c>
    </row>
    <row r="28" spans="1:6" x14ac:dyDescent="0.55000000000000004">
      <c r="A28" s="58"/>
      <c r="B28" s="58"/>
      <c r="C28" s="5" t="s">
        <v>43</v>
      </c>
      <c r="D28" s="2" t="s">
        <v>20</v>
      </c>
      <c r="E28" s="1" t="s">
        <v>20</v>
      </c>
      <c r="F28" s="1" t="s">
        <v>20</v>
      </c>
    </row>
    <row r="29" spans="1:6" x14ac:dyDescent="0.55000000000000004">
      <c r="A29" s="58"/>
      <c r="B29" s="58"/>
      <c r="C29" s="5" t="s">
        <v>44</v>
      </c>
      <c r="D29" s="2">
        <v>2</v>
      </c>
      <c r="E29" s="1">
        <v>2</v>
      </c>
      <c r="F29" s="1">
        <v>2</v>
      </c>
    </row>
    <row r="30" spans="1:6" x14ac:dyDescent="0.55000000000000004">
      <c r="A30" s="58"/>
      <c r="B30" s="58"/>
      <c r="C30" s="5" t="s">
        <v>45</v>
      </c>
      <c r="D30" s="7">
        <f>((20.89*28)+(60*19.82))/D23</f>
        <v>20.392183908045979</v>
      </c>
      <c r="E30" s="10">
        <f>((20.9*28)+(60*20.74))/E23</f>
        <v>21.029885057471262</v>
      </c>
      <c r="F30" s="10">
        <f>(D30*D$23+E30*E$23)/SUM(D$23:E$23)</f>
        <v>20.71103448275862</v>
      </c>
    </row>
    <row r="31" spans="1:6" x14ac:dyDescent="0.55000000000000004">
      <c r="A31" s="58"/>
      <c r="B31" s="58"/>
      <c r="C31" s="5" t="s">
        <v>46</v>
      </c>
      <c r="D31" s="7">
        <f>SQRT((28*(9.06^2+(9.264545455-9.06)^2)+60*(9.55^2+(9.36-9.264545455)^2))/88)</f>
        <v>9.3979017132320681</v>
      </c>
      <c r="E31" s="10">
        <f>SQRT((31*(9.16^2+(9.555113636-9.16)^2)+57*(9.77^2+(9.555113636-9.77)^2))/88)</f>
        <v>9.5639952775450983</v>
      </c>
      <c r="F31" s="10">
        <f>SQRT((D23*(D31^2+(F$30-D30)^2)+E23*(E31^2+(F$30-E30)^2))/F$23)</f>
        <v>9.4866720629118504</v>
      </c>
    </row>
    <row r="32" spans="1:6" x14ac:dyDescent="0.55000000000000004">
      <c r="A32" s="59" t="s">
        <v>47</v>
      </c>
      <c r="B32" s="59"/>
      <c r="C32" s="5"/>
    </row>
    <row r="33" spans="1:13" ht="64.8" x14ac:dyDescent="0.55000000000000004">
      <c r="A33" s="58"/>
      <c r="B33" s="58"/>
      <c r="C33" s="5" t="s">
        <v>48</v>
      </c>
      <c r="D33" s="2" t="s">
        <v>1081</v>
      </c>
    </row>
    <row r="34" spans="1:13" x14ac:dyDescent="0.55000000000000004">
      <c r="A34" s="59" t="s">
        <v>50</v>
      </c>
      <c r="B34" s="59"/>
      <c r="C34" s="5"/>
    </row>
    <row r="35" spans="1:13" x14ac:dyDescent="0.55000000000000004">
      <c r="A35" s="8"/>
      <c r="B35" s="8"/>
      <c r="C35" s="5"/>
    </row>
    <row r="36" spans="1:13" x14ac:dyDescent="0.55000000000000004">
      <c r="A36" s="59"/>
      <c r="B36" s="5" t="s">
        <v>59</v>
      </c>
      <c r="C36" s="5"/>
      <c r="D36" s="2" t="s">
        <v>51</v>
      </c>
      <c r="E36" s="1" t="s">
        <v>52</v>
      </c>
      <c r="F36" s="1" t="s">
        <v>53</v>
      </c>
      <c r="G36" s="1" t="s">
        <v>54</v>
      </c>
      <c r="H36" s="1" t="s">
        <v>55</v>
      </c>
      <c r="I36" s="1" t="s">
        <v>56</v>
      </c>
      <c r="J36" s="1" t="s">
        <v>57</v>
      </c>
      <c r="K36" s="1" t="s">
        <v>1082</v>
      </c>
      <c r="L36" s="1" t="s">
        <v>1083</v>
      </c>
      <c r="M36" s="1" t="s">
        <v>1084</v>
      </c>
    </row>
    <row r="37" spans="1:13" x14ac:dyDescent="0.55000000000000004">
      <c r="A37" s="59"/>
      <c r="B37" s="5"/>
      <c r="C37" s="5" t="s">
        <v>1085</v>
      </c>
      <c r="D37" s="7">
        <v>-1.85</v>
      </c>
      <c r="E37" s="10"/>
      <c r="I37" s="1">
        <v>5.0000000000000001E-4</v>
      </c>
      <c r="K37" s="1">
        <v>-1.1299999999999999</v>
      </c>
      <c r="L37" s="1">
        <v>-1.75</v>
      </c>
      <c r="M37" s="1">
        <v>-0.5</v>
      </c>
    </row>
    <row r="38" spans="1:13" x14ac:dyDescent="0.55000000000000004">
      <c r="A38" s="59"/>
      <c r="B38" s="5"/>
      <c r="C38" s="5" t="s">
        <v>1086</v>
      </c>
      <c r="D38" s="7">
        <v>-0.73</v>
      </c>
      <c r="E38" s="10"/>
    </row>
    <row r="39" spans="1:13" x14ac:dyDescent="0.55000000000000004">
      <c r="A39" s="59"/>
      <c r="B39" s="5"/>
      <c r="C39" s="5"/>
    </row>
    <row r="40" spans="1:13" x14ac:dyDescent="0.55000000000000004">
      <c r="A40" s="59"/>
      <c r="B40" s="5"/>
      <c r="C40" s="5"/>
    </row>
    <row r="41" spans="1:13" x14ac:dyDescent="0.55000000000000004">
      <c r="A41" s="59"/>
      <c r="B41" s="5"/>
      <c r="C41" s="5"/>
    </row>
    <row r="42" spans="1:13" x14ac:dyDescent="0.55000000000000004">
      <c r="A42" s="59"/>
      <c r="B42" s="5"/>
      <c r="C42" s="5"/>
    </row>
    <row r="43" spans="1:13" x14ac:dyDescent="0.55000000000000004">
      <c r="A43" s="59"/>
      <c r="B43" s="5"/>
      <c r="C43" s="5"/>
    </row>
    <row r="44" spans="1:13" x14ac:dyDescent="0.55000000000000004">
      <c r="A44" s="59"/>
      <c r="B44" s="5"/>
      <c r="C44" s="5"/>
    </row>
    <row r="45" spans="1:13" x14ac:dyDescent="0.55000000000000004">
      <c r="A45" s="59"/>
      <c r="B45" s="5" t="s">
        <v>61</v>
      </c>
      <c r="C45" s="5"/>
    </row>
    <row r="46" spans="1:13" x14ac:dyDescent="0.55000000000000004">
      <c r="A46" s="59"/>
      <c r="B46" s="5"/>
      <c r="C46" s="5"/>
    </row>
    <row r="47" spans="1:13" x14ac:dyDescent="0.55000000000000004">
      <c r="A47" s="59"/>
      <c r="B47" s="5"/>
      <c r="C47" s="5"/>
    </row>
    <row r="48" spans="1:13" x14ac:dyDescent="0.55000000000000004">
      <c r="A48" s="59"/>
      <c r="B48" s="5"/>
      <c r="C48" s="5"/>
    </row>
    <row r="49" spans="1:3" x14ac:dyDescent="0.55000000000000004">
      <c r="A49" s="59"/>
      <c r="B49" s="5"/>
      <c r="C49" s="5"/>
    </row>
    <row r="50" spans="1:3" x14ac:dyDescent="0.55000000000000004">
      <c r="A50" s="59"/>
      <c r="B50" s="5"/>
      <c r="C50" s="5"/>
    </row>
    <row r="51" spans="1:3" x14ac:dyDescent="0.55000000000000004">
      <c r="A51" s="59"/>
      <c r="B51" s="5"/>
      <c r="C51" s="5"/>
    </row>
    <row r="52" spans="1:3" x14ac:dyDescent="0.55000000000000004">
      <c r="A52" s="59"/>
      <c r="B52" s="5"/>
      <c r="C52" s="5"/>
    </row>
    <row r="53" spans="1:3" x14ac:dyDescent="0.55000000000000004">
      <c r="A53" s="59"/>
      <c r="B53" s="5"/>
      <c r="C53" s="5"/>
    </row>
    <row r="54" spans="1:3" x14ac:dyDescent="0.55000000000000004">
      <c r="A54" s="59"/>
      <c r="B54" s="5"/>
      <c r="C54" s="5"/>
    </row>
    <row r="55" spans="1:3" x14ac:dyDescent="0.55000000000000004">
      <c r="A55" s="59"/>
      <c r="B55" s="5"/>
      <c r="C55" s="5"/>
    </row>
    <row r="56" spans="1:3" x14ac:dyDescent="0.55000000000000004">
      <c r="A56" s="59"/>
      <c r="B56" s="5"/>
      <c r="C56" s="5"/>
    </row>
    <row r="57" spans="1:3" x14ac:dyDescent="0.55000000000000004">
      <c r="A57" s="59"/>
      <c r="B57" s="5"/>
      <c r="C57" s="5"/>
    </row>
    <row r="58" spans="1:3" x14ac:dyDescent="0.55000000000000004">
      <c r="A58" s="59"/>
      <c r="B58" s="5"/>
      <c r="C58" s="5"/>
    </row>
    <row r="59" spans="1:3" x14ac:dyDescent="0.55000000000000004">
      <c r="A59" s="59"/>
      <c r="B59" s="5"/>
      <c r="C59" s="5"/>
    </row>
    <row r="60" spans="1:3" x14ac:dyDescent="0.55000000000000004">
      <c r="A60" s="59"/>
      <c r="B60" s="5"/>
      <c r="C60" s="5"/>
    </row>
    <row r="61" spans="1:3" x14ac:dyDescent="0.55000000000000004">
      <c r="A61" s="59"/>
      <c r="B61" s="5"/>
      <c r="C61" s="5"/>
    </row>
    <row r="62" spans="1:3" x14ac:dyDescent="0.55000000000000004">
      <c r="A62" s="59"/>
      <c r="B62" s="5"/>
      <c r="C62" s="5"/>
    </row>
    <row r="63" spans="1:3" x14ac:dyDescent="0.55000000000000004">
      <c r="A63" s="59"/>
      <c r="B63" s="5"/>
      <c r="C63" s="5"/>
    </row>
    <row r="64" spans="1:3" x14ac:dyDescent="0.55000000000000004">
      <c r="A64" s="59"/>
      <c r="B64" s="5"/>
      <c r="C64" s="5"/>
    </row>
    <row r="65" spans="1:4" x14ac:dyDescent="0.55000000000000004">
      <c r="A65" s="59"/>
      <c r="B65" s="5" t="s">
        <v>62</v>
      </c>
      <c r="C65" s="5"/>
      <c r="D65" s="2">
        <v>84</v>
      </c>
    </row>
    <row r="66" spans="1:4" x14ac:dyDescent="0.55000000000000004">
      <c r="A66" s="59"/>
      <c r="B66" s="5" t="s">
        <v>63</v>
      </c>
      <c r="C66" s="5"/>
      <c r="D66" s="2" t="s">
        <v>1087</v>
      </c>
    </row>
    <row r="67" spans="1:4" ht="39" x14ac:dyDescent="0.55000000000000004">
      <c r="A67" s="59" t="s">
        <v>65</v>
      </c>
      <c r="B67" s="59"/>
      <c r="C67" s="5"/>
      <c r="D67" s="2" t="s">
        <v>1088</v>
      </c>
    </row>
    <row r="68" spans="1:4" x14ac:dyDescent="0.55000000000000004">
      <c r="A68" s="3" t="s">
        <v>67</v>
      </c>
    </row>
    <row r="69" spans="1:4" x14ac:dyDescent="0.55000000000000004">
      <c r="A69" s="1" t="s">
        <v>68</v>
      </c>
      <c r="C69" s="1">
        <v>20</v>
      </c>
      <c r="D69" s="2">
        <v>22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69"/>
  <sheetViews>
    <sheetView topLeftCell="B1" zoomScale="90" zoomScaleNormal="90" workbookViewId="0">
      <selection activeCell="C38" sqref="C38"/>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1.83984375" style="1" customWidth="1"/>
    <col min="6" max="6" width="4.83984375" style="1" customWidth="1"/>
    <col min="7" max="7" width="15.41796875" style="1" customWidth="1"/>
    <col min="8" max="1024" width="11.41796875" style="1"/>
  </cols>
  <sheetData>
    <row r="1" spans="1:4" x14ac:dyDescent="0.55000000000000004">
      <c r="A1" s="3" t="s">
        <v>0</v>
      </c>
      <c r="D1" s="2" t="s">
        <v>160</v>
      </c>
    </row>
    <row r="2" spans="1:4" x14ac:dyDescent="0.55000000000000004">
      <c r="A2" s="58" t="s">
        <v>2</v>
      </c>
      <c r="B2" s="58"/>
      <c r="D2" s="1" t="s">
        <v>161</v>
      </c>
    </row>
    <row r="3" spans="1:4" x14ac:dyDescent="0.55000000000000004">
      <c r="A3" s="58"/>
      <c r="B3" s="58"/>
      <c r="C3" s="5" t="s">
        <v>4</v>
      </c>
      <c r="D3" s="2" t="s">
        <v>162</v>
      </c>
    </row>
    <row r="4" spans="1:4" x14ac:dyDescent="0.55000000000000004">
      <c r="A4" s="58"/>
      <c r="B4" s="58"/>
      <c r="C4" s="5" t="s">
        <v>6</v>
      </c>
      <c r="D4" s="2">
        <v>1997</v>
      </c>
    </row>
    <row r="5" spans="1:4" ht="26.1" x14ac:dyDescent="0.55000000000000004">
      <c r="A5" s="58"/>
      <c r="B5" s="58"/>
      <c r="C5" s="5" t="s">
        <v>7</v>
      </c>
      <c r="D5" s="2" t="s">
        <v>163</v>
      </c>
    </row>
    <row r="6" spans="1:4" x14ac:dyDescent="0.55000000000000004">
      <c r="A6" s="58"/>
      <c r="B6" s="58"/>
      <c r="C6" s="5" t="s">
        <v>9</v>
      </c>
      <c r="D6" s="2" t="s">
        <v>101</v>
      </c>
    </row>
    <row r="7" spans="1:4" x14ac:dyDescent="0.55000000000000004">
      <c r="A7" s="58"/>
      <c r="B7" s="58"/>
      <c r="C7" s="5" t="s">
        <v>11</v>
      </c>
      <c r="D7" s="2" t="s">
        <v>12</v>
      </c>
    </row>
    <row r="8" spans="1:4" x14ac:dyDescent="0.55000000000000004">
      <c r="A8" s="59" t="s">
        <v>13</v>
      </c>
      <c r="B8" s="59"/>
      <c r="C8" s="5"/>
    </row>
    <row r="9" spans="1:4" ht="51.9" x14ac:dyDescent="0.55000000000000004">
      <c r="A9" s="58"/>
      <c r="B9" s="58"/>
      <c r="C9" s="5" t="s">
        <v>14</v>
      </c>
      <c r="D9" s="2" t="s">
        <v>164</v>
      </c>
    </row>
    <row r="10" spans="1:4" x14ac:dyDescent="0.55000000000000004">
      <c r="A10" s="58"/>
      <c r="B10" s="58"/>
      <c r="C10" s="5" t="s">
        <v>16</v>
      </c>
      <c r="D10" s="2" t="s">
        <v>165</v>
      </c>
    </row>
    <row r="11" spans="1:4" x14ac:dyDescent="0.55000000000000004">
      <c r="A11" s="58"/>
      <c r="B11" s="58"/>
      <c r="C11" s="5" t="s">
        <v>19</v>
      </c>
      <c r="D11" s="2" t="s">
        <v>20</v>
      </c>
    </row>
    <row r="12" spans="1:4" x14ac:dyDescent="0.55000000000000004">
      <c r="A12" s="58"/>
      <c r="B12" s="58"/>
      <c r="C12" s="5" t="s">
        <v>21</v>
      </c>
      <c r="D12" s="2" t="s">
        <v>20</v>
      </c>
    </row>
    <row r="13" spans="1:4" x14ac:dyDescent="0.55000000000000004">
      <c r="A13" s="58"/>
      <c r="B13" s="58"/>
      <c r="C13" s="5" t="s">
        <v>22</v>
      </c>
      <c r="D13" s="2" t="s">
        <v>20</v>
      </c>
    </row>
    <row r="14" spans="1:4" x14ac:dyDescent="0.55000000000000004">
      <c r="A14" s="59" t="s">
        <v>24</v>
      </c>
      <c r="B14" s="59"/>
      <c r="C14" s="5"/>
    </row>
    <row r="15" spans="1:4" x14ac:dyDescent="0.55000000000000004">
      <c r="A15" s="58"/>
      <c r="B15" s="58"/>
      <c r="C15" s="5" t="s">
        <v>25</v>
      </c>
      <c r="D15" s="2" t="s">
        <v>122</v>
      </c>
    </row>
    <row r="16" spans="1:4" x14ac:dyDescent="0.55000000000000004">
      <c r="A16" s="58"/>
      <c r="B16" s="58"/>
      <c r="C16" s="5" t="s">
        <v>27</v>
      </c>
      <c r="D16" s="2" t="s">
        <v>166</v>
      </c>
    </row>
    <row r="17" spans="1:4" x14ac:dyDescent="0.55000000000000004">
      <c r="A17" s="59" t="s">
        <v>29</v>
      </c>
      <c r="B17" s="59"/>
      <c r="C17" s="5"/>
    </row>
    <row r="18" spans="1:4" ht="26.1" x14ac:dyDescent="0.55000000000000004">
      <c r="A18" s="58"/>
      <c r="B18" s="58"/>
      <c r="C18" s="5" t="s">
        <v>30</v>
      </c>
      <c r="D18" s="2" t="s">
        <v>167</v>
      </c>
    </row>
    <row r="19" spans="1:4" x14ac:dyDescent="0.55000000000000004">
      <c r="A19" s="58"/>
      <c r="B19" s="58"/>
      <c r="C19" s="5" t="s">
        <v>32</v>
      </c>
      <c r="D19" s="2" t="s">
        <v>20</v>
      </c>
    </row>
    <row r="20" spans="1:4" x14ac:dyDescent="0.55000000000000004">
      <c r="A20" s="59" t="s">
        <v>34</v>
      </c>
      <c r="B20" s="59"/>
      <c r="C20" s="5"/>
      <c r="D20" s="2" t="s">
        <v>35</v>
      </c>
    </row>
    <row r="21" spans="1:4" x14ac:dyDescent="0.55000000000000004">
      <c r="A21" s="58"/>
      <c r="B21" s="58"/>
      <c r="C21" s="5" t="s">
        <v>36</v>
      </c>
    </row>
    <row r="22" spans="1:4" x14ac:dyDescent="0.55000000000000004">
      <c r="A22" s="58"/>
      <c r="B22" s="58"/>
      <c r="C22" s="5" t="s">
        <v>37</v>
      </c>
      <c r="D22" s="2">
        <v>17</v>
      </c>
    </row>
    <row r="23" spans="1:4" x14ac:dyDescent="0.55000000000000004">
      <c r="A23" s="58"/>
      <c r="B23" s="58"/>
      <c r="C23" s="5" t="s">
        <v>38</v>
      </c>
      <c r="D23" s="2">
        <v>15</v>
      </c>
    </row>
    <row r="24" spans="1:4" x14ac:dyDescent="0.55000000000000004">
      <c r="A24" s="58"/>
      <c r="B24" s="58"/>
      <c r="C24" s="5" t="s">
        <v>39</v>
      </c>
    </row>
    <row r="25" spans="1:4" x14ac:dyDescent="0.55000000000000004">
      <c r="A25" s="58"/>
      <c r="B25" s="58"/>
      <c r="C25" s="5" t="s">
        <v>40</v>
      </c>
      <c r="D25" s="2">
        <v>41</v>
      </c>
    </row>
    <row r="26" spans="1:4" x14ac:dyDescent="0.55000000000000004">
      <c r="A26" s="58"/>
      <c r="B26" s="58"/>
      <c r="C26" s="5" t="s">
        <v>41</v>
      </c>
      <c r="D26" s="2">
        <v>66.8</v>
      </c>
    </row>
    <row r="27" spans="1:4" x14ac:dyDescent="0.55000000000000004">
      <c r="A27" s="58"/>
      <c r="B27" s="58"/>
      <c r="C27" s="5" t="s">
        <v>42</v>
      </c>
      <c r="D27" s="2">
        <v>5.9</v>
      </c>
    </row>
    <row r="28" spans="1:4" x14ac:dyDescent="0.55000000000000004">
      <c r="A28" s="58"/>
      <c r="B28" s="58"/>
      <c r="C28" s="5" t="s">
        <v>43</v>
      </c>
      <c r="D28" s="2" t="s">
        <v>20</v>
      </c>
    </row>
    <row r="29" spans="1:4" x14ac:dyDescent="0.55000000000000004">
      <c r="A29" s="58"/>
      <c r="B29" s="58"/>
      <c r="C29" s="5" t="s">
        <v>168</v>
      </c>
      <c r="D29" s="2">
        <v>2.4</v>
      </c>
    </row>
    <row r="30" spans="1:4" x14ac:dyDescent="0.55000000000000004">
      <c r="A30" s="58"/>
      <c r="B30" s="58"/>
      <c r="C30" s="5" t="s">
        <v>45</v>
      </c>
      <c r="D30" s="2" t="s">
        <v>20</v>
      </c>
    </row>
    <row r="31" spans="1:4" x14ac:dyDescent="0.55000000000000004">
      <c r="A31" s="58"/>
      <c r="B31" s="58"/>
      <c r="C31" s="5" t="s">
        <v>46</v>
      </c>
      <c r="D31" s="2" t="s">
        <v>20</v>
      </c>
    </row>
    <row r="32" spans="1:4" x14ac:dyDescent="0.55000000000000004">
      <c r="A32" s="59" t="s">
        <v>47</v>
      </c>
      <c r="B32" s="59"/>
      <c r="C32" s="5"/>
    </row>
    <row r="33" spans="1:11" ht="64.8" x14ac:dyDescent="0.55000000000000004">
      <c r="A33" s="58"/>
      <c r="B33" s="58"/>
      <c r="C33" s="5" t="s">
        <v>48</v>
      </c>
      <c r="D33" s="2" t="s">
        <v>169</v>
      </c>
    </row>
    <row r="34" spans="1:11" x14ac:dyDescent="0.55000000000000004">
      <c r="A34" s="59" t="s">
        <v>50</v>
      </c>
      <c r="B34" s="59"/>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9"/>
      <c r="B36" s="5" t="s">
        <v>59</v>
      </c>
      <c r="C36" s="5"/>
    </row>
    <row r="37" spans="1:11" x14ac:dyDescent="0.55000000000000004">
      <c r="A37" s="59"/>
      <c r="B37" s="5"/>
      <c r="C37" s="5" t="s">
        <v>170</v>
      </c>
      <c r="D37" s="10">
        <v>6.3731092436974803</v>
      </c>
      <c r="E37" s="10">
        <f>F37*SQRT(17)</f>
        <v>4.2131902863454069</v>
      </c>
      <c r="F37" s="10">
        <v>1.02184873949579</v>
      </c>
    </row>
    <row r="38" spans="1:11" x14ac:dyDescent="0.55000000000000004">
      <c r="A38" s="59"/>
      <c r="B38" s="5"/>
      <c r="C38" s="5" t="s">
        <v>171</v>
      </c>
      <c r="D38" s="10">
        <v>2.2050420168067202</v>
      </c>
      <c r="E38" s="10">
        <f>F38*SQRT(17)</f>
        <v>0.77611400011627762</v>
      </c>
      <c r="F38" s="10">
        <v>0.18823529411765</v>
      </c>
    </row>
    <row r="39" spans="1:11" x14ac:dyDescent="0.55000000000000004">
      <c r="A39" s="59"/>
      <c r="B39" s="5"/>
      <c r="C39" s="5" t="s">
        <v>172</v>
      </c>
      <c r="D39" s="10">
        <v>6.3596638655462199</v>
      </c>
      <c r="E39" s="10">
        <f>F39*SQRT(17)</f>
        <v>3.3816395719351577</v>
      </c>
      <c r="F39" s="10">
        <v>0.82016806722689095</v>
      </c>
    </row>
    <row r="40" spans="1:11" x14ac:dyDescent="0.55000000000000004">
      <c r="A40" s="59"/>
      <c r="B40" s="5"/>
      <c r="C40" s="5" t="s">
        <v>173</v>
      </c>
      <c r="D40" s="10">
        <v>6.3865546218487399</v>
      </c>
      <c r="E40" s="10">
        <f>F40*SQRT(17)</f>
        <v>1.7185381431145648</v>
      </c>
      <c r="F40" s="10">
        <v>0.41680672268906999</v>
      </c>
    </row>
    <row r="41" spans="1:11" x14ac:dyDescent="0.55000000000000004">
      <c r="A41" s="59"/>
      <c r="B41" s="5"/>
      <c r="C41" s="5"/>
    </row>
    <row r="42" spans="1:11" x14ac:dyDescent="0.55000000000000004">
      <c r="A42" s="59"/>
      <c r="B42" s="5"/>
    </row>
    <row r="43" spans="1:11" x14ac:dyDescent="0.55000000000000004">
      <c r="A43" s="59"/>
      <c r="B43" s="5"/>
      <c r="C43" s="5"/>
    </row>
    <row r="44" spans="1:11" x14ac:dyDescent="0.55000000000000004">
      <c r="A44" s="59"/>
      <c r="B44" s="5"/>
      <c r="C44" s="5"/>
    </row>
    <row r="45" spans="1:11" x14ac:dyDescent="0.55000000000000004">
      <c r="A45" s="59"/>
      <c r="B45" s="5" t="s">
        <v>61</v>
      </c>
      <c r="C45" s="5"/>
    </row>
    <row r="46" spans="1:11" x14ac:dyDescent="0.55000000000000004">
      <c r="A46" s="59"/>
      <c r="B46" s="5"/>
      <c r="C46" s="5"/>
    </row>
    <row r="47" spans="1:11" x14ac:dyDescent="0.55000000000000004">
      <c r="A47" s="59"/>
      <c r="B47" s="5"/>
      <c r="C47" s="5"/>
    </row>
    <row r="48" spans="1:11" x14ac:dyDescent="0.55000000000000004">
      <c r="A48" s="59"/>
      <c r="B48" s="5"/>
      <c r="C48" s="5"/>
    </row>
    <row r="49" spans="1:3" x14ac:dyDescent="0.55000000000000004">
      <c r="A49" s="59"/>
      <c r="B49" s="5"/>
      <c r="C49" s="5"/>
    </row>
    <row r="50" spans="1:3" x14ac:dyDescent="0.55000000000000004">
      <c r="A50" s="59"/>
      <c r="B50" s="5"/>
      <c r="C50" s="5"/>
    </row>
    <row r="51" spans="1:3" x14ac:dyDescent="0.55000000000000004">
      <c r="A51" s="59"/>
      <c r="B51" s="5"/>
      <c r="C51" s="5"/>
    </row>
    <row r="52" spans="1:3" x14ac:dyDescent="0.55000000000000004">
      <c r="A52" s="59"/>
      <c r="B52" s="5"/>
      <c r="C52" s="5"/>
    </row>
    <row r="53" spans="1:3" x14ac:dyDescent="0.55000000000000004">
      <c r="A53" s="59"/>
      <c r="B53" s="5"/>
      <c r="C53" s="5"/>
    </row>
    <row r="54" spans="1:3" x14ac:dyDescent="0.55000000000000004">
      <c r="A54" s="59"/>
      <c r="B54" s="5"/>
      <c r="C54" s="5"/>
    </row>
    <row r="55" spans="1:3" x14ac:dyDescent="0.55000000000000004">
      <c r="A55" s="59"/>
      <c r="B55" s="5"/>
    </row>
    <row r="56" spans="1:3" x14ac:dyDescent="0.55000000000000004">
      <c r="A56" s="59"/>
      <c r="B56" s="5"/>
    </row>
    <row r="57" spans="1:3" x14ac:dyDescent="0.55000000000000004">
      <c r="A57" s="59"/>
      <c r="B57" s="5"/>
    </row>
    <row r="58" spans="1:3" x14ac:dyDescent="0.55000000000000004">
      <c r="A58" s="59"/>
      <c r="B58" s="5"/>
      <c r="C58" s="5"/>
    </row>
    <row r="59" spans="1:3" x14ac:dyDescent="0.55000000000000004">
      <c r="A59" s="59"/>
      <c r="B59" s="5"/>
      <c r="C59" s="5"/>
    </row>
    <row r="60" spans="1:3" x14ac:dyDescent="0.55000000000000004">
      <c r="A60" s="59"/>
      <c r="B60" s="5"/>
      <c r="C60" s="5"/>
    </row>
    <row r="61" spans="1:3" x14ac:dyDescent="0.55000000000000004">
      <c r="A61" s="59"/>
      <c r="B61" s="5"/>
      <c r="C61" s="5"/>
    </row>
    <row r="62" spans="1:3" x14ac:dyDescent="0.55000000000000004">
      <c r="A62" s="59"/>
      <c r="B62" s="5"/>
      <c r="C62" s="5"/>
    </row>
    <row r="63" spans="1:3" x14ac:dyDescent="0.55000000000000004">
      <c r="A63" s="59"/>
      <c r="B63" s="5"/>
      <c r="C63" s="5"/>
    </row>
    <row r="64" spans="1:3" x14ac:dyDescent="0.55000000000000004">
      <c r="A64" s="59"/>
      <c r="B64" s="5"/>
      <c r="C64" s="5"/>
    </row>
    <row r="65" spans="1:5" x14ac:dyDescent="0.55000000000000004">
      <c r="A65" s="59"/>
      <c r="B65" s="5" t="s">
        <v>62</v>
      </c>
      <c r="C65" s="5"/>
      <c r="D65" s="2">
        <f>1/1440*300</f>
        <v>0.20833333333333334</v>
      </c>
      <c r="E65" s="18"/>
    </row>
    <row r="66" spans="1:5" x14ac:dyDescent="0.55000000000000004">
      <c r="A66" s="59"/>
      <c r="B66" s="5" t="s">
        <v>63</v>
      </c>
      <c r="C66" s="5"/>
      <c r="D66" s="2" t="s">
        <v>64</v>
      </c>
    </row>
    <row r="67" spans="1:5" ht="26.1" x14ac:dyDescent="0.55000000000000004">
      <c r="A67" s="59" t="s">
        <v>65</v>
      </c>
      <c r="B67" s="59"/>
      <c r="C67" s="5"/>
      <c r="D67" s="2" t="s">
        <v>174</v>
      </c>
    </row>
    <row r="68" spans="1:5" x14ac:dyDescent="0.55000000000000004">
      <c r="A68" s="3" t="s">
        <v>67</v>
      </c>
    </row>
    <row r="69" spans="1:5" x14ac:dyDescent="0.55000000000000004">
      <c r="A69" s="1" t="s">
        <v>68</v>
      </c>
      <c r="C69" s="1">
        <v>15</v>
      </c>
      <c r="D69" s="2">
        <v>26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AMJ69"/>
  <sheetViews>
    <sheetView topLeftCell="A18" zoomScale="90" zoomScaleNormal="90" workbookViewId="0">
      <selection activeCell="I38" sqref="I38"/>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1024" width="11.41796875" style="1"/>
  </cols>
  <sheetData>
    <row r="1" spans="1:4" x14ac:dyDescent="0.55000000000000004">
      <c r="A1" s="3" t="s">
        <v>0</v>
      </c>
      <c r="D1" s="2" t="s">
        <v>1072</v>
      </c>
    </row>
    <row r="2" spans="1:4" x14ac:dyDescent="0.55000000000000004">
      <c r="A2" s="58" t="s">
        <v>2</v>
      </c>
      <c r="B2" s="58"/>
      <c r="D2" s="1" t="s">
        <v>1073</v>
      </c>
    </row>
    <row r="3" spans="1:4" x14ac:dyDescent="0.55000000000000004">
      <c r="A3" s="58"/>
      <c r="B3" s="58"/>
      <c r="C3" s="5" t="s">
        <v>4</v>
      </c>
      <c r="D3" s="2" t="s">
        <v>1074</v>
      </c>
    </row>
    <row r="4" spans="1:4" x14ac:dyDescent="0.55000000000000004">
      <c r="A4" s="58"/>
      <c r="B4" s="58"/>
      <c r="C4" s="5" t="s">
        <v>6</v>
      </c>
      <c r="D4" s="2">
        <v>2018</v>
      </c>
    </row>
    <row r="5" spans="1:4" ht="39" x14ac:dyDescent="0.55000000000000004">
      <c r="A5" s="58"/>
      <c r="B5" s="58"/>
      <c r="C5" s="5" t="s">
        <v>7</v>
      </c>
      <c r="D5" s="2" t="s">
        <v>1075</v>
      </c>
    </row>
    <row r="6" spans="1:4" x14ac:dyDescent="0.55000000000000004">
      <c r="A6" s="58"/>
      <c r="B6" s="58"/>
      <c r="C6" s="5" t="s">
        <v>9</v>
      </c>
      <c r="D6" s="2" t="s">
        <v>1076</v>
      </c>
    </row>
    <row r="7" spans="1:4" x14ac:dyDescent="0.55000000000000004">
      <c r="A7" s="58"/>
      <c r="B7" s="58"/>
      <c r="C7" s="5" t="s">
        <v>11</v>
      </c>
      <c r="D7" s="2" t="s">
        <v>12</v>
      </c>
    </row>
    <row r="8" spans="1:4" x14ac:dyDescent="0.55000000000000004">
      <c r="A8" s="59" t="s">
        <v>13</v>
      </c>
      <c r="B8" s="59"/>
      <c r="C8" s="5"/>
    </row>
    <row r="9" spans="1:4" ht="26.1" x14ac:dyDescent="0.55000000000000004">
      <c r="A9" s="58"/>
      <c r="B9" s="58"/>
      <c r="C9" s="5" t="s">
        <v>14</v>
      </c>
      <c r="D9" s="2" t="s">
        <v>1077</v>
      </c>
    </row>
    <row r="10" spans="1:4" x14ac:dyDescent="0.55000000000000004">
      <c r="A10" s="58"/>
      <c r="B10" s="58"/>
      <c r="C10" s="5" t="s">
        <v>16</v>
      </c>
      <c r="D10" s="2" t="s">
        <v>165</v>
      </c>
    </row>
    <row r="11" spans="1:4" x14ac:dyDescent="0.55000000000000004">
      <c r="A11" s="58"/>
      <c r="B11" s="58"/>
      <c r="C11" s="5" t="s">
        <v>19</v>
      </c>
      <c r="D11" s="2" t="s">
        <v>20</v>
      </c>
    </row>
    <row r="12" spans="1:4" x14ac:dyDescent="0.55000000000000004">
      <c r="A12" s="58"/>
      <c r="B12" s="58"/>
      <c r="C12" s="5" t="s">
        <v>21</v>
      </c>
      <c r="D12" s="2" t="s">
        <v>20</v>
      </c>
    </row>
    <row r="13" spans="1:4" x14ac:dyDescent="0.55000000000000004">
      <c r="A13" s="58"/>
      <c r="B13" s="58"/>
      <c r="C13" s="5" t="s">
        <v>22</v>
      </c>
    </row>
    <row r="14" spans="1:4" x14ac:dyDescent="0.55000000000000004">
      <c r="A14" s="59" t="s">
        <v>24</v>
      </c>
      <c r="B14" s="59"/>
      <c r="C14" s="5"/>
    </row>
    <row r="15" spans="1:4" x14ac:dyDescent="0.55000000000000004">
      <c r="A15" s="58"/>
      <c r="B15" s="58"/>
      <c r="C15" s="5" t="s">
        <v>25</v>
      </c>
      <c r="D15" s="2" t="s">
        <v>553</v>
      </c>
    </row>
    <row r="16" spans="1:4" ht="26.1" x14ac:dyDescent="0.55000000000000004">
      <c r="A16" s="58"/>
      <c r="B16" s="58"/>
      <c r="C16" s="5" t="s">
        <v>27</v>
      </c>
      <c r="D16" s="2" t="s">
        <v>1089</v>
      </c>
    </row>
    <row r="17" spans="1:6" x14ac:dyDescent="0.55000000000000004">
      <c r="A17" s="59" t="s">
        <v>29</v>
      </c>
      <c r="B17" s="59"/>
      <c r="C17" s="5"/>
    </row>
    <row r="18" spans="1:6" x14ac:dyDescent="0.55000000000000004">
      <c r="A18" s="58"/>
      <c r="B18" s="58"/>
      <c r="C18" s="5" t="s">
        <v>30</v>
      </c>
      <c r="D18" s="2" t="s">
        <v>20</v>
      </c>
    </row>
    <row r="19" spans="1:6" x14ac:dyDescent="0.55000000000000004">
      <c r="A19" s="58"/>
      <c r="B19" s="58"/>
      <c r="C19" s="5" t="s">
        <v>32</v>
      </c>
      <c r="D19" s="2" t="s">
        <v>20</v>
      </c>
    </row>
    <row r="20" spans="1:6" x14ac:dyDescent="0.55000000000000004">
      <c r="A20" s="59" t="s">
        <v>34</v>
      </c>
      <c r="B20" s="59"/>
      <c r="C20" s="5"/>
      <c r="D20" s="2" t="s">
        <v>1072</v>
      </c>
      <c r="E20" s="1" t="s">
        <v>109</v>
      </c>
      <c r="F20" s="1" t="s">
        <v>35</v>
      </c>
    </row>
    <row r="21" spans="1:6" x14ac:dyDescent="0.55000000000000004">
      <c r="A21" s="58"/>
      <c r="B21" s="58"/>
      <c r="C21" s="5" t="s">
        <v>36</v>
      </c>
      <c r="D21" s="2" t="s">
        <v>20</v>
      </c>
    </row>
    <row r="22" spans="1:6" x14ac:dyDescent="0.55000000000000004">
      <c r="A22" s="58"/>
      <c r="B22" s="58"/>
      <c r="C22" s="5" t="s">
        <v>37</v>
      </c>
      <c r="F22" s="1">
        <v>422</v>
      </c>
    </row>
    <row r="23" spans="1:6" x14ac:dyDescent="0.55000000000000004">
      <c r="A23" s="58"/>
      <c r="B23" s="58"/>
      <c r="C23" s="5" t="s">
        <v>38</v>
      </c>
      <c r="D23" s="2">
        <f>86+164</f>
        <v>250</v>
      </c>
      <c r="E23" s="1">
        <f>68+102</f>
        <v>170</v>
      </c>
      <c r="F23" s="1">
        <f>SUM(D23:E23)</f>
        <v>420</v>
      </c>
    </row>
    <row r="24" spans="1:6" x14ac:dyDescent="0.55000000000000004">
      <c r="A24" s="58"/>
      <c r="B24" s="58"/>
      <c r="C24" s="5" t="s">
        <v>39</v>
      </c>
      <c r="D24" s="2">
        <v>1</v>
      </c>
      <c r="E24" s="1">
        <v>1</v>
      </c>
      <c r="F24" s="1">
        <v>2</v>
      </c>
    </row>
    <row r="25" spans="1:6" x14ac:dyDescent="0.55000000000000004">
      <c r="A25" s="58"/>
      <c r="B25" s="58"/>
      <c r="C25" s="5" t="s">
        <v>40</v>
      </c>
      <c r="D25" s="7">
        <f>95/D23</f>
        <v>0.38</v>
      </c>
      <c r="E25" s="10">
        <f>86/E23</f>
        <v>0.50588235294117645</v>
      </c>
      <c r="F25" s="10">
        <f>(95+86)/F23</f>
        <v>0.43095238095238098</v>
      </c>
    </row>
    <row r="26" spans="1:6" x14ac:dyDescent="0.55000000000000004">
      <c r="A26" s="58"/>
      <c r="B26" s="58"/>
      <c r="C26" s="5" t="s">
        <v>41</v>
      </c>
      <c r="D26" s="7">
        <f>((73.6*86)+(61.3*164))/D23</f>
        <v>65.531199999999998</v>
      </c>
      <c r="E26" s="7">
        <f>((73.2*68)+(61.4*102))/E23</f>
        <v>66.12</v>
      </c>
      <c r="F26" s="10">
        <f>(D26*D23+E26*E23)/SUM(D23:E23)</f>
        <v>65.769523809523818</v>
      </c>
    </row>
    <row r="27" spans="1:6" x14ac:dyDescent="0.55000000000000004">
      <c r="A27" s="58"/>
      <c r="B27" s="58"/>
      <c r="C27" s="5" t="s">
        <v>42</v>
      </c>
      <c r="D27" s="7">
        <f>SQRT((86*(2.8^2+(5.4896-2.8)^2)+164*(6.9^2+(5.4896-6.9)^2))/250)</f>
        <v>6.1418671297904197</v>
      </c>
      <c r="E27" s="10">
        <f>SQRT((68*(2.7^2+(5.28-2.7)^2)+102*(7^2+(5.28-7)^2))/170)</f>
        <v>6.0624747422154259</v>
      </c>
      <c r="F27" s="10">
        <f>SQRT((D23*(D27^2+(F$26-D26)^2)+E23*(E27^2+(F$26-E26)^2))/F$23)</f>
        <v>6.1166879897309476</v>
      </c>
    </row>
    <row r="28" spans="1:6" x14ac:dyDescent="0.55000000000000004">
      <c r="A28" s="58"/>
      <c r="B28" s="58"/>
      <c r="C28" s="5" t="s">
        <v>43</v>
      </c>
      <c r="D28" s="2" t="s">
        <v>20</v>
      </c>
      <c r="E28" s="1" t="s">
        <v>20</v>
      </c>
      <c r="F28" s="1" t="s">
        <v>20</v>
      </c>
    </row>
    <row r="29" spans="1:6" x14ac:dyDescent="0.55000000000000004">
      <c r="A29" s="58"/>
      <c r="B29" s="58"/>
      <c r="C29" s="5" t="s">
        <v>44</v>
      </c>
      <c r="D29" s="2">
        <v>2</v>
      </c>
      <c r="E29" s="1">
        <v>2</v>
      </c>
      <c r="F29" s="1">
        <v>2</v>
      </c>
    </row>
    <row r="30" spans="1:6" x14ac:dyDescent="0.55000000000000004">
      <c r="A30" s="58"/>
      <c r="B30" s="58"/>
      <c r="C30" s="5" t="s">
        <v>45</v>
      </c>
      <c r="D30" s="7">
        <f>((27.59*86)+(164*26.1))/D23</f>
        <v>26.612560000000002</v>
      </c>
      <c r="E30" s="10">
        <f>((26.91*68)+(102*25.3))/E23</f>
        <v>25.943999999999999</v>
      </c>
      <c r="F30" s="10">
        <f>(D30*D$23+E30*E$23)/SUM(D$23:E$23)</f>
        <v>26.341952380952378</v>
      </c>
    </row>
    <row r="31" spans="1:6" x14ac:dyDescent="0.55000000000000004">
      <c r="A31" s="58"/>
      <c r="B31" s="58"/>
      <c r="C31" s="5" t="s">
        <v>46</v>
      </c>
      <c r="D31" s="7">
        <f>SQRT((86*(11.38^2+(11.18976-11.38)^2)+164*(11.09^2+(11.09-11.18976)^2))/250)</f>
        <v>11.191455917010977</v>
      </c>
      <c r="E31" s="10">
        <f>SQRT((68*(10.46^2+(10.46-10.358)^2)+102*(10.29^2+(10.29-10.358)^2))/170)</f>
        <v>10.358669605697443</v>
      </c>
      <c r="F31" s="10">
        <f>SQRT((D23*(D31^2+(F$30-D30)^2)+E23*(E31^2+(F$30-E30)^2))/F$23)</f>
        <v>10.867026016156752</v>
      </c>
    </row>
    <row r="32" spans="1:6" x14ac:dyDescent="0.55000000000000004">
      <c r="A32" s="59" t="s">
        <v>47</v>
      </c>
      <c r="B32" s="59"/>
      <c r="C32" s="5"/>
    </row>
    <row r="33" spans="1:13" ht="39" x14ac:dyDescent="0.55000000000000004">
      <c r="A33" s="58"/>
      <c r="B33" s="58"/>
      <c r="C33" s="5" t="s">
        <v>48</v>
      </c>
      <c r="D33" s="2" t="s">
        <v>1090</v>
      </c>
    </row>
    <row r="34" spans="1:13" x14ac:dyDescent="0.55000000000000004">
      <c r="A34" s="59" t="s">
        <v>50</v>
      </c>
      <c r="B34" s="59"/>
      <c r="C34" s="5"/>
    </row>
    <row r="35" spans="1:13" x14ac:dyDescent="0.55000000000000004">
      <c r="A35" s="8"/>
      <c r="B35" s="8"/>
      <c r="C35" s="5"/>
    </row>
    <row r="36" spans="1:13" x14ac:dyDescent="0.55000000000000004">
      <c r="A36" s="59"/>
      <c r="B36" s="5" t="s">
        <v>59</v>
      </c>
      <c r="C36" s="5"/>
      <c r="D36" s="2" t="s">
        <v>51</v>
      </c>
      <c r="E36" s="1" t="s">
        <v>52</v>
      </c>
      <c r="F36" s="1" t="s">
        <v>53</v>
      </c>
      <c r="G36" s="1" t="s">
        <v>54</v>
      </c>
      <c r="H36" s="1" t="s">
        <v>55</v>
      </c>
      <c r="I36" s="1" t="s">
        <v>56</v>
      </c>
      <c r="J36" s="1" t="s">
        <v>57</v>
      </c>
      <c r="K36" s="1" t="s">
        <v>1082</v>
      </c>
      <c r="L36" s="1" t="s">
        <v>1083</v>
      </c>
      <c r="M36" s="1" t="s">
        <v>1084</v>
      </c>
    </row>
    <row r="37" spans="1:13" x14ac:dyDescent="0.55000000000000004">
      <c r="A37" s="59"/>
      <c r="B37" s="5"/>
      <c r="C37" s="5" t="s">
        <v>1085</v>
      </c>
      <c r="D37" s="7">
        <v>-2.2200000000000002</v>
      </c>
      <c r="E37" s="10"/>
      <c r="I37" s="1">
        <f>0.0001-0.00001</f>
        <v>9.0000000000000006E-5</v>
      </c>
      <c r="K37" s="1">
        <v>-1.34</v>
      </c>
      <c r="L37" s="1">
        <v>-1.91</v>
      </c>
      <c r="M37" s="1">
        <v>-0.78</v>
      </c>
    </row>
    <row r="38" spans="1:13" x14ac:dyDescent="0.55000000000000004">
      <c r="A38" s="59"/>
      <c r="B38" s="5"/>
      <c r="C38" s="5" t="s">
        <v>1086</v>
      </c>
      <c r="D38" s="7">
        <v>-0.88</v>
      </c>
      <c r="E38" s="10"/>
    </row>
    <row r="39" spans="1:13" x14ac:dyDescent="0.55000000000000004">
      <c r="A39" s="59"/>
      <c r="B39" s="5"/>
      <c r="C39" s="5"/>
    </row>
    <row r="40" spans="1:13" x14ac:dyDescent="0.55000000000000004">
      <c r="A40" s="59"/>
      <c r="B40" s="5"/>
      <c r="C40" s="5"/>
    </row>
    <row r="41" spans="1:13" x14ac:dyDescent="0.55000000000000004">
      <c r="A41" s="59"/>
      <c r="B41" s="5"/>
      <c r="C41" s="5"/>
    </row>
    <row r="42" spans="1:13" x14ac:dyDescent="0.55000000000000004">
      <c r="A42" s="59"/>
      <c r="B42" s="5"/>
      <c r="C42" s="5"/>
    </row>
    <row r="43" spans="1:13" x14ac:dyDescent="0.55000000000000004">
      <c r="A43" s="59"/>
      <c r="B43" s="5"/>
      <c r="C43" s="5"/>
    </row>
    <row r="44" spans="1:13" x14ac:dyDescent="0.55000000000000004">
      <c r="A44" s="59"/>
      <c r="B44" s="5"/>
      <c r="C44" s="5"/>
    </row>
    <row r="45" spans="1:13" x14ac:dyDescent="0.55000000000000004">
      <c r="A45" s="59"/>
      <c r="B45" s="5" t="s">
        <v>61</v>
      </c>
      <c r="C45" s="5"/>
    </row>
    <row r="46" spans="1:13" x14ac:dyDescent="0.55000000000000004">
      <c r="A46" s="59"/>
      <c r="B46" s="5"/>
      <c r="C46" s="5"/>
    </row>
    <row r="47" spans="1:13" x14ac:dyDescent="0.55000000000000004">
      <c r="A47" s="59"/>
      <c r="B47" s="5"/>
      <c r="C47" s="5"/>
    </row>
    <row r="48" spans="1:13" x14ac:dyDescent="0.55000000000000004">
      <c r="A48" s="59"/>
      <c r="B48" s="5"/>
      <c r="C48" s="5"/>
    </row>
    <row r="49" spans="1:3" x14ac:dyDescent="0.55000000000000004">
      <c r="A49" s="59"/>
      <c r="B49" s="5"/>
      <c r="C49" s="5"/>
    </row>
    <row r="50" spans="1:3" x14ac:dyDescent="0.55000000000000004">
      <c r="A50" s="59"/>
      <c r="B50" s="5"/>
      <c r="C50" s="5"/>
    </row>
    <row r="51" spans="1:3" x14ac:dyDescent="0.55000000000000004">
      <c r="A51" s="59"/>
      <c r="B51" s="5"/>
      <c r="C51" s="5"/>
    </row>
    <row r="52" spans="1:3" x14ac:dyDescent="0.55000000000000004">
      <c r="A52" s="59"/>
      <c r="B52" s="5"/>
      <c r="C52" s="5"/>
    </row>
    <row r="53" spans="1:3" x14ac:dyDescent="0.55000000000000004">
      <c r="A53" s="59"/>
      <c r="B53" s="5"/>
      <c r="C53" s="5"/>
    </row>
    <row r="54" spans="1:3" x14ac:dyDescent="0.55000000000000004">
      <c r="A54" s="59"/>
      <c r="B54" s="5"/>
      <c r="C54" s="5"/>
    </row>
    <row r="55" spans="1:3" x14ac:dyDescent="0.55000000000000004">
      <c r="A55" s="59"/>
      <c r="B55" s="5"/>
      <c r="C55" s="5"/>
    </row>
    <row r="56" spans="1:3" x14ac:dyDescent="0.55000000000000004">
      <c r="A56" s="59"/>
      <c r="B56" s="5"/>
      <c r="C56" s="5"/>
    </row>
    <row r="57" spans="1:3" x14ac:dyDescent="0.55000000000000004">
      <c r="A57" s="59"/>
      <c r="B57" s="5"/>
      <c r="C57" s="5"/>
    </row>
    <row r="58" spans="1:3" x14ac:dyDescent="0.55000000000000004">
      <c r="A58" s="59"/>
      <c r="B58" s="5"/>
      <c r="C58" s="5"/>
    </row>
    <row r="59" spans="1:3" x14ac:dyDescent="0.55000000000000004">
      <c r="A59" s="59"/>
      <c r="B59" s="5"/>
      <c r="C59" s="5"/>
    </row>
    <row r="60" spans="1:3" x14ac:dyDescent="0.55000000000000004">
      <c r="A60" s="59"/>
      <c r="B60" s="5"/>
      <c r="C60" s="5"/>
    </row>
    <row r="61" spans="1:3" x14ac:dyDescent="0.55000000000000004">
      <c r="A61" s="59"/>
      <c r="B61" s="5"/>
      <c r="C61" s="5"/>
    </row>
    <row r="62" spans="1:3" x14ac:dyDescent="0.55000000000000004">
      <c r="A62" s="59"/>
      <c r="B62" s="5"/>
      <c r="C62" s="5"/>
    </row>
    <row r="63" spans="1:3" x14ac:dyDescent="0.55000000000000004">
      <c r="A63" s="59"/>
      <c r="B63" s="5"/>
      <c r="C63" s="5"/>
    </row>
    <row r="64" spans="1:3" x14ac:dyDescent="0.55000000000000004">
      <c r="A64" s="59"/>
      <c r="B64" s="5"/>
      <c r="C64" s="5"/>
    </row>
    <row r="65" spans="1:4" x14ac:dyDescent="0.55000000000000004">
      <c r="A65" s="59"/>
      <c r="B65" s="5" t="s">
        <v>62</v>
      </c>
      <c r="C65" s="5"/>
      <c r="D65" s="2">
        <v>84</v>
      </c>
    </row>
    <row r="66" spans="1:4" x14ac:dyDescent="0.55000000000000004">
      <c r="A66" s="59"/>
      <c r="B66" s="5" t="s">
        <v>63</v>
      </c>
      <c r="C66" s="5"/>
      <c r="D66" s="2" t="s">
        <v>1087</v>
      </c>
    </row>
    <row r="67" spans="1:4" ht="51.9" x14ac:dyDescent="0.55000000000000004">
      <c r="A67" s="59" t="s">
        <v>65</v>
      </c>
      <c r="B67" s="59"/>
      <c r="C67" s="5"/>
      <c r="D67" s="2" t="s">
        <v>1091</v>
      </c>
    </row>
    <row r="68" spans="1:4" x14ac:dyDescent="0.55000000000000004">
      <c r="A68" s="3" t="s">
        <v>67</v>
      </c>
    </row>
    <row r="69" spans="1:4" x14ac:dyDescent="0.55000000000000004">
      <c r="A69" s="1" t="s">
        <v>68</v>
      </c>
      <c r="C69" s="1">
        <v>20</v>
      </c>
      <c r="D69" s="2">
        <v>22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AMJ69"/>
  <sheetViews>
    <sheetView topLeftCell="A24" zoomScale="90" zoomScaleNormal="90" workbookViewId="0">
      <selection activeCell="D33" sqref="D33"/>
    </sheetView>
  </sheetViews>
  <sheetFormatPr baseColWidth="10" defaultColWidth="11" defaultRowHeight="14.4" x14ac:dyDescent="0.55000000000000004"/>
  <cols>
    <col min="1" max="1" width="11" style="1"/>
    <col min="2" max="2" width="15.41796875" style="1" customWidth="1"/>
    <col min="3" max="3" width="37.83984375" style="1" customWidth="1"/>
    <col min="4" max="4" width="54.15625" style="1" customWidth="1"/>
    <col min="5" max="1024" width="11" style="1"/>
  </cols>
  <sheetData>
    <row r="1" spans="1:4" x14ac:dyDescent="0.55000000000000004">
      <c r="A1" s="3" t="s">
        <v>0</v>
      </c>
      <c r="D1" s="2" t="s">
        <v>269</v>
      </c>
    </row>
    <row r="2" spans="1:4" x14ac:dyDescent="0.55000000000000004">
      <c r="A2" s="58" t="s">
        <v>2</v>
      </c>
      <c r="B2" s="58"/>
      <c r="D2" s="1" t="s">
        <v>1092</v>
      </c>
    </row>
    <row r="3" spans="1:4" x14ac:dyDescent="0.55000000000000004">
      <c r="A3" s="58"/>
      <c r="B3" s="58"/>
      <c r="C3" s="5" t="s">
        <v>4</v>
      </c>
      <c r="D3" s="2" t="s">
        <v>1093</v>
      </c>
    </row>
    <row r="4" spans="1:4" x14ac:dyDescent="0.55000000000000004">
      <c r="A4" s="58"/>
      <c r="B4" s="58"/>
      <c r="C4" s="5" t="s">
        <v>6</v>
      </c>
      <c r="D4" s="2">
        <v>2007</v>
      </c>
    </row>
    <row r="5" spans="1:4" x14ac:dyDescent="0.55000000000000004">
      <c r="A5" s="58"/>
      <c r="B5" s="58"/>
      <c r="C5" s="5" t="s">
        <v>7</v>
      </c>
      <c r="D5" s="1" t="s">
        <v>1094</v>
      </c>
    </row>
    <row r="6" spans="1:4" x14ac:dyDescent="0.55000000000000004">
      <c r="A6" s="58"/>
      <c r="B6" s="58"/>
      <c r="C6" s="5" t="s">
        <v>9</v>
      </c>
      <c r="D6" s="2" t="s">
        <v>1095</v>
      </c>
    </row>
    <row r="7" spans="1:4" x14ac:dyDescent="0.55000000000000004">
      <c r="A7" s="58"/>
      <c r="B7" s="58"/>
      <c r="C7" s="5" t="s">
        <v>11</v>
      </c>
      <c r="D7" s="2" t="s">
        <v>12</v>
      </c>
    </row>
    <row r="8" spans="1:4" x14ac:dyDescent="0.55000000000000004">
      <c r="A8" s="59" t="s">
        <v>13</v>
      </c>
      <c r="B8" s="59"/>
      <c r="C8" s="5"/>
      <c r="D8" s="2"/>
    </row>
    <row r="9" spans="1:4" ht="51.9" x14ac:dyDescent="0.55000000000000004">
      <c r="A9" s="58"/>
      <c r="B9" s="58"/>
      <c r="C9" s="5" t="s">
        <v>14</v>
      </c>
      <c r="D9" s="2" t="s">
        <v>1096</v>
      </c>
    </row>
    <row r="10" spans="1:4" x14ac:dyDescent="0.55000000000000004">
      <c r="A10" s="58"/>
      <c r="B10" s="58"/>
      <c r="C10" s="5" t="s">
        <v>16</v>
      </c>
      <c r="D10" s="2" t="s">
        <v>165</v>
      </c>
    </row>
    <row r="11" spans="1:4" x14ac:dyDescent="0.55000000000000004">
      <c r="A11" s="58"/>
      <c r="B11" s="58"/>
      <c r="C11" s="5" t="s">
        <v>19</v>
      </c>
      <c r="D11" s="2" t="s">
        <v>20</v>
      </c>
    </row>
    <row r="12" spans="1:4" x14ac:dyDescent="0.55000000000000004">
      <c r="A12" s="58"/>
      <c r="B12" s="58"/>
      <c r="C12" s="5" t="s">
        <v>21</v>
      </c>
      <c r="D12" s="2" t="s">
        <v>20</v>
      </c>
    </row>
    <row r="13" spans="1:4" x14ac:dyDescent="0.55000000000000004">
      <c r="A13" s="58"/>
      <c r="B13" s="58"/>
      <c r="C13" s="5" t="s">
        <v>22</v>
      </c>
      <c r="D13" s="2" t="s">
        <v>1097</v>
      </c>
    </row>
    <row r="14" spans="1:4" x14ac:dyDescent="0.55000000000000004">
      <c r="A14" s="59" t="s">
        <v>24</v>
      </c>
      <c r="B14" s="59"/>
      <c r="C14" s="5"/>
      <c r="D14" s="2"/>
    </row>
    <row r="15" spans="1:4" x14ac:dyDescent="0.55000000000000004">
      <c r="A15" s="58"/>
      <c r="B15" s="58"/>
      <c r="C15" s="5" t="s">
        <v>25</v>
      </c>
      <c r="D15" s="2" t="s">
        <v>418</v>
      </c>
    </row>
    <row r="16" spans="1:4" x14ac:dyDescent="0.55000000000000004">
      <c r="A16" s="58"/>
      <c r="B16" s="58"/>
      <c r="C16" s="5" t="s">
        <v>27</v>
      </c>
      <c r="D16" s="2" t="s">
        <v>1098</v>
      </c>
    </row>
    <row r="17" spans="1:4" x14ac:dyDescent="0.55000000000000004">
      <c r="A17" s="59" t="s">
        <v>29</v>
      </c>
      <c r="B17" s="59"/>
      <c r="C17" s="5"/>
      <c r="D17" s="2"/>
    </row>
    <row r="18" spans="1:4" ht="26.1" x14ac:dyDescent="0.55000000000000004">
      <c r="A18" s="58"/>
      <c r="B18" s="58"/>
      <c r="C18" s="5" t="s">
        <v>30</v>
      </c>
      <c r="D18" s="2" t="s">
        <v>1099</v>
      </c>
    </row>
    <row r="19" spans="1:4" ht="39" x14ac:dyDescent="0.55000000000000004">
      <c r="A19" s="58"/>
      <c r="B19" s="58"/>
      <c r="C19" s="5" t="s">
        <v>32</v>
      </c>
      <c r="D19" s="2" t="s">
        <v>1100</v>
      </c>
    </row>
    <row r="20" spans="1:4" x14ac:dyDescent="0.55000000000000004">
      <c r="A20" s="59" t="s">
        <v>34</v>
      </c>
      <c r="B20" s="59"/>
      <c r="C20" s="5"/>
      <c r="D20" s="2" t="s">
        <v>35</v>
      </c>
    </row>
    <row r="21" spans="1:4" x14ac:dyDescent="0.55000000000000004">
      <c r="A21" s="58"/>
      <c r="B21" s="58"/>
      <c r="C21" s="5" t="s">
        <v>36</v>
      </c>
      <c r="D21" s="2">
        <v>13</v>
      </c>
    </row>
    <row r="22" spans="1:4" x14ac:dyDescent="0.55000000000000004">
      <c r="A22" s="58"/>
      <c r="B22" s="58"/>
      <c r="C22" s="5" t="s">
        <v>37</v>
      </c>
      <c r="D22" s="2">
        <v>12</v>
      </c>
    </row>
    <row r="23" spans="1:4" x14ac:dyDescent="0.55000000000000004">
      <c r="A23" s="58"/>
      <c r="B23" s="58"/>
      <c r="C23" s="5" t="s">
        <v>38</v>
      </c>
      <c r="D23" s="2">
        <v>12</v>
      </c>
    </row>
    <row r="24" spans="1:4" x14ac:dyDescent="0.55000000000000004">
      <c r="A24" s="58"/>
      <c r="B24" s="58"/>
      <c r="C24" s="5" t="s">
        <v>39</v>
      </c>
      <c r="D24" s="2">
        <v>0</v>
      </c>
    </row>
    <row r="25" spans="1:4" x14ac:dyDescent="0.55000000000000004">
      <c r="A25" s="58"/>
      <c r="B25" s="58"/>
      <c r="C25" s="5" t="s">
        <v>40</v>
      </c>
      <c r="D25" s="7">
        <f>4/12</f>
        <v>0.33333333333333331</v>
      </c>
    </row>
    <row r="26" spans="1:4" x14ac:dyDescent="0.55000000000000004">
      <c r="A26" s="58"/>
      <c r="B26" s="58"/>
      <c r="C26" s="5" t="s">
        <v>41</v>
      </c>
      <c r="D26" s="2">
        <v>65</v>
      </c>
    </row>
    <row r="27" spans="1:4" x14ac:dyDescent="0.55000000000000004">
      <c r="A27" s="58"/>
      <c r="B27" s="58"/>
      <c r="C27" s="5" t="s">
        <v>42</v>
      </c>
      <c r="D27" s="2" t="s">
        <v>20</v>
      </c>
    </row>
    <row r="28" spans="1:4" x14ac:dyDescent="0.55000000000000004">
      <c r="A28" s="58"/>
      <c r="B28" s="58"/>
      <c r="C28" s="5" t="s">
        <v>43</v>
      </c>
      <c r="D28" s="2" t="s">
        <v>20</v>
      </c>
    </row>
    <row r="29" spans="1:4" x14ac:dyDescent="0.55000000000000004">
      <c r="A29" s="58"/>
      <c r="B29" s="58"/>
      <c r="C29" s="5" t="s">
        <v>44</v>
      </c>
      <c r="D29" s="2">
        <v>3</v>
      </c>
    </row>
    <row r="30" spans="1:4" x14ac:dyDescent="0.55000000000000004">
      <c r="A30" s="58"/>
      <c r="B30" s="58"/>
      <c r="C30" s="5" t="s">
        <v>45</v>
      </c>
      <c r="D30" s="2" t="s">
        <v>20</v>
      </c>
    </row>
    <row r="31" spans="1:4" x14ac:dyDescent="0.55000000000000004">
      <c r="A31" s="58"/>
      <c r="B31" s="58"/>
      <c r="C31" s="5" t="s">
        <v>46</v>
      </c>
      <c r="D31" s="2" t="s">
        <v>20</v>
      </c>
    </row>
    <row r="32" spans="1:4" x14ac:dyDescent="0.55000000000000004">
      <c r="A32" s="59" t="s">
        <v>47</v>
      </c>
      <c r="B32" s="59"/>
      <c r="C32" s="5"/>
      <c r="D32" s="2"/>
    </row>
    <row r="33" spans="1:10" ht="64.8" x14ac:dyDescent="0.55000000000000004">
      <c r="A33" s="58"/>
      <c r="B33" s="58"/>
      <c r="C33" s="5" t="s">
        <v>48</v>
      </c>
      <c r="D33" s="2" t="s">
        <v>1101</v>
      </c>
    </row>
    <row r="34" spans="1:10" x14ac:dyDescent="0.55000000000000004">
      <c r="A34" s="59" t="s">
        <v>50</v>
      </c>
      <c r="B34" s="59"/>
      <c r="C34" s="5"/>
      <c r="D34" s="2"/>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9"/>
      <c r="B36" s="5" t="s">
        <v>59</v>
      </c>
      <c r="C36" s="5"/>
      <c r="D36" s="2"/>
    </row>
    <row r="37" spans="1:10" x14ac:dyDescent="0.55000000000000004">
      <c r="A37" s="59"/>
      <c r="B37" s="5"/>
    </row>
    <row r="38" spans="1:10" x14ac:dyDescent="0.55000000000000004">
      <c r="A38" s="59"/>
      <c r="B38" s="5"/>
    </row>
    <row r="39" spans="1:10" x14ac:dyDescent="0.55000000000000004">
      <c r="A39" s="59"/>
      <c r="B39" s="5"/>
    </row>
    <row r="40" spans="1:10" x14ac:dyDescent="0.55000000000000004">
      <c r="A40" s="59"/>
      <c r="B40" s="5"/>
    </row>
    <row r="41" spans="1:10" x14ac:dyDescent="0.55000000000000004">
      <c r="A41" s="59"/>
      <c r="B41" s="5"/>
      <c r="C41" s="5"/>
      <c r="D41" s="2"/>
    </row>
    <row r="42" spans="1:10" x14ac:dyDescent="0.55000000000000004">
      <c r="A42" s="59"/>
      <c r="B42" s="5"/>
      <c r="C42" s="5"/>
      <c r="D42" s="2"/>
    </row>
    <row r="43" spans="1:10" x14ac:dyDescent="0.55000000000000004">
      <c r="A43" s="59"/>
      <c r="B43" s="5"/>
      <c r="C43" s="5"/>
      <c r="D43" s="2"/>
    </row>
    <row r="44" spans="1:10" x14ac:dyDescent="0.55000000000000004">
      <c r="A44" s="59"/>
      <c r="B44" s="5"/>
      <c r="C44" s="5"/>
      <c r="D44" s="2"/>
    </row>
    <row r="45" spans="1:10" x14ac:dyDescent="0.55000000000000004">
      <c r="A45" s="59"/>
      <c r="B45" s="5" t="s">
        <v>61</v>
      </c>
      <c r="C45" s="5"/>
      <c r="D45" s="2"/>
    </row>
    <row r="46" spans="1:10" x14ac:dyDescent="0.55000000000000004">
      <c r="A46" s="59"/>
      <c r="B46" s="5"/>
      <c r="C46" s="5" t="s">
        <v>1102</v>
      </c>
      <c r="D46" s="2" t="s">
        <v>1103</v>
      </c>
    </row>
    <row r="47" spans="1:10" x14ac:dyDescent="0.55000000000000004">
      <c r="A47" s="59"/>
      <c r="B47" s="5"/>
      <c r="C47" s="5" t="s">
        <v>1104</v>
      </c>
      <c r="D47" s="2" t="s">
        <v>1105</v>
      </c>
    </row>
    <row r="48" spans="1:10" x14ac:dyDescent="0.55000000000000004">
      <c r="A48" s="59"/>
      <c r="B48" s="5"/>
      <c r="C48" s="5" t="s">
        <v>1106</v>
      </c>
      <c r="D48" s="2"/>
    </row>
    <row r="49" spans="1:4" x14ac:dyDescent="0.55000000000000004">
      <c r="A49" s="59"/>
      <c r="B49" s="5"/>
      <c r="C49" s="5" t="s">
        <v>1107</v>
      </c>
      <c r="D49" s="2"/>
    </row>
    <row r="50" spans="1:4" x14ac:dyDescent="0.55000000000000004">
      <c r="A50" s="59"/>
      <c r="B50" s="5"/>
      <c r="C50" s="5"/>
      <c r="D50" s="2"/>
    </row>
    <row r="51" spans="1:4" x14ac:dyDescent="0.55000000000000004">
      <c r="A51" s="59"/>
      <c r="B51" s="5"/>
      <c r="C51" s="5"/>
      <c r="D51" s="2"/>
    </row>
    <row r="52" spans="1:4" x14ac:dyDescent="0.55000000000000004">
      <c r="A52" s="59"/>
      <c r="B52" s="5"/>
      <c r="C52" s="5"/>
      <c r="D52" s="2"/>
    </row>
    <row r="53" spans="1:4" x14ac:dyDescent="0.55000000000000004">
      <c r="A53" s="59"/>
      <c r="B53" s="5"/>
      <c r="C53" s="5"/>
      <c r="D53" s="2"/>
    </row>
    <row r="54" spans="1:4" x14ac:dyDescent="0.55000000000000004">
      <c r="A54" s="59"/>
      <c r="B54" s="5"/>
      <c r="C54" s="5"/>
      <c r="D54" s="2"/>
    </row>
    <row r="55" spans="1:4" x14ac:dyDescent="0.55000000000000004">
      <c r="A55" s="59"/>
      <c r="B55" s="5"/>
      <c r="C55" s="5"/>
      <c r="D55" s="2"/>
    </row>
    <row r="56" spans="1:4" x14ac:dyDescent="0.55000000000000004">
      <c r="A56" s="59"/>
      <c r="B56" s="5"/>
      <c r="C56" s="5"/>
      <c r="D56" s="2"/>
    </row>
    <row r="57" spans="1:4" x14ac:dyDescent="0.55000000000000004">
      <c r="A57" s="59"/>
      <c r="B57" s="5"/>
      <c r="C57" s="5"/>
      <c r="D57" s="2"/>
    </row>
    <row r="58" spans="1:4" x14ac:dyDescent="0.55000000000000004">
      <c r="A58" s="59"/>
      <c r="B58" s="5"/>
      <c r="C58" s="5"/>
      <c r="D58" s="2"/>
    </row>
    <row r="59" spans="1:4" x14ac:dyDescent="0.55000000000000004">
      <c r="A59" s="59"/>
      <c r="B59" s="5"/>
      <c r="C59" s="5"/>
      <c r="D59" s="2"/>
    </row>
    <row r="60" spans="1:4" x14ac:dyDescent="0.55000000000000004">
      <c r="A60" s="59"/>
      <c r="B60" s="5"/>
      <c r="C60" s="5"/>
      <c r="D60" s="2"/>
    </row>
    <row r="61" spans="1:4" x14ac:dyDescent="0.55000000000000004">
      <c r="A61" s="59"/>
      <c r="B61" s="5"/>
      <c r="C61" s="5"/>
      <c r="D61" s="2"/>
    </row>
    <row r="62" spans="1:4" x14ac:dyDescent="0.55000000000000004">
      <c r="A62" s="59"/>
      <c r="B62" s="5"/>
    </row>
    <row r="63" spans="1:4" x14ac:dyDescent="0.55000000000000004">
      <c r="A63" s="59"/>
      <c r="B63" s="5"/>
      <c r="C63" s="5"/>
      <c r="D63" s="2"/>
    </row>
    <row r="64" spans="1:4" x14ac:dyDescent="0.55000000000000004">
      <c r="A64" s="59"/>
      <c r="B64" s="5"/>
      <c r="C64" s="5"/>
      <c r="D64" s="2"/>
    </row>
    <row r="65" spans="1:4" x14ac:dyDescent="0.55000000000000004">
      <c r="A65" s="59"/>
      <c r="B65" s="5" t="s">
        <v>62</v>
      </c>
      <c r="C65" s="5"/>
      <c r="D65" s="2">
        <v>14</v>
      </c>
    </row>
    <row r="66" spans="1:4" x14ac:dyDescent="0.55000000000000004">
      <c r="A66" s="59"/>
      <c r="B66" s="5" t="s">
        <v>63</v>
      </c>
      <c r="C66" s="5"/>
      <c r="D66" s="2" t="s">
        <v>1108</v>
      </c>
    </row>
    <row r="67" spans="1:4" ht="39" x14ac:dyDescent="0.55000000000000004">
      <c r="A67" s="59" t="s">
        <v>65</v>
      </c>
      <c r="B67" s="59"/>
      <c r="C67" s="5"/>
      <c r="D67" s="2" t="s">
        <v>1109</v>
      </c>
    </row>
    <row r="68" spans="1:4" x14ac:dyDescent="0.55000000000000004">
      <c r="A68" s="3" t="s">
        <v>67</v>
      </c>
      <c r="D68" s="2"/>
    </row>
    <row r="69" spans="1:4" x14ac:dyDescent="0.55000000000000004">
      <c r="A69" s="1" t="s">
        <v>68</v>
      </c>
      <c r="C69" s="1">
        <v>16</v>
      </c>
      <c r="D69" s="1">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AMJ69"/>
  <sheetViews>
    <sheetView topLeftCell="A16" zoomScaleNormal="100" workbookViewId="0">
      <selection activeCell="C41" sqref="C41"/>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26.83984375" style="2" customWidth="1"/>
    <col min="5" max="5" width="11.578125" style="1" customWidth="1"/>
    <col min="6" max="1024" width="11.41796875" style="1"/>
  </cols>
  <sheetData>
    <row r="1" spans="1:4" x14ac:dyDescent="0.55000000000000004">
      <c r="A1" s="3" t="s">
        <v>0</v>
      </c>
      <c r="D1" s="2" t="s">
        <v>426</v>
      </c>
    </row>
    <row r="2" spans="1:4" x14ac:dyDescent="0.55000000000000004">
      <c r="A2" s="58" t="s">
        <v>2</v>
      </c>
      <c r="B2" s="58"/>
      <c r="D2" s="1" t="s">
        <v>1110</v>
      </c>
    </row>
    <row r="3" spans="1:4" x14ac:dyDescent="0.55000000000000004">
      <c r="A3" s="58"/>
      <c r="B3" s="58"/>
      <c r="C3" s="5" t="s">
        <v>4</v>
      </c>
      <c r="D3" s="2" t="s">
        <v>1111</v>
      </c>
    </row>
    <row r="4" spans="1:4" x14ac:dyDescent="0.55000000000000004">
      <c r="A4" s="58"/>
      <c r="B4" s="58"/>
      <c r="C4" s="5" t="s">
        <v>6</v>
      </c>
      <c r="D4" s="2">
        <v>1987</v>
      </c>
    </row>
    <row r="5" spans="1:4" ht="51.9" x14ac:dyDescent="0.55000000000000004">
      <c r="A5" s="58"/>
      <c r="B5" s="58"/>
      <c r="C5" s="5" t="s">
        <v>7</v>
      </c>
      <c r="D5" s="2" t="s">
        <v>1112</v>
      </c>
    </row>
    <row r="6" spans="1:4" x14ac:dyDescent="0.55000000000000004">
      <c r="A6" s="58"/>
      <c r="B6" s="58"/>
      <c r="C6" s="5" t="s">
        <v>9</v>
      </c>
      <c r="D6" s="2" t="s">
        <v>1113</v>
      </c>
    </row>
    <row r="7" spans="1:4" x14ac:dyDescent="0.55000000000000004">
      <c r="A7" s="58"/>
      <c r="B7" s="58"/>
      <c r="C7" s="5" t="s">
        <v>11</v>
      </c>
      <c r="D7" s="2" t="s">
        <v>12</v>
      </c>
    </row>
    <row r="8" spans="1:4" x14ac:dyDescent="0.55000000000000004">
      <c r="A8" s="59" t="s">
        <v>13</v>
      </c>
      <c r="B8" s="59"/>
      <c r="C8" s="5"/>
    </row>
    <row r="9" spans="1:4" x14ac:dyDescent="0.55000000000000004">
      <c r="A9" s="58"/>
      <c r="B9" s="58"/>
      <c r="C9" s="5" t="s">
        <v>14</v>
      </c>
    </row>
    <row r="10" spans="1:4" x14ac:dyDescent="0.55000000000000004">
      <c r="A10" s="58"/>
      <c r="B10" s="58"/>
      <c r="C10" s="5" t="s">
        <v>16</v>
      </c>
      <c r="D10" s="2" t="s">
        <v>165</v>
      </c>
    </row>
    <row r="11" spans="1:4" x14ac:dyDescent="0.55000000000000004">
      <c r="A11" s="58"/>
      <c r="B11" s="58"/>
      <c r="C11" s="5" t="s">
        <v>19</v>
      </c>
      <c r="D11" s="9"/>
    </row>
    <row r="12" spans="1:4" x14ac:dyDescent="0.55000000000000004">
      <c r="A12" s="58"/>
      <c r="B12" s="58"/>
      <c r="C12" s="5" t="s">
        <v>21</v>
      </c>
      <c r="D12" s="9"/>
    </row>
    <row r="13" spans="1:4" x14ac:dyDescent="0.55000000000000004">
      <c r="A13" s="58"/>
      <c r="B13" s="58"/>
      <c r="C13" s="5" t="s">
        <v>22</v>
      </c>
    </row>
    <row r="14" spans="1:4" x14ac:dyDescent="0.55000000000000004">
      <c r="A14" s="59" t="s">
        <v>24</v>
      </c>
      <c r="B14" s="59"/>
      <c r="C14" s="5"/>
    </row>
    <row r="15" spans="1:4" x14ac:dyDescent="0.55000000000000004">
      <c r="A15" s="58"/>
      <c r="B15" s="58"/>
      <c r="C15" s="5" t="s">
        <v>25</v>
      </c>
    </row>
    <row r="16" spans="1:4" x14ac:dyDescent="0.55000000000000004">
      <c r="A16" s="58"/>
      <c r="B16" s="58"/>
      <c r="C16" s="5" t="s">
        <v>27</v>
      </c>
      <c r="D16" s="37"/>
    </row>
    <row r="17" spans="1:4" x14ac:dyDescent="0.55000000000000004">
      <c r="A17" s="59" t="s">
        <v>29</v>
      </c>
      <c r="B17" s="59"/>
      <c r="C17" s="5"/>
    </row>
    <row r="18" spans="1:4" x14ac:dyDescent="0.55000000000000004">
      <c r="A18" s="58"/>
      <c r="B18" s="58"/>
      <c r="C18" s="5" t="s">
        <v>30</v>
      </c>
    </row>
    <row r="19" spans="1:4" x14ac:dyDescent="0.55000000000000004">
      <c r="A19" s="58"/>
      <c r="B19" s="58"/>
      <c r="C19" s="5" t="s">
        <v>32</v>
      </c>
    </row>
    <row r="20" spans="1:4" x14ac:dyDescent="0.55000000000000004">
      <c r="A20" s="59" t="s">
        <v>34</v>
      </c>
      <c r="B20" s="59"/>
      <c r="C20" s="5"/>
    </row>
    <row r="21" spans="1:4" x14ac:dyDescent="0.55000000000000004">
      <c r="A21" s="58"/>
      <c r="B21" s="58"/>
      <c r="C21" s="5" t="s">
        <v>36</v>
      </c>
    </row>
    <row r="22" spans="1:4" x14ac:dyDescent="0.55000000000000004">
      <c r="A22" s="58"/>
      <c r="B22" s="58"/>
      <c r="C22" s="5" t="s">
        <v>37</v>
      </c>
    </row>
    <row r="23" spans="1:4" x14ac:dyDescent="0.55000000000000004">
      <c r="A23" s="58"/>
      <c r="B23" s="58"/>
      <c r="C23" s="5" t="s">
        <v>38</v>
      </c>
    </row>
    <row r="24" spans="1:4" x14ac:dyDescent="0.55000000000000004">
      <c r="A24" s="58"/>
      <c r="B24" s="58"/>
      <c r="C24" s="5" t="s">
        <v>39</v>
      </c>
    </row>
    <row r="25" spans="1:4" x14ac:dyDescent="0.55000000000000004">
      <c r="A25" s="58"/>
      <c r="B25" s="58"/>
      <c r="C25" s="5" t="s">
        <v>40</v>
      </c>
    </row>
    <row r="26" spans="1:4" x14ac:dyDescent="0.55000000000000004">
      <c r="A26" s="58"/>
      <c r="B26" s="58"/>
      <c r="C26" s="5" t="s">
        <v>41</v>
      </c>
      <c r="D26" s="7"/>
    </row>
    <row r="27" spans="1:4" x14ac:dyDescent="0.55000000000000004">
      <c r="A27" s="58"/>
      <c r="B27" s="58"/>
      <c r="C27" s="5" t="s">
        <v>42</v>
      </c>
      <c r="D27" s="7"/>
    </row>
    <row r="28" spans="1:4" x14ac:dyDescent="0.55000000000000004">
      <c r="A28" s="58"/>
      <c r="B28" s="58"/>
      <c r="C28" s="5" t="s">
        <v>43</v>
      </c>
    </row>
    <row r="29" spans="1:4" x14ac:dyDescent="0.55000000000000004">
      <c r="A29" s="58"/>
      <c r="B29" s="58"/>
      <c r="C29" s="5" t="s">
        <v>44</v>
      </c>
    </row>
    <row r="30" spans="1:4" x14ac:dyDescent="0.55000000000000004">
      <c r="A30" s="58"/>
      <c r="B30" s="58"/>
      <c r="C30" s="5" t="s">
        <v>45</v>
      </c>
      <c r="D30" s="7"/>
    </row>
    <row r="31" spans="1:4" x14ac:dyDescent="0.55000000000000004">
      <c r="A31" s="58"/>
      <c r="B31" s="58"/>
      <c r="C31" s="5" t="s">
        <v>46</v>
      </c>
      <c r="D31" s="7"/>
    </row>
    <row r="32" spans="1:4" x14ac:dyDescent="0.55000000000000004">
      <c r="A32" s="59" t="s">
        <v>47</v>
      </c>
      <c r="B32" s="59"/>
      <c r="C32" s="5"/>
    </row>
    <row r="33" spans="1:10" x14ac:dyDescent="0.55000000000000004">
      <c r="A33" s="58"/>
      <c r="B33" s="58"/>
      <c r="C33" s="5" t="s">
        <v>48</v>
      </c>
    </row>
    <row r="34" spans="1:10" x14ac:dyDescent="0.55000000000000004">
      <c r="A34" s="59" t="s">
        <v>50</v>
      </c>
      <c r="B34" s="59"/>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9"/>
      <c r="B36" s="5" t="s">
        <v>59</v>
      </c>
      <c r="C36" s="5"/>
      <c r="D36" s="37"/>
    </row>
    <row r="37" spans="1:10" x14ac:dyDescent="0.55000000000000004">
      <c r="A37" s="59"/>
      <c r="B37" s="5"/>
      <c r="C37" s="5"/>
    </row>
    <row r="38" spans="1:10" x14ac:dyDescent="0.55000000000000004">
      <c r="A38" s="59"/>
      <c r="B38" s="5"/>
      <c r="C38" s="5"/>
    </row>
    <row r="39" spans="1:10" s="1" customFormat="1" ht="12.9" x14ac:dyDescent="0.5">
      <c r="A39" s="59"/>
      <c r="B39" s="5"/>
      <c r="C39" s="5"/>
    </row>
    <row r="40" spans="1:10" x14ac:dyDescent="0.55000000000000004">
      <c r="A40" s="59"/>
      <c r="B40" s="5"/>
      <c r="C40" s="5"/>
    </row>
    <row r="41" spans="1:10" x14ac:dyDescent="0.55000000000000004">
      <c r="A41" s="59"/>
      <c r="B41" s="5"/>
      <c r="C41" s="5"/>
    </row>
    <row r="42" spans="1:10" x14ac:dyDescent="0.55000000000000004">
      <c r="A42" s="59"/>
      <c r="B42" s="5"/>
      <c r="C42" s="5"/>
    </row>
    <row r="43" spans="1:10" x14ac:dyDescent="0.55000000000000004">
      <c r="A43" s="59"/>
      <c r="B43" s="5"/>
      <c r="C43" s="5"/>
    </row>
    <row r="44" spans="1:10" x14ac:dyDescent="0.55000000000000004">
      <c r="A44" s="59"/>
      <c r="B44" s="5"/>
      <c r="C44" s="5"/>
    </row>
    <row r="45" spans="1:10" x14ac:dyDescent="0.55000000000000004">
      <c r="A45" s="59"/>
      <c r="B45" s="5" t="s">
        <v>61</v>
      </c>
      <c r="C45" s="5"/>
    </row>
    <row r="46" spans="1:10" x14ac:dyDescent="0.55000000000000004">
      <c r="A46" s="59"/>
      <c r="B46" s="5"/>
      <c r="C46" s="5"/>
    </row>
    <row r="47" spans="1:10" x14ac:dyDescent="0.55000000000000004">
      <c r="A47" s="59"/>
      <c r="B47" s="5"/>
      <c r="C47" s="5"/>
    </row>
    <row r="48" spans="1:10" x14ac:dyDescent="0.55000000000000004">
      <c r="A48" s="59"/>
      <c r="B48" s="5"/>
      <c r="C48" s="5"/>
    </row>
    <row r="49" spans="1:3" x14ac:dyDescent="0.55000000000000004">
      <c r="A49" s="59"/>
      <c r="B49" s="5"/>
      <c r="C49" s="5"/>
    </row>
    <row r="50" spans="1:3" x14ac:dyDescent="0.55000000000000004">
      <c r="A50" s="59"/>
      <c r="B50" s="5"/>
      <c r="C50" s="5"/>
    </row>
    <row r="51" spans="1:3" x14ac:dyDescent="0.55000000000000004">
      <c r="A51" s="59"/>
      <c r="B51" s="5"/>
      <c r="C51" s="5"/>
    </row>
    <row r="52" spans="1:3" x14ac:dyDescent="0.55000000000000004">
      <c r="A52" s="59"/>
      <c r="B52" s="5"/>
      <c r="C52" s="5"/>
    </row>
    <row r="53" spans="1:3" x14ac:dyDescent="0.55000000000000004">
      <c r="A53" s="59"/>
      <c r="B53" s="5"/>
      <c r="C53" s="5"/>
    </row>
    <row r="54" spans="1:3" x14ac:dyDescent="0.55000000000000004">
      <c r="A54" s="59"/>
      <c r="B54" s="5"/>
      <c r="C54" s="5"/>
    </row>
    <row r="55" spans="1:3" x14ac:dyDescent="0.55000000000000004">
      <c r="A55" s="59"/>
      <c r="B55" s="5"/>
      <c r="C55" s="5"/>
    </row>
    <row r="56" spans="1:3" x14ac:dyDescent="0.55000000000000004">
      <c r="A56" s="59"/>
      <c r="B56" s="5"/>
      <c r="C56" s="5"/>
    </row>
    <row r="57" spans="1:3" x14ac:dyDescent="0.55000000000000004">
      <c r="A57" s="59"/>
      <c r="B57" s="5"/>
      <c r="C57" s="5"/>
    </row>
    <row r="58" spans="1:3" x14ac:dyDescent="0.55000000000000004">
      <c r="A58" s="59"/>
      <c r="B58" s="5"/>
      <c r="C58" s="5"/>
    </row>
    <row r="59" spans="1:3" x14ac:dyDescent="0.55000000000000004">
      <c r="A59" s="59"/>
      <c r="B59" s="5"/>
      <c r="C59" s="5"/>
    </row>
    <row r="60" spans="1:3" x14ac:dyDescent="0.55000000000000004">
      <c r="A60" s="59"/>
      <c r="B60" s="5"/>
      <c r="C60" s="5"/>
    </row>
    <row r="61" spans="1:3" x14ac:dyDescent="0.55000000000000004">
      <c r="A61" s="59"/>
      <c r="B61" s="5"/>
      <c r="C61" s="5"/>
    </row>
    <row r="62" spans="1:3" x14ac:dyDescent="0.55000000000000004">
      <c r="A62" s="59"/>
      <c r="B62" s="5"/>
      <c r="C62" s="5"/>
    </row>
    <row r="63" spans="1:3" x14ac:dyDescent="0.55000000000000004">
      <c r="A63" s="59"/>
      <c r="B63" s="5"/>
      <c r="C63" s="5"/>
    </row>
    <row r="64" spans="1:3" x14ac:dyDescent="0.55000000000000004">
      <c r="A64" s="59"/>
      <c r="B64" s="5"/>
      <c r="C64" s="5"/>
    </row>
    <row r="65" spans="1:3" x14ac:dyDescent="0.55000000000000004">
      <c r="A65" s="59"/>
      <c r="B65" s="5" t="s">
        <v>62</v>
      </c>
      <c r="C65" s="5"/>
    </row>
    <row r="66" spans="1:3" x14ac:dyDescent="0.55000000000000004">
      <c r="A66" s="59"/>
      <c r="B66" s="5" t="s">
        <v>63</v>
      </c>
      <c r="C66" s="5"/>
    </row>
    <row r="67" spans="1:3" x14ac:dyDescent="0.55000000000000004">
      <c r="A67" s="59" t="s">
        <v>65</v>
      </c>
      <c r="B67" s="59"/>
      <c r="C67" s="5"/>
    </row>
    <row r="68" spans="1:3" x14ac:dyDescent="0.55000000000000004">
      <c r="A68" s="3" t="s">
        <v>67</v>
      </c>
    </row>
    <row r="69" spans="1:3" x14ac:dyDescent="0.55000000000000004">
      <c r="A69" s="1" t="s">
        <v>68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AMJ74"/>
  <sheetViews>
    <sheetView topLeftCell="C13" zoomScale="90" zoomScaleNormal="90" workbookViewId="0">
      <selection activeCell="D30" sqref="D30"/>
    </sheetView>
  </sheetViews>
  <sheetFormatPr baseColWidth="10" defaultColWidth="11.41796875" defaultRowHeight="14.4" x14ac:dyDescent="0.55000000000000004"/>
  <cols>
    <col min="1" max="1" width="10.83984375" style="44" customWidth="1"/>
    <col min="2" max="2" width="18.83984375" style="44" customWidth="1"/>
    <col min="3" max="3" width="44.15625" style="44" customWidth="1"/>
    <col min="4" max="4" width="56.15625" style="45" customWidth="1"/>
    <col min="5" max="5" width="20.15625" style="44" customWidth="1"/>
    <col min="6" max="6" width="3.41796875" style="44" customWidth="1"/>
    <col min="7" max="1024" width="11.41796875" style="44"/>
  </cols>
  <sheetData>
    <row r="1" spans="1:5" x14ac:dyDescent="0.55000000000000004">
      <c r="A1" s="46" t="s">
        <v>0</v>
      </c>
      <c r="D1" s="45" t="s">
        <v>269</v>
      </c>
    </row>
    <row r="2" spans="1:5" x14ac:dyDescent="0.55000000000000004">
      <c r="A2" s="58" t="s">
        <v>2</v>
      </c>
      <c r="B2" s="58"/>
      <c r="D2" s="47" t="s">
        <v>1114</v>
      </c>
    </row>
    <row r="3" spans="1:5" x14ac:dyDescent="0.55000000000000004">
      <c r="A3" s="58"/>
      <c r="B3" s="58"/>
      <c r="C3" s="4" t="s">
        <v>4</v>
      </c>
      <c r="D3" s="45" t="s">
        <v>1115</v>
      </c>
    </row>
    <row r="4" spans="1:5" x14ac:dyDescent="0.55000000000000004">
      <c r="A4" s="58"/>
      <c r="B4" s="58"/>
      <c r="C4" s="4" t="s">
        <v>6</v>
      </c>
      <c r="D4" s="45">
        <v>1997</v>
      </c>
    </row>
    <row r="5" spans="1:5" ht="26.1" x14ac:dyDescent="0.55000000000000004">
      <c r="A5" s="58"/>
      <c r="B5" s="58"/>
      <c r="C5" s="4" t="s">
        <v>7</v>
      </c>
      <c r="D5" s="45" t="s">
        <v>1116</v>
      </c>
    </row>
    <row r="6" spans="1:5" x14ac:dyDescent="0.55000000000000004">
      <c r="A6" s="58"/>
      <c r="B6" s="58"/>
      <c r="C6" s="4" t="s">
        <v>9</v>
      </c>
      <c r="D6" s="45" t="s">
        <v>1117</v>
      </c>
    </row>
    <row r="7" spans="1:5" x14ac:dyDescent="0.55000000000000004">
      <c r="A7" s="58"/>
      <c r="B7" s="58"/>
      <c r="C7" s="4" t="s">
        <v>11</v>
      </c>
      <c r="D7" s="45" t="s">
        <v>12</v>
      </c>
    </row>
    <row r="8" spans="1:5" x14ac:dyDescent="0.55000000000000004">
      <c r="A8" s="59" t="s">
        <v>13</v>
      </c>
      <c r="B8" s="59"/>
      <c r="C8" s="4"/>
    </row>
    <row r="9" spans="1:5" ht="26.1" x14ac:dyDescent="0.55000000000000004">
      <c r="A9" s="58"/>
      <c r="B9" s="58"/>
      <c r="C9" s="4" t="s">
        <v>14</v>
      </c>
      <c r="D9" s="45" t="s">
        <v>1118</v>
      </c>
    </row>
    <row r="10" spans="1:5" x14ac:dyDescent="0.55000000000000004">
      <c r="A10" s="58"/>
      <c r="B10" s="58"/>
      <c r="C10" s="4" t="s">
        <v>16</v>
      </c>
      <c r="D10" s="45" t="s">
        <v>165</v>
      </c>
      <c r="E10" s="44" t="s">
        <v>1119</v>
      </c>
    </row>
    <row r="11" spans="1:5" x14ac:dyDescent="0.55000000000000004">
      <c r="A11" s="58"/>
      <c r="B11" s="58"/>
      <c r="C11" s="4" t="s">
        <v>19</v>
      </c>
      <c r="D11" s="45" t="s">
        <v>20</v>
      </c>
    </row>
    <row r="12" spans="1:5" x14ac:dyDescent="0.55000000000000004">
      <c r="A12" s="58"/>
      <c r="B12" s="58"/>
      <c r="C12" s="4" t="s">
        <v>21</v>
      </c>
      <c r="D12" s="45" t="s">
        <v>20</v>
      </c>
    </row>
    <row r="13" spans="1:5" x14ac:dyDescent="0.55000000000000004">
      <c r="A13" s="58"/>
      <c r="B13" s="58"/>
      <c r="C13" s="4" t="s">
        <v>22</v>
      </c>
      <c r="D13" s="45" t="s">
        <v>1120</v>
      </c>
    </row>
    <row r="14" spans="1:5" x14ac:dyDescent="0.55000000000000004">
      <c r="A14" s="59" t="s">
        <v>24</v>
      </c>
      <c r="B14" s="59"/>
      <c r="C14" s="4"/>
    </row>
    <row r="15" spans="1:5" x14ac:dyDescent="0.55000000000000004">
      <c r="A15" s="58"/>
      <c r="B15" s="58"/>
      <c r="C15" s="4" t="s">
        <v>25</v>
      </c>
      <c r="D15" s="45" t="s">
        <v>104</v>
      </c>
    </row>
    <row r="16" spans="1:5" x14ac:dyDescent="0.55000000000000004">
      <c r="A16" s="58"/>
      <c r="B16" s="58"/>
      <c r="C16" s="4" t="s">
        <v>27</v>
      </c>
      <c r="D16" s="45" t="s">
        <v>1121</v>
      </c>
    </row>
    <row r="17" spans="1:5" x14ac:dyDescent="0.55000000000000004">
      <c r="A17" s="59" t="s">
        <v>29</v>
      </c>
      <c r="B17" s="59"/>
      <c r="C17" s="4"/>
    </row>
    <row r="18" spans="1:5" x14ac:dyDescent="0.55000000000000004">
      <c r="A18" s="58"/>
      <c r="B18" s="58"/>
      <c r="C18" s="4" t="s">
        <v>30</v>
      </c>
      <c r="D18" s="45" t="s">
        <v>1122</v>
      </c>
    </row>
    <row r="19" spans="1:5" ht="26.1" x14ac:dyDescent="0.55000000000000004">
      <c r="A19" s="58"/>
      <c r="B19" s="58"/>
      <c r="C19" s="4" t="s">
        <v>32</v>
      </c>
      <c r="D19" s="45" t="s">
        <v>1123</v>
      </c>
    </row>
    <row r="20" spans="1:5" x14ac:dyDescent="0.55000000000000004">
      <c r="A20" s="59" t="s">
        <v>34</v>
      </c>
      <c r="B20" s="59"/>
      <c r="C20" s="4"/>
      <c r="D20" s="45" t="s">
        <v>35</v>
      </c>
    </row>
    <row r="21" spans="1:5" x14ac:dyDescent="0.55000000000000004">
      <c r="A21" s="58"/>
      <c r="B21" s="58"/>
      <c r="C21" s="4" t="s">
        <v>36</v>
      </c>
      <c r="D21" s="45">
        <v>24</v>
      </c>
    </row>
    <row r="22" spans="1:5" x14ac:dyDescent="0.55000000000000004">
      <c r="A22" s="58"/>
      <c r="B22" s="58"/>
      <c r="C22" s="4" t="s">
        <v>37</v>
      </c>
      <c r="D22" s="45">
        <v>19</v>
      </c>
    </row>
    <row r="23" spans="1:5" x14ac:dyDescent="0.55000000000000004">
      <c r="A23" s="58"/>
      <c r="B23" s="58"/>
      <c r="C23" s="4" t="s">
        <v>38</v>
      </c>
      <c r="D23" s="45">
        <v>19</v>
      </c>
    </row>
    <row r="24" spans="1:5" x14ac:dyDescent="0.55000000000000004">
      <c r="A24" s="58"/>
      <c r="B24" s="58"/>
      <c r="C24" s="4" t="s">
        <v>39</v>
      </c>
      <c r="D24" s="45">
        <v>5</v>
      </c>
    </row>
    <row r="25" spans="1:5" x14ac:dyDescent="0.55000000000000004">
      <c r="A25" s="58"/>
      <c r="B25" s="58"/>
      <c r="C25" s="4" t="s">
        <v>40</v>
      </c>
      <c r="D25" s="45">
        <v>32</v>
      </c>
    </row>
    <row r="26" spans="1:5" x14ac:dyDescent="0.55000000000000004">
      <c r="A26" s="58"/>
      <c r="B26" s="58"/>
      <c r="C26" s="4" t="s">
        <v>41</v>
      </c>
      <c r="D26" s="45">
        <v>64</v>
      </c>
    </row>
    <row r="27" spans="1:5" x14ac:dyDescent="0.55000000000000004">
      <c r="A27" s="58"/>
      <c r="B27" s="58"/>
      <c r="C27" s="4" t="s">
        <v>42</v>
      </c>
      <c r="D27" s="45" t="s">
        <v>20</v>
      </c>
    </row>
    <row r="28" spans="1:5" x14ac:dyDescent="0.55000000000000004">
      <c r="A28" s="58"/>
      <c r="B28" s="58"/>
      <c r="C28" s="4" t="s">
        <v>43</v>
      </c>
      <c r="D28" s="45" t="s">
        <v>20</v>
      </c>
    </row>
    <row r="29" spans="1:5" x14ac:dyDescent="0.55000000000000004">
      <c r="A29" s="58"/>
      <c r="B29" s="58"/>
      <c r="C29" s="4" t="s">
        <v>44</v>
      </c>
      <c r="D29" s="45" t="s">
        <v>20</v>
      </c>
    </row>
    <row r="30" spans="1:5" x14ac:dyDescent="0.55000000000000004">
      <c r="A30" s="58"/>
      <c r="B30" s="58"/>
      <c r="C30" s="4" t="s">
        <v>45</v>
      </c>
      <c r="D30" s="44">
        <v>35.384615384615401</v>
      </c>
      <c r="E30" s="48"/>
    </row>
    <row r="31" spans="1:5" x14ac:dyDescent="0.55000000000000004">
      <c r="A31" s="58"/>
      <c r="B31" s="58"/>
      <c r="C31" s="4" t="s">
        <v>46</v>
      </c>
      <c r="D31" s="44">
        <v>11.384615384615399</v>
      </c>
      <c r="E31" s="48"/>
    </row>
    <row r="32" spans="1:5" x14ac:dyDescent="0.55000000000000004">
      <c r="A32" s="59" t="s">
        <v>47</v>
      </c>
      <c r="B32" s="59"/>
      <c r="C32" s="4"/>
    </row>
    <row r="33" spans="1:10" ht="26.1" x14ac:dyDescent="0.55000000000000004">
      <c r="A33" s="58"/>
      <c r="B33" s="58"/>
      <c r="C33" s="4" t="s">
        <v>48</v>
      </c>
      <c r="D33" s="45" t="s">
        <v>1124</v>
      </c>
    </row>
    <row r="34" spans="1:10" x14ac:dyDescent="0.55000000000000004">
      <c r="A34" s="59" t="s">
        <v>50</v>
      </c>
      <c r="B34" s="59"/>
      <c r="C34" s="4"/>
    </row>
    <row r="35" spans="1:10" x14ac:dyDescent="0.55000000000000004">
      <c r="A35" s="6"/>
      <c r="B35" s="6"/>
      <c r="C35" s="4"/>
      <c r="D35" s="2" t="s">
        <v>51</v>
      </c>
      <c r="E35" s="1" t="s">
        <v>52</v>
      </c>
      <c r="F35" s="1" t="s">
        <v>53</v>
      </c>
      <c r="G35" s="1" t="s">
        <v>54</v>
      </c>
      <c r="H35" s="1" t="s">
        <v>55</v>
      </c>
      <c r="I35" s="1" t="s">
        <v>56</v>
      </c>
      <c r="J35" s="1" t="s">
        <v>57</v>
      </c>
    </row>
    <row r="36" spans="1:10" x14ac:dyDescent="0.55000000000000004">
      <c r="A36" s="59"/>
      <c r="B36" s="4" t="s">
        <v>59</v>
      </c>
      <c r="C36" s="4"/>
    </row>
    <row r="37" spans="1:10" x14ac:dyDescent="0.55000000000000004">
      <c r="A37" s="59"/>
      <c r="B37" s="4"/>
      <c r="C37" s="4" t="s">
        <v>1125</v>
      </c>
      <c r="D37" s="45">
        <v>4.9000000000000004</v>
      </c>
      <c r="E37" s="44">
        <v>4.24</v>
      </c>
    </row>
    <row r="38" spans="1:10" x14ac:dyDescent="0.55000000000000004">
      <c r="A38" s="59"/>
      <c r="B38" s="4"/>
      <c r="C38" s="4" t="s">
        <v>1126</v>
      </c>
      <c r="D38" s="45">
        <v>3.3</v>
      </c>
      <c r="E38" s="44">
        <v>3.38</v>
      </c>
      <c r="G38" s="48"/>
    </row>
    <row r="39" spans="1:10" x14ac:dyDescent="0.55000000000000004">
      <c r="A39" s="59"/>
      <c r="B39" s="4"/>
      <c r="C39" s="4" t="s">
        <v>936</v>
      </c>
      <c r="D39" s="45">
        <v>5.5</v>
      </c>
      <c r="E39" s="44">
        <v>4.9000000000000004</v>
      </c>
    </row>
    <row r="40" spans="1:10" x14ac:dyDescent="0.55000000000000004">
      <c r="A40" s="59"/>
      <c r="B40" s="4"/>
      <c r="C40" s="4" t="s">
        <v>937</v>
      </c>
      <c r="D40" s="45">
        <v>5.0999999999999996</v>
      </c>
      <c r="E40" s="44">
        <v>5.54</v>
      </c>
    </row>
    <row r="41" spans="1:10" x14ac:dyDescent="0.55000000000000004">
      <c r="A41" s="59"/>
      <c r="C41" s="4"/>
    </row>
    <row r="42" spans="1:10" x14ac:dyDescent="0.55000000000000004">
      <c r="A42" s="59"/>
      <c r="C42" s="4"/>
    </row>
    <row r="43" spans="1:10" x14ac:dyDescent="0.55000000000000004">
      <c r="A43" s="59"/>
      <c r="C43" s="4"/>
    </row>
    <row r="44" spans="1:10" x14ac:dyDescent="0.55000000000000004">
      <c r="A44" s="59"/>
      <c r="C44" s="4"/>
    </row>
    <row r="45" spans="1:10" x14ac:dyDescent="0.55000000000000004">
      <c r="A45" s="59"/>
      <c r="B45" s="4" t="s">
        <v>61</v>
      </c>
      <c r="C45" s="4"/>
    </row>
    <row r="46" spans="1:10" x14ac:dyDescent="0.55000000000000004">
      <c r="A46" s="59"/>
      <c r="B46" s="4"/>
      <c r="C46" s="4" t="s">
        <v>79</v>
      </c>
      <c r="D46" s="45">
        <v>1</v>
      </c>
    </row>
    <row r="47" spans="1:10" x14ac:dyDescent="0.55000000000000004">
      <c r="A47" s="59"/>
      <c r="B47" s="4"/>
    </row>
    <row r="48" spans="1:10" x14ac:dyDescent="0.55000000000000004">
      <c r="A48" s="59"/>
      <c r="B48" s="4"/>
    </row>
    <row r="49" spans="1:3" x14ac:dyDescent="0.55000000000000004">
      <c r="A49" s="59"/>
      <c r="B49" s="4"/>
    </row>
    <row r="50" spans="1:3" x14ac:dyDescent="0.55000000000000004">
      <c r="A50" s="59"/>
      <c r="B50" s="4"/>
      <c r="C50" s="4"/>
    </row>
    <row r="51" spans="1:3" x14ac:dyDescent="0.55000000000000004">
      <c r="A51" s="59"/>
      <c r="B51" s="4"/>
      <c r="C51" s="4"/>
    </row>
    <row r="52" spans="1:3" x14ac:dyDescent="0.55000000000000004">
      <c r="A52" s="59"/>
      <c r="B52" s="4"/>
      <c r="C52" s="4"/>
    </row>
    <row r="53" spans="1:3" x14ac:dyDescent="0.55000000000000004">
      <c r="A53" s="59"/>
      <c r="B53" s="4"/>
    </row>
    <row r="54" spans="1:3" x14ac:dyDescent="0.55000000000000004">
      <c r="A54" s="59"/>
      <c r="B54" s="4"/>
      <c r="C54" s="4"/>
    </row>
    <row r="55" spans="1:3" x14ac:dyDescent="0.55000000000000004">
      <c r="A55" s="59"/>
      <c r="B55" s="4"/>
      <c r="C55" s="4"/>
    </row>
    <row r="56" spans="1:3" x14ac:dyDescent="0.55000000000000004">
      <c r="A56" s="59"/>
      <c r="B56" s="4"/>
      <c r="C56" s="4"/>
    </row>
    <row r="57" spans="1:3" x14ac:dyDescent="0.55000000000000004">
      <c r="A57" s="59"/>
      <c r="B57" s="4"/>
      <c r="C57" s="4"/>
    </row>
    <row r="58" spans="1:3" x14ac:dyDescent="0.55000000000000004">
      <c r="A58" s="59"/>
      <c r="B58" s="4"/>
      <c r="C58" s="4"/>
    </row>
    <row r="59" spans="1:3" x14ac:dyDescent="0.55000000000000004">
      <c r="A59" s="59"/>
      <c r="B59" s="4"/>
      <c r="C59" s="4"/>
    </row>
    <row r="60" spans="1:3" x14ac:dyDescent="0.55000000000000004">
      <c r="A60" s="59"/>
      <c r="B60" s="4"/>
      <c r="C60" s="4"/>
    </row>
    <row r="61" spans="1:3" x14ac:dyDescent="0.55000000000000004">
      <c r="A61" s="59"/>
      <c r="B61" s="4"/>
      <c r="C61" s="4"/>
    </row>
    <row r="62" spans="1:3" x14ac:dyDescent="0.55000000000000004">
      <c r="A62" s="59"/>
      <c r="B62" s="4"/>
      <c r="C62" s="4"/>
    </row>
    <row r="63" spans="1:3" x14ac:dyDescent="0.55000000000000004">
      <c r="A63" s="59"/>
      <c r="B63" s="4"/>
      <c r="C63" s="4"/>
    </row>
    <row r="64" spans="1:3" x14ac:dyDescent="0.55000000000000004">
      <c r="A64" s="59"/>
      <c r="B64" s="4"/>
    </row>
    <row r="65" spans="1:5" x14ac:dyDescent="0.55000000000000004">
      <c r="A65" s="59"/>
      <c r="B65" s="4" t="s">
        <v>62</v>
      </c>
      <c r="C65" s="4"/>
      <c r="D65" s="45">
        <v>3</v>
      </c>
    </row>
    <row r="66" spans="1:5" x14ac:dyDescent="0.55000000000000004">
      <c r="A66" s="59"/>
      <c r="B66" s="4" t="s">
        <v>63</v>
      </c>
      <c r="C66" s="4"/>
      <c r="D66" s="45" t="s">
        <v>64</v>
      </c>
    </row>
    <row r="67" spans="1:5" ht="26.1" x14ac:dyDescent="0.55000000000000004">
      <c r="A67" s="59" t="s">
        <v>65</v>
      </c>
      <c r="B67" s="59"/>
      <c r="C67" s="4"/>
      <c r="D67" s="45" t="s">
        <v>1127</v>
      </c>
    </row>
    <row r="68" spans="1:5" x14ac:dyDescent="0.55000000000000004">
      <c r="A68" s="46" t="s">
        <v>67</v>
      </c>
    </row>
    <row r="69" spans="1:5" x14ac:dyDescent="0.55000000000000004">
      <c r="A69" s="44" t="s">
        <v>68</v>
      </c>
      <c r="C69" s="44">
        <v>16</v>
      </c>
      <c r="D69" s="45">
        <v>28</v>
      </c>
    </row>
    <row r="70" spans="1:5" x14ac:dyDescent="0.55000000000000004">
      <c r="B70" s="44" t="s">
        <v>94</v>
      </c>
    </row>
    <row r="71" spans="1:5" x14ac:dyDescent="0.55000000000000004">
      <c r="C71" s="4" t="s">
        <v>1128</v>
      </c>
      <c r="D71" s="45">
        <v>42.83</v>
      </c>
      <c r="E71" s="44">
        <v>38.07</v>
      </c>
    </row>
    <row r="72" spans="1:5" x14ac:dyDescent="0.55000000000000004">
      <c r="C72" s="4" t="s">
        <v>1129</v>
      </c>
      <c r="D72" s="45">
        <v>26.39</v>
      </c>
      <c r="E72" s="44">
        <v>25.6</v>
      </c>
    </row>
    <row r="73" spans="1:5" x14ac:dyDescent="0.55000000000000004">
      <c r="C73" s="4" t="s">
        <v>1130</v>
      </c>
      <c r="D73" s="45">
        <v>49.44</v>
      </c>
      <c r="E73" s="44">
        <v>39.5</v>
      </c>
    </row>
    <row r="74" spans="1:5" x14ac:dyDescent="0.55000000000000004">
      <c r="C74" s="4" t="s">
        <v>1131</v>
      </c>
      <c r="D74" s="45">
        <v>26.38</v>
      </c>
      <c r="E74" s="44">
        <v>28.07</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AMJ72"/>
  <sheetViews>
    <sheetView topLeftCell="A25" zoomScale="90" zoomScaleNormal="90" workbookViewId="0">
      <selection activeCell="D72" sqref="D72"/>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1.578125" style="1" customWidth="1"/>
    <col min="6" max="6" width="11.83984375" style="1" customWidth="1"/>
    <col min="7" max="1024" width="11.41796875" style="1"/>
  </cols>
  <sheetData>
    <row r="1" spans="1:5" x14ac:dyDescent="0.55000000000000004">
      <c r="A1" s="3" t="s">
        <v>0</v>
      </c>
      <c r="D1" s="2" t="s">
        <v>778</v>
      </c>
    </row>
    <row r="2" spans="1:5" x14ac:dyDescent="0.55000000000000004">
      <c r="A2" s="58" t="s">
        <v>2</v>
      </c>
      <c r="B2" s="58"/>
      <c r="D2" s="1" t="s">
        <v>413</v>
      </c>
    </row>
    <row r="3" spans="1:5" x14ac:dyDescent="0.55000000000000004">
      <c r="A3" s="58"/>
      <c r="B3" s="58"/>
      <c r="C3" s="5" t="s">
        <v>4</v>
      </c>
      <c r="D3" s="2" t="s">
        <v>1132</v>
      </c>
    </row>
    <row r="4" spans="1:5" x14ac:dyDescent="0.55000000000000004">
      <c r="A4" s="58"/>
      <c r="B4" s="58"/>
      <c r="C4" s="5" t="s">
        <v>6</v>
      </c>
      <c r="D4" s="2">
        <v>2007</v>
      </c>
    </row>
    <row r="5" spans="1:5" ht="26.1" x14ac:dyDescent="0.55000000000000004">
      <c r="A5" s="58"/>
      <c r="B5" s="58"/>
      <c r="C5" s="5" t="s">
        <v>7</v>
      </c>
      <c r="D5" s="2" t="s">
        <v>1133</v>
      </c>
    </row>
    <row r="6" spans="1:5" x14ac:dyDescent="0.55000000000000004">
      <c r="A6" s="58"/>
      <c r="B6" s="58"/>
      <c r="C6" s="5" t="s">
        <v>9</v>
      </c>
      <c r="D6" s="2" t="s">
        <v>535</v>
      </c>
    </row>
    <row r="7" spans="1:5" x14ac:dyDescent="0.55000000000000004">
      <c r="A7" s="58"/>
      <c r="B7" s="58"/>
      <c r="C7" s="5" t="s">
        <v>11</v>
      </c>
      <c r="D7" s="2" t="s">
        <v>12</v>
      </c>
    </row>
    <row r="8" spans="1:5" x14ac:dyDescent="0.55000000000000004">
      <c r="A8" s="59" t="s">
        <v>13</v>
      </c>
      <c r="B8" s="59"/>
      <c r="C8" s="5"/>
    </row>
    <row r="9" spans="1:5" ht="39" x14ac:dyDescent="0.55000000000000004">
      <c r="A9" s="58"/>
      <c r="B9" s="58"/>
      <c r="C9" s="5" t="s">
        <v>14</v>
      </c>
      <c r="D9" s="2" t="s">
        <v>1134</v>
      </c>
    </row>
    <row r="10" spans="1:5" x14ac:dyDescent="0.55000000000000004">
      <c r="A10" s="58"/>
      <c r="B10" s="58"/>
      <c r="C10" s="5" t="s">
        <v>16</v>
      </c>
      <c r="D10" s="2" t="s">
        <v>165</v>
      </c>
      <c r="E10" s="1" t="s">
        <v>944</v>
      </c>
    </row>
    <row r="11" spans="1:5" x14ac:dyDescent="0.55000000000000004">
      <c r="A11" s="58"/>
      <c r="B11" s="58"/>
      <c r="C11" s="5" t="s">
        <v>19</v>
      </c>
      <c r="D11" s="21">
        <v>42736</v>
      </c>
    </row>
    <row r="12" spans="1:5" x14ac:dyDescent="0.55000000000000004">
      <c r="A12" s="58"/>
      <c r="B12" s="58"/>
      <c r="C12" s="5" t="s">
        <v>21</v>
      </c>
      <c r="D12" s="21">
        <v>43313</v>
      </c>
    </row>
    <row r="13" spans="1:5" x14ac:dyDescent="0.55000000000000004">
      <c r="A13" s="58"/>
      <c r="B13" s="58"/>
      <c r="C13" s="5" t="s">
        <v>22</v>
      </c>
      <c r="D13" s="2" t="s">
        <v>20</v>
      </c>
    </row>
    <row r="14" spans="1:5" x14ac:dyDescent="0.55000000000000004">
      <c r="A14" s="59" t="s">
        <v>24</v>
      </c>
      <c r="B14" s="59"/>
      <c r="C14" s="5"/>
    </row>
    <row r="15" spans="1:5" x14ac:dyDescent="0.55000000000000004">
      <c r="A15" s="58"/>
      <c r="B15" s="58"/>
      <c r="C15" s="5" t="s">
        <v>25</v>
      </c>
      <c r="D15" s="2" t="s">
        <v>418</v>
      </c>
    </row>
    <row r="16" spans="1:5" x14ac:dyDescent="0.55000000000000004">
      <c r="A16" s="58"/>
      <c r="B16" s="58"/>
      <c r="C16" s="5" t="s">
        <v>27</v>
      </c>
      <c r="D16" s="2" t="s">
        <v>88</v>
      </c>
    </row>
    <row r="17" spans="1:6" x14ac:dyDescent="0.55000000000000004">
      <c r="A17" s="59" t="s">
        <v>29</v>
      </c>
      <c r="B17" s="59"/>
      <c r="C17" s="5"/>
    </row>
    <row r="18" spans="1:6" ht="51.9" x14ac:dyDescent="0.55000000000000004">
      <c r="A18" s="58"/>
      <c r="B18" s="58"/>
      <c r="C18" s="5" t="s">
        <v>30</v>
      </c>
      <c r="D18" s="2" t="s">
        <v>1135</v>
      </c>
    </row>
    <row r="19" spans="1:6" ht="103.5" x14ac:dyDescent="0.55000000000000004">
      <c r="A19" s="58"/>
      <c r="B19" s="58"/>
      <c r="C19" s="5" t="s">
        <v>32</v>
      </c>
      <c r="D19" s="2" t="s">
        <v>1136</v>
      </c>
    </row>
    <row r="20" spans="1:6" x14ac:dyDescent="0.55000000000000004">
      <c r="A20" s="59" t="s">
        <v>34</v>
      </c>
      <c r="B20" s="59"/>
      <c r="C20" s="5"/>
      <c r="D20" s="2" t="s">
        <v>109</v>
      </c>
      <c r="E20" s="1" t="s">
        <v>778</v>
      </c>
      <c r="F20" s="1" t="s">
        <v>35</v>
      </c>
    </row>
    <row r="21" spans="1:6" x14ac:dyDescent="0.55000000000000004">
      <c r="A21" s="58"/>
      <c r="B21" s="58"/>
      <c r="C21" s="5" t="s">
        <v>36</v>
      </c>
      <c r="F21" s="1">
        <v>195</v>
      </c>
    </row>
    <row r="22" spans="1:6" x14ac:dyDescent="0.55000000000000004">
      <c r="A22" s="58"/>
      <c r="B22" s="58"/>
      <c r="C22" s="5" t="s">
        <v>37</v>
      </c>
      <c r="D22" s="2">
        <v>35</v>
      </c>
      <c r="E22" s="1">
        <v>109</v>
      </c>
      <c r="F22" s="1">
        <f>SUM(D22:E22)</f>
        <v>144</v>
      </c>
    </row>
    <row r="23" spans="1:6" x14ac:dyDescent="0.55000000000000004">
      <c r="A23" s="58"/>
      <c r="B23" s="58"/>
      <c r="C23" s="5" t="s">
        <v>38</v>
      </c>
      <c r="D23" s="2">
        <v>34</v>
      </c>
      <c r="E23" s="1">
        <v>95</v>
      </c>
      <c r="F23" s="1">
        <f>SUM(D23:E23)</f>
        <v>129</v>
      </c>
    </row>
    <row r="24" spans="1:6" x14ac:dyDescent="0.55000000000000004">
      <c r="A24" s="58"/>
      <c r="B24" s="58"/>
      <c r="C24" s="5" t="s">
        <v>39</v>
      </c>
      <c r="D24" s="2">
        <v>1</v>
      </c>
      <c r="E24" s="1">
        <v>14</v>
      </c>
      <c r="F24" s="1">
        <f>SUM(D24:E24)</f>
        <v>15</v>
      </c>
    </row>
    <row r="25" spans="1:6" x14ac:dyDescent="0.55000000000000004">
      <c r="A25" s="58"/>
      <c r="B25" s="58"/>
      <c r="C25" s="5" t="s">
        <v>40</v>
      </c>
      <c r="D25" s="7">
        <f>10/35</f>
        <v>0.2857142857142857</v>
      </c>
      <c r="E25" s="10">
        <f>41/109</f>
        <v>0.37614678899082571</v>
      </c>
      <c r="F25" s="10">
        <f>51/144</f>
        <v>0.35416666666666669</v>
      </c>
    </row>
    <row r="26" spans="1:6" x14ac:dyDescent="0.55000000000000004">
      <c r="A26" s="58"/>
      <c r="B26" s="58"/>
      <c r="C26" s="5" t="s">
        <v>41</v>
      </c>
      <c r="D26" s="7">
        <v>65.400000000000006</v>
      </c>
      <c r="E26" s="10">
        <v>64.8</v>
      </c>
      <c r="F26" s="10">
        <f>((D26*D23)+(E26*E23))/F23</f>
        <v>64.958139534883728</v>
      </c>
    </row>
    <row r="27" spans="1:6" x14ac:dyDescent="0.55000000000000004">
      <c r="A27" s="58"/>
      <c r="B27" s="58"/>
      <c r="C27" s="5" t="s">
        <v>42</v>
      </c>
      <c r="D27" s="7">
        <v>10.6</v>
      </c>
      <c r="E27" s="10">
        <v>10.3</v>
      </c>
      <c r="F27" s="10">
        <f>SQRT((D23*(D27^2+(F$26-D26)^2)+E23*(E27^2+(F$26-E26)^2))/F$23)</f>
        <v>10.383276638324334</v>
      </c>
    </row>
    <row r="28" spans="1:6" x14ac:dyDescent="0.55000000000000004">
      <c r="A28" s="58"/>
      <c r="B28" s="58"/>
      <c r="C28" s="5" t="s">
        <v>43</v>
      </c>
      <c r="D28" s="2" t="s">
        <v>20</v>
      </c>
    </row>
    <row r="29" spans="1:6" x14ac:dyDescent="0.55000000000000004">
      <c r="A29" s="58"/>
      <c r="B29" s="58"/>
      <c r="C29" s="5" t="s">
        <v>168</v>
      </c>
      <c r="D29" s="2">
        <v>2.4</v>
      </c>
      <c r="E29" s="1">
        <v>2.5</v>
      </c>
      <c r="F29" s="1">
        <v>2.5</v>
      </c>
    </row>
    <row r="30" spans="1:6" x14ac:dyDescent="0.55000000000000004">
      <c r="A30" s="58"/>
      <c r="B30" s="58"/>
      <c r="C30" s="5" t="s">
        <v>45</v>
      </c>
      <c r="D30" s="7">
        <v>31.9</v>
      </c>
      <c r="E30" s="10">
        <v>31.6</v>
      </c>
      <c r="F30" s="10">
        <f>((D30*D23)+(E30*E23))/F23</f>
        <v>31.67906976744186</v>
      </c>
    </row>
    <row r="31" spans="1:6" x14ac:dyDescent="0.55000000000000004">
      <c r="A31" s="58"/>
      <c r="B31" s="58"/>
      <c r="C31" s="5" t="s">
        <v>46</v>
      </c>
      <c r="D31" s="7">
        <v>11.5</v>
      </c>
      <c r="E31" s="10">
        <v>14.3</v>
      </c>
      <c r="F31" s="10">
        <f>SQRT((D23*(D31^2+(F$30-D30)^2)+E23*(E31^2+(F$30-E30)^2))/F$23)</f>
        <v>13.618644165338532</v>
      </c>
    </row>
    <row r="32" spans="1:6" x14ac:dyDescent="0.55000000000000004">
      <c r="A32" s="59" t="s">
        <v>47</v>
      </c>
      <c r="B32" s="59"/>
      <c r="C32" s="5"/>
    </row>
    <row r="33" spans="1:10" ht="129.30000000000001" x14ac:dyDescent="0.55000000000000004">
      <c r="A33" s="58"/>
      <c r="B33" s="58"/>
      <c r="C33" s="5" t="s">
        <v>48</v>
      </c>
      <c r="D33" s="2" t="s">
        <v>1137</v>
      </c>
    </row>
    <row r="34" spans="1:10" x14ac:dyDescent="0.55000000000000004">
      <c r="A34" s="59" t="s">
        <v>50</v>
      </c>
      <c r="B34" s="59"/>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9"/>
      <c r="B36" s="5" t="s">
        <v>59</v>
      </c>
      <c r="C36" s="5"/>
    </row>
    <row r="37" spans="1:10" x14ac:dyDescent="0.55000000000000004">
      <c r="A37" s="59"/>
      <c r="B37" s="5"/>
      <c r="C37" s="5" t="s">
        <v>1138</v>
      </c>
      <c r="D37" s="2">
        <v>-1.74</v>
      </c>
      <c r="J37" s="1">
        <v>4.68</v>
      </c>
    </row>
    <row r="38" spans="1:10" x14ac:dyDescent="0.55000000000000004">
      <c r="A38" s="59"/>
      <c r="B38" s="5"/>
      <c r="C38" s="5" t="s">
        <v>233</v>
      </c>
      <c r="D38" s="2">
        <v>-1.31</v>
      </c>
      <c r="J38" s="1">
        <v>4.5599999999999996</v>
      </c>
    </row>
    <row r="39" spans="1:10" x14ac:dyDescent="0.55000000000000004">
      <c r="A39" s="59"/>
      <c r="B39" s="5"/>
    </row>
    <row r="40" spans="1:10" x14ac:dyDescent="0.55000000000000004">
      <c r="A40" s="59"/>
      <c r="B40" s="5"/>
    </row>
    <row r="41" spans="1:10" x14ac:dyDescent="0.55000000000000004">
      <c r="A41" s="59"/>
      <c r="B41" s="5"/>
      <c r="C41" s="5"/>
    </row>
    <row r="42" spans="1:10" x14ac:dyDescent="0.55000000000000004">
      <c r="A42" s="59"/>
      <c r="B42" s="5"/>
      <c r="C42" s="5"/>
    </row>
    <row r="43" spans="1:10" x14ac:dyDescent="0.55000000000000004">
      <c r="A43" s="59"/>
      <c r="B43" s="5"/>
      <c r="C43" s="5"/>
    </row>
    <row r="44" spans="1:10" x14ac:dyDescent="0.55000000000000004">
      <c r="A44" s="59"/>
      <c r="B44" s="5"/>
      <c r="C44" s="5"/>
    </row>
    <row r="45" spans="1:10" x14ac:dyDescent="0.55000000000000004">
      <c r="A45" s="59"/>
      <c r="B45" s="5" t="s">
        <v>61</v>
      </c>
      <c r="C45" s="5"/>
    </row>
    <row r="46" spans="1:10" x14ac:dyDescent="0.55000000000000004">
      <c r="A46" s="59"/>
      <c r="B46" s="5"/>
      <c r="C46" s="5" t="s">
        <v>79</v>
      </c>
    </row>
    <row r="47" spans="1:10" x14ac:dyDescent="0.55000000000000004">
      <c r="A47" s="59"/>
      <c r="B47" s="5"/>
      <c r="C47" s="5"/>
    </row>
    <row r="48" spans="1:10" x14ac:dyDescent="0.55000000000000004">
      <c r="A48" s="59"/>
      <c r="B48" s="5"/>
    </row>
    <row r="49" spans="1:3" x14ac:dyDescent="0.55000000000000004">
      <c r="A49" s="59"/>
      <c r="B49" s="5"/>
      <c r="C49" s="5"/>
    </row>
    <row r="50" spans="1:3" x14ac:dyDescent="0.55000000000000004">
      <c r="A50" s="59"/>
      <c r="B50" s="5"/>
    </row>
    <row r="51" spans="1:3" x14ac:dyDescent="0.55000000000000004">
      <c r="A51" s="59"/>
      <c r="B51" s="5"/>
      <c r="C51" s="5"/>
    </row>
    <row r="52" spans="1:3" x14ac:dyDescent="0.55000000000000004">
      <c r="A52" s="59"/>
      <c r="B52" s="5"/>
      <c r="C52" s="5"/>
    </row>
    <row r="53" spans="1:3" x14ac:dyDescent="0.55000000000000004">
      <c r="A53" s="59"/>
      <c r="B53" s="5"/>
      <c r="C53" s="5"/>
    </row>
    <row r="54" spans="1:3" x14ac:dyDescent="0.55000000000000004">
      <c r="A54" s="59"/>
      <c r="B54" s="5"/>
      <c r="C54" s="5"/>
    </row>
    <row r="55" spans="1:3" x14ac:dyDescent="0.55000000000000004">
      <c r="A55" s="59"/>
      <c r="B55" s="5"/>
      <c r="C55" s="5"/>
    </row>
    <row r="56" spans="1:3" x14ac:dyDescent="0.55000000000000004">
      <c r="A56" s="59"/>
      <c r="B56" s="5"/>
      <c r="C56" s="5"/>
    </row>
    <row r="57" spans="1:3" x14ac:dyDescent="0.55000000000000004">
      <c r="A57" s="59"/>
      <c r="B57" s="5"/>
      <c r="C57" s="5"/>
    </row>
    <row r="58" spans="1:3" x14ac:dyDescent="0.55000000000000004">
      <c r="A58" s="59"/>
      <c r="B58" s="5"/>
      <c r="C58" s="5"/>
    </row>
    <row r="59" spans="1:3" x14ac:dyDescent="0.55000000000000004">
      <c r="A59" s="59"/>
      <c r="B59" s="5"/>
      <c r="C59" s="5"/>
    </row>
    <row r="60" spans="1:3" x14ac:dyDescent="0.55000000000000004">
      <c r="A60" s="59"/>
      <c r="B60" s="5"/>
      <c r="C60" s="5"/>
    </row>
    <row r="61" spans="1:3" x14ac:dyDescent="0.55000000000000004">
      <c r="A61" s="59"/>
      <c r="B61" s="5"/>
      <c r="C61" s="5"/>
    </row>
    <row r="62" spans="1:3" x14ac:dyDescent="0.55000000000000004">
      <c r="A62" s="59"/>
      <c r="B62" s="5"/>
      <c r="C62" s="5"/>
    </row>
    <row r="63" spans="1:3" x14ac:dyDescent="0.55000000000000004">
      <c r="A63" s="59"/>
      <c r="B63" s="5"/>
      <c r="C63" s="5"/>
    </row>
    <row r="64" spans="1:3" x14ac:dyDescent="0.55000000000000004">
      <c r="A64" s="59"/>
      <c r="B64" s="5"/>
      <c r="C64" s="5"/>
    </row>
    <row r="65" spans="1:5" x14ac:dyDescent="0.55000000000000004">
      <c r="A65" s="59"/>
      <c r="B65" s="5" t="s">
        <v>62</v>
      </c>
      <c r="C65" s="5"/>
      <c r="D65" s="2">
        <v>70</v>
      </c>
    </row>
    <row r="66" spans="1:5" x14ac:dyDescent="0.55000000000000004">
      <c r="A66" s="59"/>
      <c r="B66" s="5" t="s">
        <v>63</v>
      </c>
      <c r="C66" s="5"/>
      <c r="D66" s="2" t="s">
        <v>1139</v>
      </c>
      <c r="E66" s="1" t="s">
        <v>1140</v>
      </c>
    </row>
    <row r="67" spans="1:5" x14ac:dyDescent="0.55000000000000004">
      <c r="A67" s="59" t="s">
        <v>65</v>
      </c>
      <c r="B67" s="59"/>
      <c r="C67" s="5"/>
      <c r="D67" s="2" t="s">
        <v>1141</v>
      </c>
    </row>
    <row r="68" spans="1:5" x14ac:dyDescent="0.55000000000000004">
      <c r="A68" s="3" t="s">
        <v>67</v>
      </c>
    </row>
    <row r="69" spans="1:5" x14ac:dyDescent="0.55000000000000004">
      <c r="A69" s="1" t="s">
        <v>68</v>
      </c>
      <c r="C69" s="1">
        <v>25</v>
      </c>
      <c r="D69" s="2">
        <v>28</v>
      </c>
    </row>
    <row r="70" spans="1:5" x14ac:dyDescent="0.55000000000000004">
      <c r="B70" s="1" t="s">
        <v>94</v>
      </c>
    </row>
    <row r="71" spans="1:5" x14ac:dyDescent="0.55000000000000004">
      <c r="C71" s="5" t="s">
        <v>724</v>
      </c>
      <c r="D71" s="10">
        <f>((48*4.98)+(54*6.09)+(42*3.1))/(SUM(48, 54, 42))</f>
        <v>4.8479166666666673</v>
      </c>
      <c r="E71" s="10">
        <f>SQRT((48*(3.8^2+(D71-4.98)^2)+54*(5.59^2+(D71-6.09)^2)+42*(3.67^2+(D71-3.1)^2))/(48+54+42))</f>
        <v>4.6835091715210959</v>
      </c>
    </row>
    <row r="72" spans="1:5" x14ac:dyDescent="0.55000000000000004">
      <c r="C72" s="5" t="s">
        <v>172</v>
      </c>
      <c r="D72" s="10">
        <f>((48*4.98)+(54*6.09)+(42*3.1))/(SUM(48, 54, 42))</f>
        <v>4.8479166666666673</v>
      </c>
      <c r="E72" s="10">
        <f>SQRT((48*(3.8^2+(D72-4.98)^2)+54*(5.59^2+(D72-6.09)^2)+42*(3.1^2+(D72-3.1)^2))/(48+54+42))</f>
        <v>4.5617700139005501</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AMJ69"/>
  <sheetViews>
    <sheetView topLeftCell="C1" zoomScale="90" zoomScaleNormal="90" workbookViewId="0">
      <selection activeCell="D35" sqref="D35"/>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0.15625" style="1" customWidth="1"/>
    <col min="6" max="6" width="3.578125" style="1" customWidth="1"/>
    <col min="7" max="1024" width="11.41796875" style="1"/>
  </cols>
  <sheetData>
    <row r="1" spans="1:4" x14ac:dyDescent="0.55000000000000004">
      <c r="A1" s="3" t="s">
        <v>0</v>
      </c>
      <c r="D1" s="2" t="s">
        <v>269</v>
      </c>
    </row>
    <row r="2" spans="1:4" x14ac:dyDescent="0.55000000000000004">
      <c r="A2" s="58" t="s">
        <v>2</v>
      </c>
      <c r="B2" s="58"/>
      <c r="D2" s="2" t="s">
        <v>1142</v>
      </c>
    </row>
    <row r="3" spans="1:4" x14ac:dyDescent="0.55000000000000004">
      <c r="A3" s="58"/>
      <c r="B3" s="58"/>
      <c r="C3" s="5" t="s">
        <v>4</v>
      </c>
      <c r="D3" s="2" t="s">
        <v>1143</v>
      </c>
    </row>
    <row r="4" spans="1:4" x14ac:dyDescent="0.55000000000000004">
      <c r="A4" s="58"/>
      <c r="B4" s="58"/>
      <c r="C4" s="5" t="s">
        <v>6</v>
      </c>
      <c r="D4" s="2">
        <v>2020</v>
      </c>
    </row>
    <row r="5" spans="1:4" ht="39" x14ac:dyDescent="0.55000000000000004">
      <c r="A5" s="58"/>
      <c r="B5" s="58"/>
      <c r="C5" s="5" t="s">
        <v>7</v>
      </c>
      <c r="D5" s="2" t="s">
        <v>1144</v>
      </c>
    </row>
    <row r="6" spans="1:4" x14ac:dyDescent="0.55000000000000004">
      <c r="A6" s="58"/>
      <c r="B6" s="58"/>
      <c r="C6" s="5" t="s">
        <v>9</v>
      </c>
      <c r="D6" s="2" t="s">
        <v>1145</v>
      </c>
    </row>
    <row r="7" spans="1:4" x14ac:dyDescent="0.55000000000000004">
      <c r="A7" s="58"/>
      <c r="B7" s="58"/>
      <c r="C7" s="5" t="s">
        <v>11</v>
      </c>
      <c r="D7" s="2" t="s">
        <v>12</v>
      </c>
    </row>
    <row r="8" spans="1:4" x14ac:dyDescent="0.55000000000000004">
      <c r="A8" s="59" t="s">
        <v>13</v>
      </c>
      <c r="B8" s="59"/>
      <c r="C8" s="5"/>
    </row>
    <row r="9" spans="1:4" x14ac:dyDescent="0.55000000000000004">
      <c r="A9" s="58"/>
      <c r="B9" s="58"/>
      <c r="C9" s="5" t="s">
        <v>14</v>
      </c>
      <c r="D9" s="2" t="s">
        <v>1146</v>
      </c>
    </row>
    <row r="10" spans="1:4" x14ac:dyDescent="0.55000000000000004">
      <c r="A10" s="58"/>
      <c r="B10" s="58"/>
      <c r="C10" s="5" t="s">
        <v>16</v>
      </c>
      <c r="D10" s="2" t="s">
        <v>454</v>
      </c>
    </row>
    <row r="11" spans="1:4" x14ac:dyDescent="0.55000000000000004">
      <c r="A11" s="58"/>
      <c r="B11" s="58"/>
      <c r="C11" s="5" t="s">
        <v>19</v>
      </c>
      <c r="D11" s="21">
        <v>42705</v>
      </c>
    </row>
    <row r="12" spans="1:4" x14ac:dyDescent="0.55000000000000004">
      <c r="A12" s="58"/>
      <c r="B12" s="58"/>
      <c r="C12" s="5" t="s">
        <v>21</v>
      </c>
      <c r="D12" s="21">
        <v>43221</v>
      </c>
    </row>
    <row r="13" spans="1:4" x14ac:dyDescent="0.55000000000000004">
      <c r="A13" s="58"/>
      <c r="B13" s="58"/>
      <c r="C13" s="5" t="s">
        <v>22</v>
      </c>
      <c r="D13" s="2" t="s">
        <v>1147</v>
      </c>
    </row>
    <row r="14" spans="1:4" x14ac:dyDescent="0.55000000000000004">
      <c r="A14" s="59" t="s">
        <v>24</v>
      </c>
      <c r="B14" s="59"/>
      <c r="C14" s="5"/>
    </row>
    <row r="15" spans="1:4" x14ac:dyDescent="0.55000000000000004">
      <c r="A15" s="58"/>
      <c r="B15" s="58"/>
      <c r="C15" s="5" t="s">
        <v>25</v>
      </c>
      <c r="D15" s="2" t="s">
        <v>607</v>
      </c>
    </row>
    <row r="16" spans="1:4" x14ac:dyDescent="0.55000000000000004">
      <c r="A16" s="58"/>
      <c r="B16" s="58"/>
      <c r="C16" s="5" t="s">
        <v>27</v>
      </c>
      <c r="D16" s="2" t="s">
        <v>1148</v>
      </c>
    </row>
    <row r="17" spans="1:4" x14ac:dyDescent="0.55000000000000004">
      <c r="A17" s="59" t="s">
        <v>29</v>
      </c>
      <c r="B17" s="59"/>
      <c r="C17" s="5"/>
    </row>
    <row r="18" spans="1:4" ht="39" x14ac:dyDescent="0.55000000000000004">
      <c r="A18" s="58"/>
      <c r="B18" s="58"/>
      <c r="C18" s="5" t="s">
        <v>30</v>
      </c>
      <c r="D18" s="2" t="s">
        <v>1149</v>
      </c>
    </row>
    <row r="19" spans="1:4" ht="39" x14ac:dyDescent="0.55000000000000004">
      <c r="A19" s="58"/>
      <c r="B19" s="58"/>
      <c r="C19" s="5" t="s">
        <v>32</v>
      </c>
      <c r="D19" s="2" t="s">
        <v>1150</v>
      </c>
    </row>
    <row r="20" spans="1:4" x14ac:dyDescent="0.55000000000000004">
      <c r="A20" s="59" t="s">
        <v>34</v>
      </c>
      <c r="B20" s="59"/>
      <c r="C20" s="5"/>
      <c r="D20" s="2" t="s">
        <v>35</v>
      </c>
    </row>
    <row r="21" spans="1:4" x14ac:dyDescent="0.55000000000000004">
      <c r="A21" s="58"/>
      <c r="B21" s="58"/>
      <c r="C21" s="5" t="s">
        <v>36</v>
      </c>
      <c r="D21" s="2">
        <v>50</v>
      </c>
    </row>
    <row r="22" spans="1:4" x14ac:dyDescent="0.55000000000000004">
      <c r="A22" s="58"/>
      <c r="B22" s="58"/>
      <c r="C22" s="5" t="s">
        <v>37</v>
      </c>
      <c r="D22" s="2">
        <v>39</v>
      </c>
    </row>
    <row r="23" spans="1:4" x14ac:dyDescent="0.55000000000000004">
      <c r="A23" s="58"/>
      <c r="B23" s="58"/>
      <c r="C23" s="5" t="s">
        <v>38</v>
      </c>
      <c r="D23" s="2">
        <v>30</v>
      </c>
    </row>
    <row r="24" spans="1:4" x14ac:dyDescent="0.55000000000000004">
      <c r="A24" s="58"/>
      <c r="B24" s="58"/>
      <c r="C24" s="5" t="s">
        <v>39</v>
      </c>
      <c r="D24" s="2">
        <v>9</v>
      </c>
    </row>
    <row r="25" spans="1:4" x14ac:dyDescent="0.55000000000000004">
      <c r="A25" s="58"/>
      <c r="B25" s="58"/>
      <c r="C25" s="5" t="s">
        <v>40</v>
      </c>
      <c r="D25" s="2">
        <v>37</v>
      </c>
    </row>
    <row r="26" spans="1:4" x14ac:dyDescent="0.55000000000000004">
      <c r="A26" s="58"/>
      <c r="B26" s="58"/>
      <c r="C26" s="5" t="s">
        <v>41</v>
      </c>
      <c r="D26" s="7">
        <f>(59.53+64.66)/2</f>
        <v>62.094999999999999</v>
      </c>
    </row>
    <row r="27" spans="1:4" x14ac:dyDescent="0.55000000000000004">
      <c r="A27" s="58"/>
      <c r="B27" s="58"/>
      <c r="C27" s="5" t="s">
        <v>42</v>
      </c>
      <c r="D27" s="7">
        <f>(8.7+9.4)/2</f>
        <v>9.0500000000000007</v>
      </c>
    </row>
    <row r="28" spans="1:4" x14ac:dyDescent="0.55000000000000004">
      <c r="A28" s="58"/>
      <c r="B28" s="58"/>
      <c r="C28" s="5" t="s">
        <v>43</v>
      </c>
      <c r="D28" s="2" t="s">
        <v>20</v>
      </c>
    </row>
    <row r="29" spans="1:4" x14ac:dyDescent="0.55000000000000004">
      <c r="A29" s="58"/>
      <c r="B29" s="58"/>
      <c r="C29" s="5" t="s">
        <v>44</v>
      </c>
      <c r="D29" s="2">
        <v>2</v>
      </c>
    </row>
    <row r="30" spans="1:4" x14ac:dyDescent="0.55000000000000004">
      <c r="A30" s="58"/>
      <c r="B30" s="58"/>
      <c r="C30" s="5" t="s">
        <v>45</v>
      </c>
      <c r="D30" s="7">
        <f>(17.73+25)/2</f>
        <v>21.365000000000002</v>
      </c>
    </row>
    <row r="31" spans="1:4" x14ac:dyDescent="0.55000000000000004">
      <c r="A31" s="58"/>
      <c r="B31" s="58"/>
      <c r="C31" s="5" t="s">
        <v>46</v>
      </c>
      <c r="D31" s="7">
        <f>(6.31+8.39/2)</f>
        <v>10.504999999999999</v>
      </c>
    </row>
    <row r="32" spans="1:4" x14ac:dyDescent="0.55000000000000004">
      <c r="A32" s="59" t="s">
        <v>47</v>
      </c>
      <c r="B32" s="59"/>
      <c r="C32" s="5"/>
    </row>
    <row r="33" spans="1:10" ht="26.1" x14ac:dyDescent="0.55000000000000004">
      <c r="A33" s="58"/>
      <c r="B33" s="58"/>
      <c r="C33" s="5" t="s">
        <v>48</v>
      </c>
      <c r="D33" s="2" t="s">
        <v>1151</v>
      </c>
    </row>
    <row r="34" spans="1:10" x14ac:dyDescent="0.55000000000000004">
      <c r="A34" s="59" t="s">
        <v>50</v>
      </c>
      <c r="B34" s="59"/>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9"/>
      <c r="B36" s="5" t="s">
        <v>59</v>
      </c>
      <c r="C36" s="5"/>
    </row>
    <row r="37" spans="1:10" x14ac:dyDescent="0.55000000000000004">
      <c r="A37" s="59"/>
      <c r="B37" s="5"/>
      <c r="C37" s="5" t="s">
        <v>1152</v>
      </c>
      <c r="D37" s="2">
        <v>1.53</v>
      </c>
      <c r="E37" s="1">
        <v>3.35</v>
      </c>
    </row>
    <row r="38" spans="1:10" x14ac:dyDescent="0.55000000000000004">
      <c r="A38" s="59"/>
      <c r="B38" s="5"/>
      <c r="C38" s="5" t="s">
        <v>1153</v>
      </c>
      <c r="D38" s="2">
        <v>0.73</v>
      </c>
      <c r="E38" s="1">
        <v>1.33</v>
      </c>
    </row>
    <row r="39" spans="1:10" x14ac:dyDescent="0.55000000000000004">
      <c r="A39" s="59"/>
      <c r="B39" s="5"/>
      <c r="C39" s="5" t="s">
        <v>936</v>
      </c>
      <c r="D39" s="2">
        <v>2.66</v>
      </c>
      <c r="E39" s="1">
        <v>2.57</v>
      </c>
    </row>
    <row r="40" spans="1:10" x14ac:dyDescent="0.55000000000000004">
      <c r="A40" s="59"/>
      <c r="B40" s="5"/>
      <c r="C40" s="5" t="s">
        <v>937</v>
      </c>
      <c r="D40" s="2">
        <v>2.33</v>
      </c>
      <c r="E40" s="1">
        <v>2.46</v>
      </c>
    </row>
    <row r="41" spans="1:10" x14ac:dyDescent="0.55000000000000004">
      <c r="A41" s="59"/>
      <c r="B41" s="5"/>
      <c r="C41" s="5"/>
    </row>
    <row r="42" spans="1:10" x14ac:dyDescent="0.55000000000000004">
      <c r="A42" s="59"/>
      <c r="B42" s="5"/>
      <c r="C42" s="5"/>
    </row>
    <row r="43" spans="1:10" x14ac:dyDescent="0.55000000000000004">
      <c r="A43" s="59"/>
      <c r="B43" s="5"/>
      <c r="C43" s="5"/>
    </row>
    <row r="44" spans="1:10" x14ac:dyDescent="0.55000000000000004">
      <c r="A44" s="59"/>
      <c r="B44" s="5"/>
      <c r="C44" s="5"/>
    </row>
    <row r="45" spans="1:10" x14ac:dyDescent="0.55000000000000004">
      <c r="A45" s="59"/>
      <c r="B45" s="5" t="s">
        <v>61</v>
      </c>
      <c r="C45" s="5"/>
    </row>
    <row r="46" spans="1:10" x14ac:dyDescent="0.55000000000000004">
      <c r="A46" s="59"/>
      <c r="B46" s="5"/>
      <c r="C46" s="5" t="s">
        <v>79</v>
      </c>
      <c r="D46" s="2">
        <v>1</v>
      </c>
    </row>
    <row r="47" spans="1:10" x14ac:dyDescent="0.55000000000000004">
      <c r="A47" s="59"/>
      <c r="B47" s="5"/>
      <c r="C47" s="5"/>
    </row>
    <row r="48" spans="1:10" x14ac:dyDescent="0.55000000000000004">
      <c r="A48" s="59"/>
      <c r="B48" s="5"/>
      <c r="C48" s="5"/>
    </row>
    <row r="49" spans="1:3" x14ac:dyDescent="0.55000000000000004">
      <c r="A49" s="59"/>
      <c r="B49" s="5"/>
      <c r="C49" s="5"/>
    </row>
    <row r="50" spans="1:3" x14ac:dyDescent="0.55000000000000004">
      <c r="A50" s="59"/>
      <c r="B50" s="5"/>
      <c r="C50" s="5"/>
    </row>
    <row r="51" spans="1:3" x14ac:dyDescent="0.55000000000000004">
      <c r="A51" s="59"/>
      <c r="B51" s="5"/>
      <c r="C51" s="5"/>
    </row>
    <row r="52" spans="1:3" x14ac:dyDescent="0.55000000000000004">
      <c r="A52" s="59"/>
      <c r="B52" s="5"/>
      <c r="C52" s="8"/>
    </row>
    <row r="53" spans="1:3" x14ac:dyDescent="0.55000000000000004">
      <c r="A53" s="59"/>
      <c r="B53" s="5"/>
      <c r="C53" s="8"/>
    </row>
    <row r="54" spans="1:3" x14ac:dyDescent="0.55000000000000004">
      <c r="A54" s="59"/>
      <c r="B54" s="5"/>
      <c r="C54" s="8"/>
    </row>
    <row r="55" spans="1:3" x14ac:dyDescent="0.55000000000000004">
      <c r="A55" s="59"/>
      <c r="B55" s="5"/>
      <c r="C55" s="8"/>
    </row>
    <row r="56" spans="1:3" x14ac:dyDescent="0.55000000000000004">
      <c r="A56" s="59"/>
      <c r="B56" s="5"/>
      <c r="C56" s="8"/>
    </row>
    <row r="57" spans="1:3" x14ac:dyDescent="0.55000000000000004">
      <c r="A57" s="59"/>
      <c r="B57" s="5"/>
      <c r="C57" s="8"/>
    </row>
    <row r="58" spans="1:3" x14ac:dyDescent="0.55000000000000004">
      <c r="A58" s="59"/>
      <c r="B58" s="5"/>
      <c r="C58" s="8"/>
    </row>
    <row r="59" spans="1:3" x14ac:dyDescent="0.55000000000000004">
      <c r="A59" s="59"/>
      <c r="B59" s="5"/>
      <c r="C59" s="5"/>
    </row>
    <row r="60" spans="1:3" x14ac:dyDescent="0.55000000000000004">
      <c r="A60" s="59"/>
      <c r="B60" s="5"/>
      <c r="C60" s="5"/>
    </row>
    <row r="61" spans="1:3" x14ac:dyDescent="0.55000000000000004">
      <c r="A61" s="59"/>
      <c r="B61" s="5"/>
      <c r="C61" s="5"/>
    </row>
    <row r="62" spans="1:3" x14ac:dyDescent="0.55000000000000004">
      <c r="A62" s="59"/>
      <c r="B62" s="5"/>
      <c r="C62" s="5"/>
    </row>
    <row r="63" spans="1:3" x14ac:dyDescent="0.55000000000000004">
      <c r="A63" s="59"/>
      <c r="B63" s="5"/>
      <c r="C63" s="5"/>
    </row>
    <row r="64" spans="1:3" x14ac:dyDescent="0.55000000000000004">
      <c r="A64" s="59"/>
      <c r="B64" s="5"/>
      <c r="C64" s="5"/>
    </row>
    <row r="65" spans="1:4" x14ac:dyDescent="0.55000000000000004">
      <c r="A65" s="59"/>
      <c r="B65" s="5" t="s">
        <v>62</v>
      </c>
      <c r="C65" s="5"/>
      <c r="D65" s="2">
        <f>6*30</f>
        <v>180</v>
      </c>
    </row>
    <row r="66" spans="1:4" x14ac:dyDescent="0.55000000000000004">
      <c r="A66" s="59"/>
      <c r="B66" s="5" t="s">
        <v>63</v>
      </c>
      <c r="C66" s="5"/>
      <c r="D66" s="2" t="s">
        <v>1154</v>
      </c>
    </row>
    <row r="67" spans="1:4" x14ac:dyDescent="0.55000000000000004">
      <c r="A67" s="59" t="s">
        <v>65</v>
      </c>
      <c r="B67" s="59"/>
      <c r="C67" s="5"/>
      <c r="D67" s="2" t="s">
        <v>1155</v>
      </c>
    </row>
    <row r="68" spans="1:4" x14ac:dyDescent="0.55000000000000004">
      <c r="A68" s="3" t="s">
        <v>67</v>
      </c>
    </row>
    <row r="69" spans="1:4" x14ac:dyDescent="0.55000000000000004">
      <c r="A69" s="1" t="s">
        <v>68</v>
      </c>
      <c r="C69" s="1">
        <v>19</v>
      </c>
      <c r="D69" s="2">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AMJ89"/>
  <sheetViews>
    <sheetView topLeftCell="A28" zoomScale="90" zoomScaleNormal="90" workbookViewId="0">
      <selection activeCell="D39" sqref="D39"/>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8" style="1" customWidth="1"/>
    <col min="6" max="6" width="5.15625" style="1" customWidth="1"/>
    <col min="7" max="1024" width="11.41796875" style="1"/>
  </cols>
  <sheetData>
    <row r="1" spans="1:4" x14ac:dyDescent="0.55000000000000004">
      <c r="A1" s="3" t="s">
        <v>0</v>
      </c>
      <c r="D1" s="2" t="s">
        <v>426</v>
      </c>
    </row>
    <row r="2" spans="1:4" ht="26.1" x14ac:dyDescent="0.55000000000000004">
      <c r="A2" s="58" t="s">
        <v>2</v>
      </c>
      <c r="B2" s="58"/>
      <c r="D2" s="2" t="s">
        <v>1156</v>
      </c>
    </row>
    <row r="3" spans="1:4" x14ac:dyDescent="0.55000000000000004">
      <c r="A3" s="58"/>
      <c r="B3" s="58"/>
      <c r="C3" s="5" t="s">
        <v>4</v>
      </c>
      <c r="D3" s="2" t="s">
        <v>1157</v>
      </c>
    </row>
    <row r="4" spans="1:4" x14ac:dyDescent="0.55000000000000004">
      <c r="A4" s="58"/>
      <c r="B4" s="58"/>
      <c r="C4" s="5" t="s">
        <v>6</v>
      </c>
      <c r="D4" s="2">
        <v>2002</v>
      </c>
    </row>
    <row r="5" spans="1:4" ht="26.1" x14ac:dyDescent="0.55000000000000004">
      <c r="A5" s="58"/>
      <c r="B5" s="58"/>
      <c r="C5" s="5" t="s">
        <v>7</v>
      </c>
      <c r="D5" s="2" t="s">
        <v>1158</v>
      </c>
    </row>
    <row r="6" spans="1:4" x14ac:dyDescent="0.55000000000000004">
      <c r="A6" s="58"/>
      <c r="B6" s="58"/>
      <c r="C6" s="5" t="s">
        <v>9</v>
      </c>
      <c r="D6" s="2" t="s">
        <v>1159</v>
      </c>
    </row>
    <row r="7" spans="1:4" x14ac:dyDescent="0.55000000000000004">
      <c r="A7" s="58"/>
      <c r="B7" s="58"/>
      <c r="C7" s="5" t="s">
        <v>11</v>
      </c>
      <c r="D7" s="2" t="s">
        <v>12</v>
      </c>
    </row>
    <row r="8" spans="1:4" x14ac:dyDescent="0.55000000000000004">
      <c r="A8" s="59" t="s">
        <v>13</v>
      </c>
      <c r="B8" s="59"/>
      <c r="C8" s="5"/>
    </row>
    <row r="9" spans="1:4" ht="26.1" x14ac:dyDescent="0.55000000000000004">
      <c r="A9" s="58"/>
      <c r="B9" s="58"/>
      <c r="C9" s="5" t="s">
        <v>14</v>
      </c>
      <c r="D9" s="2" t="s">
        <v>1160</v>
      </c>
    </row>
    <row r="10" spans="1:4" x14ac:dyDescent="0.55000000000000004">
      <c r="A10" s="58"/>
      <c r="B10" s="58"/>
      <c r="C10" s="5" t="s">
        <v>16</v>
      </c>
      <c r="D10" s="2" t="s">
        <v>165</v>
      </c>
    </row>
    <row r="11" spans="1:4" x14ac:dyDescent="0.55000000000000004">
      <c r="A11" s="58"/>
      <c r="B11" s="58"/>
      <c r="C11" s="5" t="s">
        <v>19</v>
      </c>
      <c r="D11" s="2" t="s">
        <v>20</v>
      </c>
    </row>
    <row r="12" spans="1:4" x14ac:dyDescent="0.55000000000000004">
      <c r="A12" s="58"/>
      <c r="B12" s="58"/>
      <c r="C12" s="5" t="s">
        <v>21</v>
      </c>
      <c r="D12" s="2" t="s">
        <v>20</v>
      </c>
    </row>
    <row r="13" spans="1:4" x14ac:dyDescent="0.55000000000000004">
      <c r="A13" s="58"/>
      <c r="B13" s="58"/>
      <c r="C13" s="5" t="s">
        <v>22</v>
      </c>
      <c r="D13" s="2" t="s">
        <v>20</v>
      </c>
    </row>
    <row r="14" spans="1:4" x14ac:dyDescent="0.55000000000000004">
      <c r="A14" s="59" t="s">
        <v>24</v>
      </c>
      <c r="B14" s="59"/>
      <c r="C14" s="5"/>
    </row>
    <row r="15" spans="1:4" x14ac:dyDescent="0.55000000000000004">
      <c r="A15" s="58"/>
      <c r="B15" s="58"/>
      <c r="C15" s="5" t="s">
        <v>25</v>
      </c>
      <c r="D15" s="2" t="s">
        <v>1161</v>
      </c>
    </row>
    <row r="16" spans="1:4" ht="26.1" x14ac:dyDescent="0.55000000000000004">
      <c r="A16" s="58"/>
      <c r="B16" s="58"/>
      <c r="C16" s="5" t="s">
        <v>27</v>
      </c>
      <c r="D16" s="2" t="s">
        <v>1162</v>
      </c>
    </row>
    <row r="17" spans="1:7" x14ac:dyDescent="0.55000000000000004">
      <c r="A17" s="59" t="s">
        <v>29</v>
      </c>
      <c r="B17" s="59"/>
      <c r="C17" s="5"/>
    </row>
    <row r="18" spans="1:7" ht="39" x14ac:dyDescent="0.55000000000000004">
      <c r="A18" s="58"/>
      <c r="B18" s="58"/>
      <c r="C18" s="5" t="s">
        <v>30</v>
      </c>
      <c r="D18" s="2" t="s">
        <v>1163</v>
      </c>
    </row>
    <row r="19" spans="1:7" ht="39" x14ac:dyDescent="0.55000000000000004">
      <c r="A19" s="58"/>
      <c r="B19" s="58"/>
      <c r="C19" s="5" t="s">
        <v>32</v>
      </c>
      <c r="D19" s="2" t="s">
        <v>1164</v>
      </c>
    </row>
    <row r="20" spans="1:7" x14ac:dyDescent="0.55000000000000004">
      <c r="A20" s="59" t="s">
        <v>34</v>
      </c>
      <c r="B20" s="59"/>
      <c r="C20" s="5"/>
      <c r="D20" s="2" t="s">
        <v>778</v>
      </c>
      <c r="E20" s="1" t="s">
        <v>109</v>
      </c>
      <c r="F20" s="1" t="s">
        <v>35</v>
      </c>
    </row>
    <row r="21" spans="1:7" x14ac:dyDescent="0.55000000000000004">
      <c r="A21" s="58"/>
      <c r="B21" s="58"/>
      <c r="C21" s="5" t="s">
        <v>36</v>
      </c>
      <c r="D21" s="2" t="s">
        <v>20</v>
      </c>
      <c r="F21" s="1">
        <v>90</v>
      </c>
    </row>
    <row r="22" spans="1:7" x14ac:dyDescent="0.55000000000000004">
      <c r="A22" s="58"/>
      <c r="B22" s="58"/>
      <c r="C22" s="5" t="s">
        <v>37</v>
      </c>
      <c r="D22" s="2" t="s">
        <v>20</v>
      </c>
      <c r="F22" s="1">
        <v>84</v>
      </c>
    </row>
    <row r="23" spans="1:7" x14ac:dyDescent="0.55000000000000004">
      <c r="A23" s="58"/>
      <c r="B23" s="58"/>
      <c r="C23" s="5" t="s">
        <v>38</v>
      </c>
      <c r="D23" s="2">
        <v>44</v>
      </c>
      <c r="E23" s="1">
        <v>39</v>
      </c>
      <c r="F23" s="1">
        <v>83</v>
      </c>
    </row>
    <row r="24" spans="1:7" x14ac:dyDescent="0.55000000000000004">
      <c r="A24" s="58"/>
      <c r="B24" s="58"/>
      <c r="C24" s="5" t="s">
        <v>39</v>
      </c>
      <c r="D24" s="2">
        <v>0</v>
      </c>
      <c r="E24" s="1">
        <v>2</v>
      </c>
      <c r="F24" s="1">
        <v>81</v>
      </c>
    </row>
    <row r="25" spans="1:7" x14ac:dyDescent="0.55000000000000004">
      <c r="A25" s="58"/>
      <c r="B25" s="58"/>
      <c r="C25" s="5" t="s">
        <v>40</v>
      </c>
      <c r="D25" s="7">
        <f>14/44</f>
        <v>0.31818181818181818</v>
      </c>
      <c r="E25" s="10">
        <f>9/39</f>
        <v>0.23076923076923078</v>
      </c>
      <c r="F25" s="10">
        <f>23/F24</f>
        <v>0.2839506172839506</v>
      </c>
    </row>
    <row r="26" spans="1:7" x14ac:dyDescent="0.55000000000000004">
      <c r="A26" s="58"/>
      <c r="B26" s="58"/>
      <c r="C26" s="5" t="s">
        <v>41</v>
      </c>
      <c r="D26" s="7">
        <v>62</v>
      </c>
      <c r="E26" s="10">
        <v>65.400000000000006</v>
      </c>
      <c r="F26" s="10">
        <v>64.599999999999994</v>
      </c>
    </row>
    <row r="27" spans="1:7" x14ac:dyDescent="0.55000000000000004">
      <c r="A27" s="58"/>
      <c r="B27" s="58"/>
      <c r="C27" s="5" t="s">
        <v>42</v>
      </c>
      <c r="D27" s="7">
        <v>10.1</v>
      </c>
      <c r="E27" s="10">
        <v>7.1</v>
      </c>
      <c r="F27" s="10">
        <v>8.9</v>
      </c>
    </row>
    <row r="28" spans="1:7" x14ac:dyDescent="0.55000000000000004">
      <c r="A28" s="58"/>
      <c r="B28" s="58"/>
      <c r="C28" s="5" t="s">
        <v>43</v>
      </c>
    </row>
    <row r="29" spans="1:7" x14ac:dyDescent="0.55000000000000004">
      <c r="A29" s="58"/>
      <c r="B29" s="58"/>
      <c r="C29" s="5" t="s">
        <v>44</v>
      </c>
      <c r="D29" s="2">
        <v>2</v>
      </c>
      <c r="E29" s="1">
        <v>2</v>
      </c>
      <c r="F29" s="1">
        <v>2</v>
      </c>
    </row>
    <row r="30" spans="1:7" x14ac:dyDescent="0.55000000000000004">
      <c r="A30" s="58"/>
      <c r="B30" s="58"/>
      <c r="C30" s="5" t="s">
        <v>45</v>
      </c>
      <c r="D30" s="7">
        <v>34.200000000000003</v>
      </c>
      <c r="E30" s="10">
        <v>32.1</v>
      </c>
      <c r="F30" s="10">
        <v>33.200000000000003</v>
      </c>
      <c r="G30" s="1" t="s">
        <v>1165</v>
      </c>
    </row>
    <row r="31" spans="1:7" x14ac:dyDescent="0.55000000000000004">
      <c r="A31" s="58"/>
      <c r="B31" s="58"/>
      <c r="C31" s="5" t="s">
        <v>46</v>
      </c>
      <c r="D31" s="7">
        <v>15.3</v>
      </c>
      <c r="E31" s="10">
        <v>11</v>
      </c>
      <c r="F31" s="10">
        <v>13.4</v>
      </c>
      <c r="G31" s="1" t="s">
        <v>1165</v>
      </c>
    </row>
    <row r="32" spans="1:7" x14ac:dyDescent="0.55000000000000004">
      <c r="A32" s="59" t="s">
        <v>47</v>
      </c>
      <c r="B32" s="59"/>
      <c r="C32" s="5"/>
    </row>
    <row r="33" spans="1:10" ht="64.8" x14ac:dyDescent="0.55000000000000004">
      <c r="A33" s="58"/>
      <c r="B33" s="58"/>
      <c r="C33" s="5" t="s">
        <v>48</v>
      </c>
      <c r="D33" s="2" t="s">
        <v>1166</v>
      </c>
    </row>
    <row r="34" spans="1:10" x14ac:dyDescent="0.55000000000000004">
      <c r="A34" s="59" t="s">
        <v>50</v>
      </c>
      <c r="B34" s="59"/>
      <c r="C34" s="5"/>
    </row>
    <row r="35" spans="1:10" x14ac:dyDescent="0.55000000000000004">
      <c r="A35" s="8"/>
      <c r="B35" s="8"/>
      <c r="C35" s="5"/>
      <c r="D35" s="2" t="s">
        <v>51</v>
      </c>
      <c r="E35" s="1" t="s">
        <v>52</v>
      </c>
      <c r="F35" s="1" t="s">
        <v>53</v>
      </c>
      <c r="G35" s="1" t="s">
        <v>54</v>
      </c>
      <c r="H35" s="1" t="s">
        <v>55</v>
      </c>
      <c r="I35" s="1" t="s">
        <v>56</v>
      </c>
      <c r="J35" s="1" t="s">
        <v>57</v>
      </c>
    </row>
    <row r="36" spans="1:10" s="1" customFormat="1" ht="12.9" x14ac:dyDescent="0.5">
      <c r="A36" s="59"/>
      <c r="B36" s="5" t="s">
        <v>59</v>
      </c>
    </row>
    <row r="37" spans="1:10" x14ac:dyDescent="0.55000000000000004">
      <c r="A37" s="59"/>
      <c r="B37" s="5"/>
      <c r="C37" s="5" t="s">
        <v>1815</v>
      </c>
      <c r="D37" s="7">
        <v>-5.8</v>
      </c>
      <c r="E37" s="10">
        <v>5</v>
      </c>
      <c r="G37" s="5"/>
      <c r="J37" s="1">
        <v>5</v>
      </c>
    </row>
    <row r="38" spans="1:10" x14ac:dyDescent="0.55000000000000004">
      <c r="A38" s="59"/>
      <c r="B38" s="5"/>
      <c r="C38" s="5" t="s">
        <v>1086</v>
      </c>
      <c r="D38" s="7">
        <v>-1.5</v>
      </c>
      <c r="E38" s="10">
        <v>3.2</v>
      </c>
      <c r="J38" s="1">
        <v>3.5</v>
      </c>
    </row>
    <row r="39" spans="1:10" x14ac:dyDescent="0.55000000000000004">
      <c r="A39" s="59"/>
      <c r="B39" s="5"/>
    </row>
    <row r="40" spans="1:10" x14ac:dyDescent="0.55000000000000004">
      <c r="A40" s="59"/>
      <c r="B40" s="5"/>
    </row>
    <row r="41" spans="1:10" x14ac:dyDescent="0.55000000000000004">
      <c r="A41" s="59"/>
      <c r="B41" s="5"/>
    </row>
    <row r="42" spans="1:10" x14ac:dyDescent="0.55000000000000004">
      <c r="A42" s="59"/>
      <c r="B42" s="5"/>
    </row>
    <row r="43" spans="1:10" x14ac:dyDescent="0.55000000000000004">
      <c r="A43" s="59"/>
      <c r="B43" s="5"/>
    </row>
    <row r="44" spans="1:10" x14ac:dyDescent="0.55000000000000004">
      <c r="A44" s="59"/>
      <c r="B44" s="5"/>
    </row>
    <row r="45" spans="1:10" x14ac:dyDescent="0.55000000000000004">
      <c r="A45" s="59"/>
    </row>
    <row r="46" spans="1:10" x14ac:dyDescent="0.55000000000000004">
      <c r="A46" s="59"/>
      <c r="B46" s="5"/>
    </row>
    <row r="47" spans="1:10" x14ac:dyDescent="0.55000000000000004">
      <c r="A47" s="59"/>
      <c r="B47" s="1" t="s">
        <v>61</v>
      </c>
    </row>
    <row r="48" spans="1:10" x14ac:dyDescent="0.55000000000000004">
      <c r="A48" s="59"/>
    </row>
    <row r="49" spans="1:3" x14ac:dyDescent="0.55000000000000004">
      <c r="A49" s="59"/>
      <c r="B49" s="5"/>
    </row>
    <row r="50" spans="1:3" x14ac:dyDescent="0.55000000000000004">
      <c r="A50" s="59"/>
      <c r="B50" s="5"/>
    </row>
    <row r="51" spans="1:3" x14ac:dyDescent="0.55000000000000004">
      <c r="A51" s="59"/>
      <c r="B51" s="5"/>
    </row>
    <row r="52" spans="1:3" x14ac:dyDescent="0.55000000000000004">
      <c r="A52" s="59"/>
      <c r="B52" s="5"/>
      <c r="C52" s="5"/>
    </row>
    <row r="53" spans="1:3" x14ac:dyDescent="0.55000000000000004">
      <c r="A53" s="59"/>
      <c r="B53" s="5"/>
      <c r="C53" s="5"/>
    </row>
    <row r="54" spans="1:3" x14ac:dyDescent="0.55000000000000004">
      <c r="A54" s="59"/>
      <c r="B54" s="5"/>
      <c r="C54" s="5"/>
    </row>
    <row r="55" spans="1:3" s="1" customFormat="1" ht="12.9" x14ac:dyDescent="0.5">
      <c r="A55" s="59"/>
      <c r="B55" s="5"/>
      <c r="C55" s="5"/>
    </row>
    <row r="56" spans="1:3" x14ac:dyDescent="0.55000000000000004">
      <c r="A56" s="59"/>
    </row>
    <row r="57" spans="1:3" x14ac:dyDescent="0.55000000000000004">
      <c r="A57" s="59"/>
    </row>
    <row r="58" spans="1:3" x14ac:dyDescent="0.55000000000000004">
      <c r="A58" s="59"/>
    </row>
    <row r="59" spans="1:3" x14ac:dyDescent="0.55000000000000004">
      <c r="A59" s="59"/>
    </row>
    <row r="60" spans="1:3" s="1" customFormat="1" ht="12.9" x14ac:dyDescent="0.5">
      <c r="A60" s="59"/>
      <c r="B60" s="5"/>
      <c r="C60" s="5"/>
    </row>
    <row r="61" spans="1:3" s="1" customFormat="1" ht="12.9" x14ac:dyDescent="0.5">
      <c r="A61" s="59"/>
      <c r="B61" s="5"/>
      <c r="C61" s="5"/>
    </row>
    <row r="62" spans="1:3" s="1" customFormat="1" ht="12.9" x14ac:dyDescent="0.5">
      <c r="A62" s="59"/>
      <c r="B62" s="5"/>
      <c r="C62" s="5"/>
    </row>
    <row r="63" spans="1:3" s="1" customFormat="1" ht="12.9" x14ac:dyDescent="0.5">
      <c r="A63" s="59"/>
      <c r="B63" s="5"/>
      <c r="C63" s="5"/>
    </row>
    <row r="64" spans="1:3" s="1" customFormat="1" ht="12.9" x14ac:dyDescent="0.5">
      <c r="A64" s="59"/>
      <c r="B64" s="5"/>
      <c r="C64" s="5"/>
    </row>
    <row r="65" spans="1:5" x14ac:dyDescent="0.55000000000000004">
      <c r="A65" s="59"/>
      <c r="B65" s="5" t="s">
        <v>62</v>
      </c>
      <c r="C65" s="5"/>
      <c r="D65" s="2">
        <f>12*7</f>
        <v>84</v>
      </c>
    </row>
    <row r="66" spans="1:5" ht="26.1" x14ac:dyDescent="0.55000000000000004">
      <c r="A66" s="59"/>
      <c r="B66" s="5" t="s">
        <v>63</v>
      </c>
      <c r="C66" s="5"/>
      <c r="D66" s="2" t="s">
        <v>1167</v>
      </c>
    </row>
    <row r="67" spans="1:5" x14ac:dyDescent="0.55000000000000004">
      <c r="A67" s="59" t="s">
        <v>65</v>
      </c>
      <c r="B67" s="59"/>
      <c r="C67" s="5"/>
    </row>
    <row r="68" spans="1:5" x14ac:dyDescent="0.55000000000000004">
      <c r="A68" s="3" t="s">
        <v>67</v>
      </c>
    </row>
    <row r="69" spans="1:5" x14ac:dyDescent="0.55000000000000004">
      <c r="A69" s="1" t="s">
        <v>68</v>
      </c>
      <c r="C69" s="1">
        <v>27</v>
      </c>
      <c r="D69" s="2">
        <v>28</v>
      </c>
    </row>
    <row r="70" spans="1:5" x14ac:dyDescent="0.55000000000000004">
      <c r="B70" s="1" t="s">
        <v>94</v>
      </c>
    </row>
    <row r="71" spans="1:5" x14ac:dyDescent="0.55000000000000004">
      <c r="C71" s="5" t="s">
        <v>1168</v>
      </c>
      <c r="D71" s="2">
        <v>34.200000000000003</v>
      </c>
      <c r="E71" s="1">
        <v>15.3</v>
      </c>
    </row>
    <row r="72" spans="1:5" x14ac:dyDescent="0.55000000000000004">
      <c r="C72" s="5" t="s">
        <v>1169</v>
      </c>
      <c r="D72" s="2">
        <v>32.1</v>
      </c>
      <c r="E72" s="1">
        <v>11</v>
      </c>
    </row>
    <row r="73" spans="1:5" x14ac:dyDescent="0.55000000000000004">
      <c r="C73" s="5" t="s">
        <v>1170</v>
      </c>
      <c r="D73" s="2">
        <v>47.2</v>
      </c>
      <c r="E73" s="1">
        <v>21.1</v>
      </c>
    </row>
    <row r="74" spans="1:5" x14ac:dyDescent="0.55000000000000004">
      <c r="C74" s="5" t="s">
        <v>1171</v>
      </c>
      <c r="D74" s="1">
        <v>43.6</v>
      </c>
      <c r="E74" s="1">
        <v>14.4</v>
      </c>
    </row>
    <row r="76" spans="1:5" x14ac:dyDescent="0.55000000000000004">
      <c r="C76" s="5" t="s">
        <v>1172</v>
      </c>
      <c r="D76" s="1">
        <v>2.2000000000000002</v>
      </c>
      <c r="E76" s="1">
        <v>0.8</v>
      </c>
    </row>
    <row r="77" spans="1:5" x14ac:dyDescent="0.55000000000000004">
      <c r="C77" s="5" t="s">
        <v>1173</v>
      </c>
      <c r="D77" s="1">
        <v>2.1</v>
      </c>
      <c r="E77" s="1">
        <v>0.7</v>
      </c>
    </row>
    <row r="78" spans="1:5" x14ac:dyDescent="0.55000000000000004">
      <c r="C78" s="5" t="s">
        <v>1174</v>
      </c>
      <c r="D78" s="1">
        <v>6.3</v>
      </c>
      <c r="E78" s="1">
        <v>3.4</v>
      </c>
    </row>
    <row r="79" spans="1:5" x14ac:dyDescent="0.55000000000000004">
      <c r="C79" s="5" t="s">
        <v>129</v>
      </c>
      <c r="D79" s="1">
        <v>5.8</v>
      </c>
      <c r="E79" s="1">
        <v>2.2000000000000002</v>
      </c>
    </row>
    <row r="80" spans="1:5" x14ac:dyDescent="0.55000000000000004">
      <c r="C80" s="5" t="s">
        <v>729</v>
      </c>
      <c r="D80" s="2">
        <v>3.3</v>
      </c>
      <c r="E80" s="1">
        <v>1.6</v>
      </c>
    </row>
    <row r="81" spans="3:5" x14ac:dyDescent="0.55000000000000004">
      <c r="C81" s="5" t="s">
        <v>961</v>
      </c>
      <c r="D81" s="1">
        <v>3</v>
      </c>
      <c r="E81" s="1">
        <v>1.8</v>
      </c>
    </row>
    <row r="82" spans="3:5" x14ac:dyDescent="0.55000000000000004">
      <c r="C82" s="1" t="s">
        <v>1175</v>
      </c>
      <c r="D82" s="1">
        <v>41.8</v>
      </c>
      <c r="E82" s="1">
        <v>21.5</v>
      </c>
    </row>
    <row r="83" spans="3:5" x14ac:dyDescent="0.55000000000000004">
      <c r="C83" s="1" t="s">
        <v>1176</v>
      </c>
      <c r="D83" s="1">
        <v>49.5</v>
      </c>
      <c r="E83" s="1">
        <v>21.6</v>
      </c>
    </row>
    <row r="84" spans="3:5" x14ac:dyDescent="0.55000000000000004">
      <c r="C84" s="1" t="s">
        <v>1175</v>
      </c>
      <c r="D84" s="1">
        <v>22.5</v>
      </c>
      <c r="E84" s="1">
        <v>20</v>
      </c>
    </row>
    <row r="85" spans="3:5" x14ac:dyDescent="0.55000000000000004">
      <c r="C85" s="1" t="s">
        <v>1176</v>
      </c>
      <c r="D85" s="1">
        <v>45.4</v>
      </c>
      <c r="E85" s="1">
        <v>21.6</v>
      </c>
    </row>
    <row r="86" spans="3:5" x14ac:dyDescent="0.55000000000000004">
      <c r="C86" s="5" t="s">
        <v>934</v>
      </c>
      <c r="D86" s="7">
        <v>11.9</v>
      </c>
      <c r="E86" s="10">
        <v>5</v>
      </c>
    </row>
    <row r="87" spans="3:5" x14ac:dyDescent="0.55000000000000004">
      <c r="C87" s="5" t="s">
        <v>936</v>
      </c>
      <c r="D87" s="7">
        <v>10.9</v>
      </c>
      <c r="E87" s="10">
        <v>3.5</v>
      </c>
    </row>
    <row r="88" spans="3:5" x14ac:dyDescent="0.55000000000000004">
      <c r="C88" s="5" t="s">
        <v>935</v>
      </c>
      <c r="D88" s="10">
        <v>6.1</v>
      </c>
      <c r="E88" s="10">
        <v>5</v>
      </c>
    </row>
    <row r="89" spans="3:5" x14ac:dyDescent="0.55000000000000004">
      <c r="C89" s="5" t="s">
        <v>937</v>
      </c>
      <c r="D89" s="10">
        <v>9.4</v>
      </c>
      <c r="E89" s="10">
        <v>4.0999999999999996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AMJ69"/>
  <sheetViews>
    <sheetView topLeftCell="A41" zoomScale="90" zoomScaleNormal="90" workbookViewId="0">
      <selection activeCell="E69" sqref="E69"/>
    </sheetView>
  </sheetViews>
  <sheetFormatPr baseColWidth="10" defaultColWidth="11.41796875" defaultRowHeight="14.4" x14ac:dyDescent="0.55000000000000004"/>
  <cols>
    <col min="1" max="1" width="10.83984375" style="1" customWidth="1"/>
    <col min="2" max="2" width="18.83984375" style="1" customWidth="1"/>
    <col min="3" max="3" width="64.83984375" style="1" customWidth="1"/>
    <col min="4" max="4" width="56.15625" style="2" customWidth="1"/>
    <col min="5" max="5" width="12.83984375" style="1" customWidth="1"/>
    <col min="6" max="6" width="2.41796875" style="1" customWidth="1"/>
    <col min="7" max="1024" width="11.41796875" style="1"/>
  </cols>
  <sheetData>
    <row r="1" spans="1:5" x14ac:dyDescent="0.55000000000000004">
      <c r="A1" s="3" t="s">
        <v>0</v>
      </c>
      <c r="D1" s="2" t="s">
        <v>69</v>
      </c>
    </row>
    <row r="2" spans="1:5" ht="26.1" x14ac:dyDescent="0.55000000000000004">
      <c r="A2" s="58" t="s">
        <v>2</v>
      </c>
      <c r="B2" s="58"/>
      <c r="D2" s="2" t="s">
        <v>1177</v>
      </c>
    </row>
    <row r="3" spans="1:5" ht="26.1" x14ac:dyDescent="0.55000000000000004">
      <c r="A3" s="58"/>
      <c r="B3" s="58"/>
      <c r="C3" s="5" t="s">
        <v>4</v>
      </c>
      <c r="D3" s="2" t="s">
        <v>1178</v>
      </c>
    </row>
    <row r="4" spans="1:5" x14ac:dyDescent="0.55000000000000004">
      <c r="A4" s="58"/>
      <c r="B4" s="58"/>
      <c r="C4" s="5" t="s">
        <v>6</v>
      </c>
      <c r="D4" s="2">
        <v>2009</v>
      </c>
    </row>
    <row r="5" spans="1:5" x14ac:dyDescent="0.55000000000000004">
      <c r="A5" s="58"/>
      <c r="B5" s="58"/>
      <c r="C5" s="5" t="s">
        <v>7</v>
      </c>
      <c r="D5" s="2" t="s">
        <v>1179</v>
      </c>
    </row>
    <row r="6" spans="1:5" x14ac:dyDescent="0.55000000000000004">
      <c r="A6" s="58"/>
      <c r="B6" s="58"/>
      <c r="C6" s="5" t="s">
        <v>9</v>
      </c>
      <c r="D6" s="2" t="s">
        <v>10</v>
      </c>
    </row>
    <row r="7" spans="1:5" x14ac:dyDescent="0.55000000000000004">
      <c r="A7" s="58"/>
      <c r="B7" s="58"/>
      <c r="C7" s="5" t="s">
        <v>11</v>
      </c>
      <c r="D7" s="2" t="s">
        <v>12</v>
      </c>
    </row>
    <row r="8" spans="1:5" x14ac:dyDescent="0.55000000000000004">
      <c r="A8" s="59" t="s">
        <v>13</v>
      </c>
      <c r="B8" s="59"/>
      <c r="C8" s="5"/>
    </row>
    <row r="9" spans="1:5" ht="26.1" x14ac:dyDescent="0.55000000000000004">
      <c r="A9" s="58"/>
      <c r="B9" s="58"/>
      <c r="C9" s="5" t="s">
        <v>14</v>
      </c>
      <c r="D9" s="2" t="s">
        <v>1180</v>
      </c>
    </row>
    <row r="10" spans="1:5" x14ac:dyDescent="0.55000000000000004">
      <c r="A10" s="58"/>
      <c r="B10" s="58"/>
      <c r="C10" s="5" t="s">
        <v>16</v>
      </c>
      <c r="D10" s="2" t="s">
        <v>17</v>
      </c>
      <c r="E10" s="1" t="s">
        <v>18</v>
      </c>
    </row>
    <row r="11" spans="1:5" x14ac:dyDescent="0.55000000000000004">
      <c r="A11" s="58"/>
      <c r="B11" s="58"/>
      <c r="C11" s="5" t="s">
        <v>19</v>
      </c>
      <c r="D11" s="2" t="s">
        <v>20</v>
      </c>
    </row>
    <row r="12" spans="1:5" x14ac:dyDescent="0.55000000000000004">
      <c r="A12" s="58"/>
      <c r="B12" s="58"/>
      <c r="C12" s="5" t="s">
        <v>21</v>
      </c>
      <c r="D12" s="2" t="s">
        <v>20</v>
      </c>
    </row>
    <row r="13" spans="1:5" x14ac:dyDescent="0.55000000000000004">
      <c r="A13" s="58"/>
      <c r="B13" s="58"/>
      <c r="C13" s="5" t="s">
        <v>22</v>
      </c>
      <c r="D13" s="2" t="s">
        <v>20</v>
      </c>
    </row>
    <row r="14" spans="1:5" x14ac:dyDescent="0.55000000000000004">
      <c r="A14" s="59" t="s">
        <v>24</v>
      </c>
      <c r="B14" s="59"/>
      <c r="C14" s="5"/>
    </row>
    <row r="15" spans="1:5" x14ac:dyDescent="0.55000000000000004">
      <c r="A15" s="58"/>
      <c r="B15" s="58"/>
      <c r="C15" s="5" t="s">
        <v>25</v>
      </c>
      <c r="D15" s="2" t="s">
        <v>1181</v>
      </c>
    </row>
    <row r="16" spans="1:5" x14ac:dyDescent="0.55000000000000004">
      <c r="A16" s="58"/>
      <c r="B16" s="58"/>
      <c r="C16" s="5" t="s">
        <v>27</v>
      </c>
      <c r="D16" s="2" t="s">
        <v>1182</v>
      </c>
    </row>
    <row r="17" spans="1:5" x14ac:dyDescent="0.55000000000000004">
      <c r="A17" s="59" t="s">
        <v>29</v>
      </c>
      <c r="B17" s="59"/>
      <c r="C17" s="5"/>
    </row>
    <row r="18" spans="1:5" x14ac:dyDescent="0.55000000000000004">
      <c r="A18" s="58"/>
      <c r="B18" s="58"/>
      <c r="C18" s="5" t="s">
        <v>30</v>
      </c>
      <c r="D18" s="2" t="s">
        <v>1183</v>
      </c>
    </row>
    <row r="19" spans="1:5" x14ac:dyDescent="0.55000000000000004">
      <c r="A19" s="58"/>
      <c r="B19" s="58"/>
      <c r="C19" s="5" t="s">
        <v>32</v>
      </c>
      <c r="D19" s="2" t="s">
        <v>20</v>
      </c>
    </row>
    <row r="20" spans="1:5" x14ac:dyDescent="0.55000000000000004">
      <c r="A20" s="59" t="s">
        <v>34</v>
      </c>
      <c r="B20" s="59"/>
      <c r="C20" s="5"/>
      <c r="D20" s="2" t="s">
        <v>35</v>
      </c>
    </row>
    <row r="21" spans="1:5" x14ac:dyDescent="0.55000000000000004">
      <c r="A21" s="58"/>
      <c r="B21" s="58"/>
      <c r="C21" s="5" t="s">
        <v>36</v>
      </c>
      <c r="D21" s="2" t="s">
        <v>20</v>
      </c>
    </row>
    <row r="22" spans="1:5" x14ac:dyDescent="0.55000000000000004">
      <c r="A22" s="58"/>
      <c r="B22" s="58"/>
      <c r="C22" s="5" t="s">
        <v>37</v>
      </c>
      <c r="D22" s="2" t="s">
        <v>20</v>
      </c>
    </row>
    <row r="23" spans="1:5" x14ac:dyDescent="0.55000000000000004">
      <c r="A23" s="58"/>
      <c r="B23" s="58"/>
      <c r="C23" s="5" t="s">
        <v>38</v>
      </c>
      <c r="D23" s="2">
        <v>10</v>
      </c>
    </row>
    <row r="24" spans="1:5" x14ac:dyDescent="0.55000000000000004">
      <c r="A24" s="58"/>
      <c r="B24" s="58"/>
      <c r="C24" s="5" t="s">
        <v>39</v>
      </c>
      <c r="D24" s="2" t="s">
        <v>20</v>
      </c>
    </row>
    <row r="25" spans="1:5" x14ac:dyDescent="0.55000000000000004">
      <c r="A25" s="58"/>
      <c r="B25" s="58"/>
      <c r="C25" s="5" t="s">
        <v>40</v>
      </c>
      <c r="D25" s="7">
        <v>0.4</v>
      </c>
    </row>
    <row r="26" spans="1:5" x14ac:dyDescent="0.55000000000000004">
      <c r="A26" s="58"/>
      <c r="B26" s="58"/>
      <c r="C26" s="5" t="s">
        <v>41</v>
      </c>
      <c r="D26" s="7">
        <v>60</v>
      </c>
    </row>
    <row r="27" spans="1:5" x14ac:dyDescent="0.55000000000000004">
      <c r="A27" s="58"/>
      <c r="B27" s="58"/>
      <c r="C27" s="5" t="s">
        <v>42</v>
      </c>
      <c r="D27" s="7">
        <v>3.7</v>
      </c>
    </row>
    <row r="28" spans="1:5" x14ac:dyDescent="0.55000000000000004">
      <c r="A28" s="58"/>
      <c r="B28" s="58"/>
      <c r="C28" s="5" t="s">
        <v>43</v>
      </c>
      <c r="D28" s="2" t="s">
        <v>20</v>
      </c>
    </row>
    <row r="29" spans="1:5" x14ac:dyDescent="0.55000000000000004">
      <c r="A29" s="58"/>
      <c r="B29" s="58"/>
      <c r="C29" s="5" t="s">
        <v>44</v>
      </c>
      <c r="D29" s="2" t="s">
        <v>20</v>
      </c>
    </row>
    <row r="30" spans="1:5" x14ac:dyDescent="0.55000000000000004">
      <c r="A30" s="58"/>
      <c r="B30" s="58"/>
      <c r="C30" s="5" t="s">
        <v>45</v>
      </c>
      <c r="D30" s="2">
        <v>23</v>
      </c>
      <c r="E30" s="1" t="s">
        <v>1066</v>
      </c>
    </row>
    <row r="31" spans="1:5" x14ac:dyDescent="0.55000000000000004">
      <c r="A31" s="58"/>
      <c r="B31" s="58"/>
      <c r="C31" s="5" t="s">
        <v>46</v>
      </c>
      <c r="D31" s="2">
        <v>14</v>
      </c>
      <c r="E31" s="1" t="s">
        <v>1066</v>
      </c>
    </row>
    <row r="32" spans="1:5" x14ac:dyDescent="0.55000000000000004">
      <c r="A32" s="59" t="s">
        <v>47</v>
      </c>
      <c r="B32" s="59"/>
      <c r="C32" s="5"/>
    </row>
    <row r="33" spans="1:10" x14ac:dyDescent="0.55000000000000004">
      <c r="A33" s="58"/>
      <c r="B33" s="58"/>
      <c r="C33" s="5" t="s">
        <v>48</v>
      </c>
      <c r="D33" s="2" t="s">
        <v>1184</v>
      </c>
    </row>
    <row r="34" spans="1:10" x14ac:dyDescent="0.55000000000000004">
      <c r="A34" s="59" t="s">
        <v>50</v>
      </c>
      <c r="B34" s="59"/>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9"/>
      <c r="B36" s="5" t="s">
        <v>59</v>
      </c>
      <c r="C36" s="5"/>
    </row>
    <row r="37" spans="1:10" x14ac:dyDescent="0.55000000000000004">
      <c r="A37" s="59"/>
      <c r="B37" s="5"/>
      <c r="C37" s="5"/>
    </row>
    <row r="38" spans="1:10" x14ac:dyDescent="0.55000000000000004">
      <c r="A38" s="59"/>
      <c r="B38" s="5"/>
      <c r="C38" s="5"/>
      <c r="E38" s="3"/>
    </row>
    <row r="39" spans="1:10" x14ac:dyDescent="0.55000000000000004">
      <c r="A39" s="59"/>
      <c r="B39" s="5"/>
      <c r="C39" s="5"/>
    </row>
    <row r="40" spans="1:10" x14ac:dyDescent="0.55000000000000004">
      <c r="A40" s="59"/>
      <c r="B40" s="5"/>
      <c r="C40" s="5"/>
    </row>
    <row r="41" spans="1:10" x14ac:dyDescent="0.55000000000000004">
      <c r="A41" s="59"/>
      <c r="B41" s="5"/>
    </row>
    <row r="42" spans="1:10" x14ac:dyDescent="0.55000000000000004">
      <c r="A42" s="59"/>
      <c r="B42" s="5"/>
    </row>
    <row r="43" spans="1:10" x14ac:dyDescent="0.55000000000000004">
      <c r="A43" s="59"/>
      <c r="B43" s="5"/>
    </row>
    <row r="44" spans="1:10" x14ac:dyDescent="0.55000000000000004">
      <c r="A44" s="59"/>
      <c r="B44" s="5"/>
      <c r="C44" s="5"/>
    </row>
    <row r="45" spans="1:10" x14ac:dyDescent="0.55000000000000004">
      <c r="A45" s="59"/>
      <c r="B45" s="5" t="s">
        <v>61</v>
      </c>
      <c r="C45" s="5"/>
    </row>
    <row r="46" spans="1:10" x14ac:dyDescent="0.55000000000000004">
      <c r="A46" s="59"/>
      <c r="B46" s="5"/>
      <c r="C46" s="5" t="s">
        <v>1185</v>
      </c>
      <c r="D46" s="2">
        <v>212</v>
      </c>
      <c r="E46" s="49">
        <f>F46*SQRT($D$23)</f>
        <v>252.98221281347037</v>
      </c>
      <c r="F46" s="1">
        <v>80</v>
      </c>
    </row>
    <row r="47" spans="1:10" x14ac:dyDescent="0.55000000000000004">
      <c r="A47" s="59"/>
      <c r="B47" s="5"/>
      <c r="C47" s="5" t="s">
        <v>1186</v>
      </c>
      <c r="D47" s="2">
        <v>62</v>
      </c>
      <c r="E47" s="49">
        <f>F47*SQRT($D$23)</f>
        <v>82.219219164377861</v>
      </c>
      <c r="F47" s="1">
        <v>26</v>
      </c>
    </row>
    <row r="48" spans="1:10" x14ac:dyDescent="0.55000000000000004">
      <c r="A48" s="59"/>
      <c r="B48" s="5"/>
      <c r="C48" s="5"/>
    </row>
    <row r="49" spans="1:3" x14ac:dyDescent="0.55000000000000004">
      <c r="A49" s="59"/>
      <c r="B49" s="5"/>
      <c r="C49" s="5"/>
    </row>
    <row r="50" spans="1:3" x14ac:dyDescent="0.55000000000000004">
      <c r="A50" s="59"/>
      <c r="B50" s="5"/>
      <c r="C50" s="5"/>
    </row>
    <row r="51" spans="1:3" x14ac:dyDescent="0.55000000000000004">
      <c r="A51" s="59"/>
      <c r="B51" s="5"/>
      <c r="C51" s="5"/>
    </row>
    <row r="52" spans="1:3" x14ac:dyDescent="0.55000000000000004">
      <c r="A52" s="59"/>
      <c r="B52" s="5"/>
      <c r="C52" s="5"/>
    </row>
    <row r="53" spans="1:3" x14ac:dyDescent="0.55000000000000004">
      <c r="A53" s="59"/>
      <c r="B53" s="5"/>
      <c r="C53" s="5"/>
    </row>
    <row r="54" spans="1:3" x14ac:dyDescent="0.55000000000000004">
      <c r="A54" s="59"/>
      <c r="B54" s="5"/>
      <c r="C54" s="5"/>
    </row>
    <row r="55" spans="1:3" x14ac:dyDescent="0.55000000000000004">
      <c r="A55" s="59"/>
      <c r="B55" s="5"/>
      <c r="C55" s="5"/>
    </row>
    <row r="56" spans="1:3" x14ac:dyDescent="0.55000000000000004">
      <c r="A56" s="59"/>
      <c r="B56" s="5"/>
      <c r="C56" s="5"/>
    </row>
    <row r="57" spans="1:3" x14ac:dyDescent="0.55000000000000004">
      <c r="A57" s="59"/>
      <c r="B57" s="5"/>
      <c r="C57" s="5"/>
    </row>
    <row r="58" spans="1:3" x14ac:dyDescent="0.55000000000000004">
      <c r="A58" s="59"/>
      <c r="B58" s="5"/>
      <c r="C58" s="5"/>
    </row>
    <row r="59" spans="1:3" x14ac:dyDescent="0.55000000000000004">
      <c r="A59" s="59"/>
      <c r="B59" s="5"/>
      <c r="C59" s="5"/>
    </row>
    <row r="60" spans="1:3" x14ac:dyDescent="0.55000000000000004">
      <c r="A60" s="59"/>
      <c r="B60" s="5"/>
      <c r="C60" s="5"/>
    </row>
    <row r="61" spans="1:3" x14ac:dyDescent="0.55000000000000004">
      <c r="A61" s="59"/>
      <c r="B61" s="5"/>
      <c r="C61" s="5"/>
    </row>
    <row r="62" spans="1:3" x14ac:dyDescent="0.55000000000000004">
      <c r="A62" s="59"/>
      <c r="B62" s="5"/>
      <c r="C62" s="5"/>
    </row>
    <row r="63" spans="1:3" x14ac:dyDescent="0.55000000000000004">
      <c r="A63" s="59"/>
      <c r="B63" s="5"/>
      <c r="C63" s="5"/>
    </row>
    <row r="64" spans="1:3" x14ac:dyDescent="0.55000000000000004">
      <c r="A64" s="59"/>
      <c r="B64" s="5"/>
      <c r="C64" s="5"/>
    </row>
    <row r="65" spans="1:4" x14ac:dyDescent="0.55000000000000004">
      <c r="A65" s="59"/>
      <c r="B65" s="5" t="s">
        <v>62</v>
      </c>
      <c r="C65" s="5"/>
      <c r="D65" s="2">
        <f>1/1440*30</f>
        <v>2.0833333333333336E-2</v>
      </c>
    </row>
    <row r="66" spans="1:4" x14ac:dyDescent="0.55000000000000004">
      <c r="A66" s="59"/>
      <c r="B66" s="5" t="s">
        <v>63</v>
      </c>
      <c r="C66" s="5"/>
      <c r="D66" s="50" t="s">
        <v>64</v>
      </c>
    </row>
    <row r="67" spans="1:4" x14ac:dyDescent="0.55000000000000004">
      <c r="A67" s="59" t="s">
        <v>65</v>
      </c>
      <c r="B67" s="59"/>
      <c r="C67" s="5"/>
      <c r="D67" s="2" t="s">
        <v>1187</v>
      </c>
    </row>
    <row r="68" spans="1:4" x14ac:dyDescent="0.55000000000000004">
      <c r="A68" s="3" t="s">
        <v>67</v>
      </c>
    </row>
    <row r="69" spans="1:4" x14ac:dyDescent="0.55000000000000004">
      <c r="A69" s="1" t="s">
        <v>68</v>
      </c>
      <c r="C69" s="1">
        <v>13</v>
      </c>
      <c r="D69" s="2">
        <v>22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AMJ69"/>
  <sheetViews>
    <sheetView zoomScale="90" zoomScaleNormal="90" workbookViewId="0">
      <selection activeCell="D5" sqref="D5"/>
    </sheetView>
  </sheetViews>
  <sheetFormatPr baseColWidth="10" defaultColWidth="11.41796875" defaultRowHeight="14.4" x14ac:dyDescent="0.55000000000000004"/>
  <cols>
    <col min="1" max="1" width="10.83984375" style="1" customWidth="1"/>
    <col min="2" max="2" width="18.83984375" style="1" customWidth="1"/>
    <col min="3" max="3" width="54.41796875" style="1" customWidth="1"/>
    <col min="4" max="4" width="56.15625" style="2" customWidth="1"/>
    <col min="5" max="5" width="11.15625" style="1" customWidth="1"/>
    <col min="6" max="6" width="3.578125" style="1" customWidth="1"/>
    <col min="7" max="1024" width="11.41796875" style="1"/>
  </cols>
  <sheetData>
    <row r="1" spans="1:4" x14ac:dyDescent="0.55000000000000004">
      <c r="A1" s="3" t="s">
        <v>0</v>
      </c>
      <c r="D1" s="2" t="s">
        <v>861</v>
      </c>
    </row>
    <row r="2" spans="1:4" ht="26.1" x14ac:dyDescent="0.55000000000000004">
      <c r="A2" s="58" t="s">
        <v>2</v>
      </c>
      <c r="B2" s="58"/>
      <c r="D2" s="2" t="s">
        <v>1188</v>
      </c>
    </row>
    <row r="3" spans="1:4" x14ac:dyDescent="0.55000000000000004">
      <c r="A3" s="58"/>
      <c r="B3" s="58"/>
      <c r="C3" s="5" t="s">
        <v>4</v>
      </c>
      <c r="D3" s="2" t="s">
        <v>1189</v>
      </c>
    </row>
    <row r="4" spans="1:4" x14ac:dyDescent="0.55000000000000004">
      <c r="A4" s="58"/>
      <c r="B4" s="58"/>
      <c r="C4" s="5" t="s">
        <v>6</v>
      </c>
      <c r="D4" s="2">
        <v>2002</v>
      </c>
    </row>
    <row r="5" spans="1:4" ht="26.1" x14ac:dyDescent="0.55000000000000004">
      <c r="A5" s="58"/>
      <c r="B5" s="58"/>
      <c r="C5" s="5" t="s">
        <v>7</v>
      </c>
      <c r="D5" s="2" t="s">
        <v>1190</v>
      </c>
    </row>
    <row r="6" spans="1:4" x14ac:dyDescent="0.55000000000000004">
      <c r="A6" s="58"/>
      <c r="B6" s="58"/>
      <c r="C6" s="5" t="s">
        <v>9</v>
      </c>
      <c r="D6" s="2" t="s">
        <v>648</v>
      </c>
    </row>
    <row r="7" spans="1:4" x14ac:dyDescent="0.55000000000000004">
      <c r="A7" s="58"/>
      <c r="B7" s="58"/>
      <c r="C7" s="5" t="s">
        <v>11</v>
      </c>
      <c r="D7" s="2" t="s">
        <v>12</v>
      </c>
    </row>
    <row r="8" spans="1:4" x14ac:dyDescent="0.55000000000000004">
      <c r="A8" s="59" t="s">
        <v>13</v>
      </c>
      <c r="B8" s="59"/>
      <c r="C8" s="5"/>
    </row>
    <row r="9" spans="1:4" ht="26.1" x14ac:dyDescent="0.55000000000000004">
      <c r="A9" s="58"/>
      <c r="B9" s="58"/>
      <c r="C9" s="5" t="s">
        <v>14</v>
      </c>
      <c r="D9" s="2" t="s">
        <v>1191</v>
      </c>
    </row>
    <row r="10" spans="1:4" x14ac:dyDescent="0.55000000000000004">
      <c r="A10" s="58"/>
      <c r="B10" s="58"/>
      <c r="C10" s="5" t="s">
        <v>16</v>
      </c>
      <c r="D10" s="2" t="s">
        <v>165</v>
      </c>
    </row>
    <row r="11" spans="1:4" x14ac:dyDescent="0.55000000000000004">
      <c r="A11" s="58"/>
      <c r="B11" s="58"/>
      <c r="C11" s="5" t="s">
        <v>19</v>
      </c>
      <c r="D11" s="2" t="s">
        <v>20</v>
      </c>
    </row>
    <row r="12" spans="1:4" x14ac:dyDescent="0.55000000000000004">
      <c r="A12" s="58"/>
      <c r="B12" s="58"/>
      <c r="C12" s="5" t="s">
        <v>21</v>
      </c>
      <c r="D12" s="2" t="s">
        <v>20</v>
      </c>
    </row>
    <row r="13" spans="1:4" x14ac:dyDescent="0.55000000000000004">
      <c r="A13" s="58"/>
      <c r="B13" s="58"/>
      <c r="C13" s="5" t="s">
        <v>22</v>
      </c>
      <c r="D13" s="2" t="s">
        <v>20</v>
      </c>
    </row>
    <row r="14" spans="1:4" x14ac:dyDescent="0.55000000000000004">
      <c r="A14" s="59" t="s">
        <v>24</v>
      </c>
      <c r="B14" s="59"/>
      <c r="C14" s="5"/>
    </row>
    <row r="15" spans="1:4" x14ac:dyDescent="0.55000000000000004">
      <c r="A15" s="58"/>
      <c r="B15" s="58"/>
      <c r="C15" s="5" t="s">
        <v>25</v>
      </c>
      <c r="D15" s="2" t="s">
        <v>87</v>
      </c>
    </row>
    <row r="16" spans="1:4" x14ac:dyDescent="0.55000000000000004">
      <c r="A16" s="58"/>
      <c r="B16" s="58"/>
      <c r="C16" s="5" t="s">
        <v>27</v>
      </c>
      <c r="D16" s="2" t="s">
        <v>972</v>
      </c>
    </row>
    <row r="17" spans="1:4" x14ac:dyDescent="0.55000000000000004">
      <c r="A17" s="59" t="s">
        <v>29</v>
      </c>
      <c r="B17" s="59"/>
      <c r="C17" s="5"/>
    </row>
    <row r="18" spans="1:4" x14ac:dyDescent="0.55000000000000004">
      <c r="A18" s="58"/>
      <c r="B18" s="58"/>
      <c r="C18" s="5" t="s">
        <v>30</v>
      </c>
      <c r="D18" s="2" t="s">
        <v>721</v>
      </c>
    </row>
    <row r="19" spans="1:4" ht="39" x14ac:dyDescent="0.55000000000000004">
      <c r="A19" s="58"/>
      <c r="B19" s="58"/>
      <c r="C19" s="5" t="s">
        <v>32</v>
      </c>
      <c r="D19" s="2" t="s">
        <v>1192</v>
      </c>
    </row>
    <row r="20" spans="1:4" x14ac:dyDescent="0.55000000000000004">
      <c r="A20" s="59" t="s">
        <v>34</v>
      </c>
      <c r="B20" s="59"/>
      <c r="C20" s="5"/>
      <c r="D20" s="2" t="s">
        <v>35</v>
      </c>
    </row>
    <row r="21" spans="1:4" x14ac:dyDescent="0.55000000000000004">
      <c r="A21" s="58"/>
      <c r="B21" s="58"/>
      <c r="C21" s="5" t="s">
        <v>36</v>
      </c>
      <c r="D21" s="2" t="s">
        <v>20</v>
      </c>
    </row>
    <row r="22" spans="1:4" x14ac:dyDescent="0.55000000000000004">
      <c r="A22" s="58"/>
      <c r="B22" s="58"/>
      <c r="C22" s="5" t="s">
        <v>37</v>
      </c>
      <c r="D22" s="2">
        <v>99</v>
      </c>
    </row>
    <row r="23" spans="1:4" x14ac:dyDescent="0.55000000000000004">
      <c r="A23" s="58"/>
      <c r="B23" s="58"/>
      <c r="C23" s="5" t="s">
        <v>38</v>
      </c>
      <c r="D23" s="2">
        <v>84</v>
      </c>
    </row>
    <row r="24" spans="1:4" x14ac:dyDescent="0.55000000000000004">
      <c r="A24" s="58"/>
      <c r="B24" s="58"/>
      <c r="C24" s="5" t="s">
        <v>39</v>
      </c>
      <c r="D24" s="2">
        <v>15</v>
      </c>
    </row>
    <row r="25" spans="1:4" x14ac:dyDescent="0.55000000000000004">
      <c r="A25" s="58"/>
      <c r="B25" s="58"/>
      <c r="C25" s="5" t="s">
        <v>40</v>
      </c>
      <c r="D25" s="2">
        <v>36</v>
      </c>
    </row>
    <row r="26" spans="1:4" x14ac:dyDescent="0.55000000000000004">
      <c r="A26" s="58"/>
      <c r="B26" s="58"/>
      <c r="C26" s="5" t="s">
        <v>41</v>
      </c>
      <c r="D26" s="2" t="s">
        <v>20</v>
      </c>
    </row>
    <row r="27" spans="1:4" x14ac:dyDescent="0.55000000000000004">
      <c r="A27" s="58"/>
      <c r="B27" s="58"/>
      <c r="C27" s="5" t="s">
        <v>42</v>
      </c>
      <c r="D27" s="2" t="s">
        <v>20</v>
      </c>
    </row>
    <row r="28" spans="1:4" x14ac:dyDescent="0.55000000000000004">
      <c r="A28" s="58"/>
      <c r="B28" s="58"/>
      <c r="C28" s="5" t="s">
        <v>43</v>
      </c>
      <c r="D28" s="2">
        <v>66</v>
      </c>
    </row>
    <row r="29" spans="1:4" x14ac:dyDescent="0.55000000000000004">
      <c r="A29" s="58"/>
      <c r="B29" s="58"/>
      <c r="C29" s="5" t="s">
        <v>44</v>
      </c>
      <c r="D29" s="2" t="s">
        <v>20</v>
      </c>
    </row>
    <row r="30" spans="1:4" x14ac:dyDescent="0.55000000000000004">
      <c r="A30" s="58"/>
      <c r="B30" s="58"/>
      <c r="C30" s="5" t="s">
        <v>45</v>
      </c>
      <c r="D30" s="2" t="s">
        <v>20</v>
      </c>
    </row>
    <row r="31" spans="1:4" x14ac:dyDescent="0.55000000000000004">
      <c r="A31" s="58"/>
      <c r="B31" s="58"/>
      <c r="C31" s="5" t="s">
        <v>46</v>
      </c>
      <c r="D31" s="2" t="s">
        <v>20</v>
      </c>
    </row>
    <row r="32" spans="1:4" x14ac:dyDescent="0.55000000000000004">
      <c r="A32" s="59" t="s">
        <v>47</v>
      </c>
      <c r="B32" s="59"/>
      <c r="C32" s="5"/>
    </row>
    <row r="33" spans="1:10" ht="26.1" x14ac:dyDescent="0.55000000000000004">
      <c r="A33" s="58"/>
      <c r="B33" s="58"/>
      <c r="C33" s="5" t="s">
        <v>48</v>
      </c>
      <c r="D33" s="2" t="s">
        <v>1193</v>
      </c>
    </row>
    <row r="34" spans="1:10" x14ac:dyDescent="0.55000000000000004">
      <c r="A34" s="59" t="s">
        <v>50</v>
      </c>
      <c r="B34" s="59"/>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9"/>
      <c r="B36" s="5" t="s">
        <v>59</v>
      </c>
      <c r="C36" s="5"/>
    </row>
    <row r="37" spans="1:10" x14ac:dyDescent="0.55000000000000004">
      <c r="A37" s="59"/>
      <c r="B37" s="5"/>
    </row>
    <row r="38" spans="1:10" x14ac:dyDescent="0.55000000000000004">
      <c r="A38" s="59"/>
      <c r="B38" s="5"/>
    </row>
    <row r="39" spans="1:10" x14ac:dyDescent="0.55000000000000004">
      <c r="A39" s="59"/>
      <c r="B39" s="5"/>
      <c r="C39" s="5"/>
    </row>
    <row r="40" spans="1:10" x14ac:dyDescent="0.55000000000000004">
      <c r="A40" s="59"/>
      <c r="B40" s="5"/>
      <c r="C40" s="5"/>
    </row>
    <row r="41" spans="1:10" x14ac:dyDescent="0.55000000000000004">
      <c r="A41" s="59"/>
      <c r="B41" s="5"/>
      <c r="C41" s="8"/>
    </row>
    <row r="42" spans="1:10" x14ac:dyDescent="0.55000000000000004">
      <c r="A42" s="59"/>
      <c r="B42" s="5"/>
      <c r="C42" s="8"/>
    </row>
    <row r="43" spans="1:10" x14ac:dyDescent="0.55000000000000004">
      <c r="A43" s="59"/>
      <c r="B43" s="5"/>
    </row>
    <row r="44" spans="1:10" x14ac:dyDescent="0.55000000000000004">
      <c r="A44" s="59"/>
      <c r="B44" s="5"/>
    </row>
    <row r="45" spans="1:10" x14ac:dyDescent="0.55000000000000004">
      <c r="A45" s="59"/>
      <c r="B45" s="5" t="s">
        <v>61</v>
      </c>
      <c r="C45" s="5"/>
    </row>
    <row r="46" spans="1:10" x14ac:dyDescent="0.55000000000000004">
      <c r="A46" s="59"/>
      <c r="B46" s="5"/>
      <c r="C46" s="5" t="s">
        <v>1194</v>
      </c>
      <c r="D46" s="2">
        <v>2.5</v>
      </c>
      <c r="E46" s="10">
        <f>SQRT(99) * (3.5-2.5) / 3.92</f>
        <v>2.5382332579250511</v>
      </c>
    </row>
    <row r="47" spans="1:10" x14ac:dyDescent="0.55000000000000004">
      <c r="A47" s="59"/>
      <c r="B47" s="5"/>
      <c r="C47" s="5" t="s">
        <v>1195</v>
      </c>
      <c r="D47" s="2">
        <v>0.5</v>
      </c>
      <c r="E47" s="10">
        <f>SQRT(99) * (2-0.3) / 3.92</f>
        <v>4.3149965384725864</v>
      </c>
    </row>
    <row r="48" spans="1:10" x14ac:dyDescent="0.55000000000000004">
      <c r="A48" s="59"/>
      <c r="B48" s="5"/>
      <c r="C48" s="5" t="s">
        <v>79</v>
      </c>
      <c r="D48" s="2">
        <v>1</v>
      </c>
    </row>
    <row r="49" spans="1:3" x14ac:dyDescent="0.55000000000000004">
      <c r="A49" s="59"/>
      <c r="B49" s="5"/>
      <c r="C49" s="5"/>
    </row>
    <row r="50" spans="1:3" x14ac:dyDescent="0.55000000000000004">
      <c r="A50" s="59"/>
      <c r="B50" s="5"/>
      <c r="C50" s="5"/>
    </row>
    <row r="51" spans="1:3" x14ac:dyDescent="0.55000000000000004">
      <c r="A51" s="59"/>
      <c r="B51" s="5"/>
      <c r="C51" s="5"/>
    </row>
    <row r="52" spans="1:3" x14ac:dyDescent="0.55000000000000004">
      <c r="A52" s="59"/>
      <c r="B52" s="5"/>
      <c r="C52" s="5"/>
    </row>
    <row r="53" spans="1:3" x14ac:dyDescent="0.55000000000000004">
      <c r="A53" s="59"/>
      <c r="B53" s="5"/>
      <c r="C53" s="5"/>
    </row>
    <row r="54" spans="1:3" x14ac:dyDescent="0.55000000000000004">
      <c r="A54" s="59"/>
      <c r="B54" s="5"/>
      <c r="C54" s="5"/>
    </row>
    <row r="55" spans="1:3" x14ac:dyDescent="0.55000000000000004">
      <c r="A55" s="59"/>
      <c r="B55" s="5"/>
      <c r="C55" s="5"/>
    </row>
    <row r="56" spans="1:3" x14ac:dyDescent="0.55000000000000004">
      <c r="A56" s="59"/>
      <c r="B56" s="5"/>
      <c r="C56" s="5"/>
    </row>
    <row r="57" spans="1:3" x14ac:dyDescent="0.55000000000000004">
      <c r="A57" s="59"/>
      <c r="B57" s="5"/>
      <c r="C57" s="5"/>
    </row>
    <row r="58" spans="1:3" x14ac:dyDescent="0.55000000000000004">
      <c r="A58" s="59"/>
      <c r="B58" s="5"/>
      <c r="C58" s="5"/>
    </row>
    <row r="59" spans="1:3" x14ac:dyDescent="0.55000000000000004">
      <c r="A59" s="59"/>
      <c r="B59" s="5"/>
      <c r="C59" s="5"/>
    </row>
    <row r="60" spans="1:3" x14ac:dyDescent="0.55000000000000004">
      <c r="A60" s="59"/>
      <c r="B60" s="5"/>
      <c r="C60" s="5"/>
    </row>
    <row r="61" spans="1:3" x14ac:dyDescent="0.55000000000000004">
      <c r="A61" s="59"/>
      <c r="B61" s="5"/>
      <c r="C61" s="5"/>
    </row>
    <row r="62" spans="1:3" x14ac:dyDescent="0.55000000000000004">
      <c r="A62" s="59"/>
      <c r="B62" s="5"/>
      <c r="C62" s="5"/>
    </row>
    <row r="63" spans="1:3" x14ac:dyDescent="0.55000000000000004">
      <c r="A63" s="59"/>
      <c r="B63" s="5"/>
      <c r="C63" s="5"/>
    </row>
    <row r="64" spans="1:3" x14ac:dyDescent="0.55000000000000004">
      <c r="A64" s="59"/>
      <c r="B64" s="5"/>
      <c r="C64" s="5"/>
    </row>
    <row r="65" spans="1:4" x14ac:dyDescent="0.55000000000000004">
      <c r="A65" s="59"/>
      <c r="B65" s="5" t="s">
        <v>62</v>
      </c>
      <c r="C65" s="5"/>
      <c r="D65" s="2">
        <f>16*7</f>
        <v>112</v>
      </c>
    </row>
    <row r="66" spans="1:4" x14ac:dyDescent="0.55000000000000004">
      <c r="A66" s="59"/>
      <c r="B66" s="5" t="s">
        <v>63</v>
      </c>
      <c r="C66" s="5"/>
      <c r="D66" s="2" t="s">
        <v>1196</v>
      </c>
    </row>
    <row r="67" spans="1:4" ht="39" x14ac:dyDescent="0.55000000000000004">
      <c r="A67" s="59" t="s">
        <v>65</v>
      </c>
      <c r="B67" s="59"/>
      <c r="C67" s="5"/>
      <c r="D67" s="2" t="s">
        <v>1197</v>
      </c>
    </row>
    <row r="68" spans="1:4" x14ac:dyDescent="0.55000000000000004">
      <c r="A68" s="3" t="s">
        <v>67</v>
      </c>
    </row>
    <row r="69" spans="1:4" x14ac:dyDescent="0.55000000000000004">
      <c r="A69" s="1" t="s">
        <v>68</v>
      </c>
      <c r="C69" s="1">
        <v>17</v>
      </c>
      <c r="D69" s="2">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AMJ69"/>
  <sheetViews>
    <sheetView topLeftCell="B8" zoomScale="90" zoomScaleNormal="90" workbookViewId="0">
      <selection activeCell="D33" sqref="D33"/>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0.15625" style="1" customWidth="1"/>
    <col min="6" max="6" width="3.41796875" style="1" customWidth="1"/>
    <col min="7" max="1024" width="11.41796875" style="1"/>
  </cols>
  <sheetData>
    <row r="1" spans="1:5" x14ac:dyDescent="0.55000000000000004">
      <c r="A1" s="3" t="s">
        <v>0</v>
      </c>
      <c r="D1" s="2" t="s">
        <v>1198</v>
      </c>
    </row>
    <row r="2" spans="1:5" x14ac:dyDescent="0.55000000000000004">
      <c r="A2" s="58" t="s">
        <v>2</v>
      </c>
      <c r="B2" s="58"/>
      <c r="D2" s="2" t="s">
        <v>1199</v>
      </c>
    </row>
    <row r="3" spans="1:5" ht="26.1" x14ac:dyDescent="0.55000000000000004">
      <c r="A3" s="58"/>
      <c r="B3" s="58"/>
      <c r="C3" s="5" t="s">
        <v>4</v>
      </c>
      <c r="D3" s="2" t="s">
        <v>1200</v>
      </c>
    </row>
    <row r="4" spans="1:5" x14ac:dyDescent="0.55000000000000004">
      <c r="A4" s="58"/>
      <c r="B4" s="58"/>
      <c r="C4" s="5" t="s">
        <v>6</v>
      </c>
      <c r="D4" s="2">
        <v>1994</v>
      </c>
    </row>
    <row r="5" spans="1:5" ht="26.1" x14ac:dyDescent="0.55000000000000004">
      <c r="A5" s="58"/>
      <c r="B5" s="58"/>
      <c r="C5" s="5" t="s">
        <v>7</v>
      </c>
      <c r="D5" s="2" t="s">
        <v>1201</v>
      </c>
    </row>
    <row r="6" spans="1:5" x14ac:dyDescent="0.55000000000000004">
      <c r="A6" s="58"/>
      <c r="B6" s="58"/>
      <c r="C6" s="5" t="s">
        <v>9</v>
      </c>
      <c r="D6" s="2" t="s">
        <v>1202</v>
      </c>
    </row>
    <row r="7" spans="1:5" x14ac:dyDescent="0.55000000000000004">
      <c r="A7" s="58"/>
      <c r="B7" s="58"/>
      <c r="C7" s="5" t="s">
        <v>11</v>
      </c>
      <c r="D7" s="2" t="s">
        <v>12</v>
      </c>
    </row>
    <row r="8" spans="1:5" x14ac:dyDescent="0.55000000000000004">
      <c r="A8" s="59" t="s">
        <v>13</v>
      </c>
      <c r="B8" s="59"/>
      <c r="C8" s="5"/>
    </row>
    <row r="9" spans="1:5" x14ac:dyDescent="0.55000000000000004">
      <c r="A9" s="58"/>
      <c r="B9" s="58"/>
      <c r="C9" s="5" t="s">
        <v>14</v>
      </c>
      <c r="D9" s="2" t="s">
        <v>1203</v>
      </c>
    </row>
    <row r="10" spans="1:5" x14ac:dyDescent="0.55000000000000004">
      <c r="A10" s="58"/>
      <c r="B10" s="58"/>
      <c r="C10" s="5" t="s">
        <v>16</v>
      </c>
      <c r="D10" s="2" t="s">
        <v>17</v>
      </c>
      <c r="E10" s="1" t="s">
        <v>18</v>
      </c>
    </row>
    <row r="11" spans="1:5" x14ac:dyDescent="0.55000000000000004">
      <c r="A11" s="58"/>
      <c r="B11" s="58"/>
      <c r="C11" s="5" t="s">
        <v>19</v>
      </c>
      <c r="D11" s="2" t="s">
        <v>20</v>
      </c>
    </row>
    <row r="12" spans="1:5" x14ac:dyDescent="0.55000000000000004">
      <c r="A12" s="58"/>
      <c r="B12" s="58"/>
      <c r="C12" s="5" t="s">
        <v>21</v>
      </c>
      <c r="D12" s="2" t="s">
        <v>20</v>
      </c>
    </row>
    <row r="13" spans="1:5" x14ac:dyDescent="0.55000000000000004">
      <c r="A13" s="58"/>
      <c r="B13" s="58"/>
      <c r="C13" s="5" t="s">
        <v>22</v>
      </c>
      <c r="D13" s="2" t="s">
        <v>20</v>
      </c>
    </row>
    <row r="14" spans="1:5" x14ac:dyDescent="0.55000000000000004">
      <c r="A14" s="59" t="s">
        <v>24</v>
      </c>
      <c r="B14" s="59"/>
      <c r="C14" s="5"/>
    </row>
    <row r="15" spans="1:5" x14ac:dyDescent="0.55000000000000004">
      <c r="A15" s="58"/>
      <c r="B15" s="58"/>
      <c r="C15" s="5" t="s">
        <v>25</v>
      </c>
      <c r="D15" s="2" t="s">
        <v>511</v>
      </c>
    </row>
    <row r="16" spans="1:5" x14ac:dyDescent="0.55000000000000004">
      <c r="A16" s="58"/>
      <c r="B16" s="58"/>
      <c r="C16" s="5" t="s">
        <v>27</v>
      </c>
      <c r="D16" s="2" t="s">
        <v>1204</v>
      </c>
    </row>
    <row r="17" spans="1:4" x14ac:dyDescent="0.55000000000000004">
      <c r="A17" s="59" t="s">
        <v>29</v>
      </c>
      <c r="B17" s="59"/>
      <c r="C17" s="5"/>
    </row>
    <row r="18" spans="1:4" x14ac:dyDescent="0.55000000000000004">
      <c r="A18" s="58"/>
      <c r="B18" s="58"/>
      <c r="C18" s="5" t="s">
        <v>30</v>
      </c>
      <c r="D18" s="2" t="s">
        <v>1205</v>
      </c>
    </row>
    <row r="19" spans="1:4" ht="26.1" x14ac:dyDescent="0.55000000000000004">
      <c r="A19" s="58"/>
      <c r="B19" s="58"/>
      <c r="C19" s="5" t="s">
        <v>32</v>
      </c>
      <c r="D19" s="2" t="s">
        <v>1206</v>
      </c>
    </row>
    <row r="20" spans="1:4" x14ac:dyDescent="0.55000000000000004">
      <c r="A20" s="59" t="s">
        <v>34</v>
      </c>
      <c r="B20" s="59"/>
      <c r="C20" s="5"/>
      <c r="D20" s="2" t="s">
        <v>35</v>
      </c>
    </row>
    <row r="21" spans="1:4" x14ac:dyDescent="0.55000000000000004">
      <c r="A21" s="58"/>
      <c r="B21" s="58"/>
      <c r="C21" s="5" t="s">
        <v>36</v>
      </c>
      <c r="D21" s="2" t="s">
        <v>20</v>
      </c>
    </row>
    <row r="22" spans="1:4" x14ac:dyDescent="0.55000000000000004">
      <c r="A22" s="58"/>
      <c r="B22" s="58"/>
      <c r="C22" s="5" t="s">
        <v>37</v>
      </c>
      <c r="D22" s="2">
        <v>14</v>
      </c>
    </row>
    <row r="23" spans="1:4" x14ac:dyDescent="0.55000000000000004">
      <c r="A23" s="58"/>
      <c r="B23" s="58"/>
      <c r="C23" s="5" t="s">
        <v>38</v>
      </c>
      <c r="D23" s="2">
        <v>10</v>
      </c>
    </row>
    <row r="24" spans="1:4" x14ac:dyDescent="0.55000000000000004">
      <c r="A24" s="58"/>
      <c r="B24" s="58"/>
      <c r="C24" s="5" t="s">
        <v>39</v>
      </c>
      <c r="D24" s="2">
        <v>4</v>
      </c>
    </row>
    <row r="25" spans="1:4" x14ac:dyDescent="0.55000000000000004">
      <c r="A25" s="58"/>
      <c r="B25" s="58"/>
      <c r="C25" s="5" t="s">
        <v>40</v>
      </c>
      <c r="D25" s="2">
        <v>40</v>
      </c>
    </row>
    <row r="26" spans="1:4" x14ac:dyDescent="0.55000000000000004">
      <c r="A26" s="58"/>
      <c r="B26" s="58"/>
      <c r="C26" s="5" t="s">
        <v>41</v>
      </c>
      <c r="D26" s="2">
        <v>66.928571428571402</v>
      </c>
    </row>
    <row r="27" spans="1:4" x14ac:dyDescent="0.55000000000000004">
      <c r="A27" s="58"/>
      <c r="B27" s="58"/>
      <c r="C27" s="5" t="s">
        <v>42</v>
      </c>
      <c r="D27" s="2">
        <v>5.0525806701695899</v>
      </c>
    </row>
    <row r="28" spans="1:4" x14ac:dyDescent="0.55000000000000004">
      <c r="A28" s="58"/>
      <c r="B28" s="58"/>
      <c r="C28" s="5" t="s">
        <v>43</v>
      </c>
      <c r="D28" s="2">
        <v>67</v>
      </c>
    </row>
    <row r="29" spans="1:4" x14ac:dyDescent="0.55000000000000004">
      <c r="A29" s="58"/>
      <c r="B29" s="58"/>
      <c r="C29" s="5" t="s">
        <v>44</v>
      </c>
      <c r="D29" s="2" t="s">
        <v>20</v>
      </c>
    </row>
    <row r="30" spans="1:4" x14ac:dyDescent="0.55000000000000004">
      <c r="A30" s="58"/>
      <c r="B30" s="58"/>
      <c r="C30" s="5" t="s">
        <v>45</v>
      </c>
      <c r="D30" s="2" t="s">
        <v>20</v>
      </c>
    </row>
    <row r="31" spans="1:4" x14ac:dyDescent="0.55000000000000004">
      <c r="A31" s="58"/>
      <c r="B31" s="58"/>
      <c r="C31" s="5" t="s">
        <v>46</v>
      </c>
      <c r="D31" s="2" t="s">
        <v>20</v>
      </c>
    </row>
    <row r="32" spans="1:4" x14ac:dyDescent="0.55000000000000004">
      <c r="A32" s="59" t="s">
        <v>47</v>
      </c>
      <c r="B32" s="59"/>
      <c r="C32" s="5"/>
    </row>
    <row r="33" spans="1:10" ht="26.1" x14ac:dyDescent="0.55000000000000004">
      <c r="A33" s="58"/>
      <c r="B33" s="58"/>
      <c r="C33" s="5" t="s">
        <v>48</v>
      </c>
      <c r="D33" s="2" t="s">
        <v>1207</v>
      </c>
    </row>
    <row r="34" spans="1:10" x14ac:dyDescent="0.55000000000000004">
      <c r="A34" s="59" t="s">
        <v>50</v>
      </c>
      <c r="B34" s="59"/>
      <c r="C34" s="5"/>
    </row>
    <row r="35" spans="1:10" x14ac:dyDescent="0.55000000000000004">
      <c r="A35" s="8"/>
      <c r="B35" s="8"/>
      <c r="C35" s="5"/>
    </row>
    <row r="36" spans="1:10" x14ac:dyDescent="0.55000000000000004">
      <c r="A36" s="59"/>
      <c r="B36" s="5" t="s">
        <v>59</v>
      </c>
      <c r="C36" s="5"/>
      <c r="D36" s="2" t="s">
        <v>51</v>
      </c>
      <c r="E36" s="1" t="s">
        <v>52</v>
      </c>
      <c r="F36" s="1" t="s">
        <v>53</v>
      </c>
      <c r="G36" s="1" t="s">
        <v>54</v>
      </c>
      <c r="H36" s="1" t="s">
        <v>55</v>
      </c>
      <c r="I36" s="1" t="s">
        <v>56</v>
      </c>
      <c r="J36" s="1" t="s">
        <v>57</v>
      </c>
    </row>
    <row r="37" spans="1:10" x14ac:dyDescent="0.55000000000000004">
      <c r="A37" s="59"/>
      <c r="B37" s="5"/>
      <c r="C37" s="5"/>
    </row>
    <row r="38" spans="1:10" x14ac:dyDescent="0.55000000000000004">
      <c r="A38" s="59"/>
      <c r="B38" s="5"/>
      <c r="C38" s="5"/>
    </row>
    <row r="39" spans="1:10" x14ac:dyDescent="0.55000000000000004">
      <c r="A39" s="59"/>
      <c r="B39" s="5"/>
      <c r="C39" s="5"/>
    </row>
    <row r="40" spans="1:10" x14ac:dyDescent="0.55000000000000004">
      <c r="A40" s="59"/>
      <c r="B40" s="5"/>
      <c r="C40" s="5"/>
    </row>
    <row r="41" spans="1:10" x14ac:dyDescent="0.55000000000000004">
      <c r="A41" s="59"/>
      <c r="B41" s="5"/>
    </row>
    <row r="42" spans="1:10" x14ac:dyDescent="0.55000000000000004">
      <c r="A42" s="59"/>
      <c r="B42" s="5"/>
    </row>
    <row r="43" spans="1:10" x14ac:dyDescent="0.55000000000000004">
      <c r="A43" s="59"/>
      <c r="B43" s="5"/>
      <c r="C43" s="5"/>
    </row>
    <row r="44" spans="1:10" x14ac:dyDescent="0.55000000000000004">
      <c r="A44" s="59"/>
      <c r="B44" s="5"/>
      <c r="C44" s="5"/>
    </row>
    <row r="45" spans="1:10" x14ac:dyDescent="0.55000000000000004">
      <c r="A45" s="59"/>
      <c r="B45" s="5" t="s">
        <v>61</v>
      </c>
      <c r="C45" s="5"/>
    </row>
    <row r="46" spans="1:10" x14ac:dyDescent="0.55000000000000004">
      <c r="A46" s="59"/>
      <c r="B46" s="5"/>
      <c r="C46" s="5" t="s">
        <v>1208</v>
      </c>
      <c r="D46" s="7">
        <v>1.7692307692307701</v>
      </c>
      <c r="E46" s="10">
        <v>0.55470019622522904</v>
      </c>
    </row>
    <row r="47" spans="1:10" x14ac:dyDescent="0.55000000000000004">
      <c r="A47" s="59"/>
      <c r="B47" s="5"/>
      <c r="C47" s="5" t="s">
        <v>1209</v>
      </c>
      <c r="D47" s="7">
        <v>1.875</v>
      </c>
      <c r="E47" s="10">
        <v>0.73598007219398698</v>
      </c>
    </row>
    <row r="48" spans="1:10" x14ac:dyDescent="0.55000000000000004">
      <c r="A48" s="59"/>
      <c r="B48" s="5"/>
      <c r="C48" s="5"/>
    </row>
    <row r="49" spans="1:3" x14ac:dyDescent="0.55000000000000004">
      <c r="A49" s="59"/>
      <c r="B49" s="5"/>
      <c r="C49" s="5"/>
    </row>
    <row r="50" spans="1:3" x14ac:dyDescent="0.55000000000000004">
      <c r="A50" s="59"/>
      <c r="B50" s="5"/>
      <c r="C50" s="5"/>
    </row>
    <row r="51" spans="1:3" x14ac:dyDescent="0.55000000000000004">
      <c r="A51" s="59"/>
      <c r="B51" s="5"/>
      <c r="C51" s="5"/>
    </row>
    <row r="52" spans="1:3" x14ac:dyDescent="0.55000000000000004">
      <c r="A52" s="59"/>
      <c r="B52" s="5"/>
      <c r="C52" s="5"/>
    </row>
    <row r="53" spans="1:3" x14ac:dyDescent="0.55000000000000004">
      <c r="A53" s="59"/>
      <c r="B53" s="5"/>
      <c r="C53" s="5"/>
    </row>
    <row r="54" spans="1:3" x14ac:dyDescent="0.55000000000000004">
      <c r="A54" s="59"/>
      <c r="B54" s="5"/>
      <c r="C54" s="5"/>
    </row>
    <row r="55" spans="1:3" x14ac:dyDescent="0.55000000000000004">
      <c r="A55" s="59"/>
      <c r="B55" s="5"/>
      <c r="C55" s="5"/>
    </row>
    <row r="56" spans="1:3" x14ac:dyDescent="0.55000000000000004">
      <c r="A56" s="59"/>
      <c r="B56" s="5"/>
      <c r="C56" s="5"/>
    </row>
    <row r="57" spans="1:3" x14ac:dyDescent="0.55000000000000004">
      <c r="A57" s="59"/>
      <c r="B57" s="5"/>
      <c r="C57" s="5"/>
    </row>
    <row r="58" spans="1:3" x14ac:dyDescent="0.55000000000000004">
      <c r="A58" s="59"/>
      <c r="B58" s="5"/>
      <c r="C58" s="5"/>
    </row>
    <row r="59" spans="1:3" x14ac:dyDescent="0.55000000000000004">
      <c r="A59" s="59"/>
      <c r="B59" s="5"/>
      <c r="C59" s="5"/>
    </row>
    <row r="60" spans="1:3" x14ac:dyDescent="0.55000000000000004">
      <c r="A60" s="59"/>
      <c r="B60" s="5"/>
      <c r="C60" s="5"/>
    </row>
    <row r="61" spans="1:3" x14ac:dyDescent="0.55000000000000004">
      <c r="A61" s="59"/>
      <c r="B61" s="5"/>
      <c r="C61" s="5"/>
    </row>
    <row r="62" spans="1:3" x14ac:dyDescent="0.55000000000000004">
      <c r="A62" s="59"/>
      <c r="B62" s="5"/>
      <c r="C62" s="5"/>
    </row>
    <row r="63" spans="1:3" x14ac:dyDescent="0.55000000000000004">
      <c r="A63" s="59"/>
      <c r="B63" s="5"/>
      <c r="C63" s="5"/>
    </row>
    <row r="64" spans="1:3" x14ac:dyDescent="0.55000000000000004">
      <c r="A64" s="59"/>
      <c r="B64" s="5"/>
      <c r="C64" s="5"/>
    </row>
    <row r="65" spans="1:4" x14ac:dyDescent="0.55000000000000004">
      <c r="A65" s="59"/>
      <c r="B65" s="5" t="s">
        <v>62</v>
      </c>
      <c r="C65" s="5"/>
      <c r="D65" s="2">
        <v>28</v>
      </c>
    </row>
    <row r="66" spans="1:4" x14ac:dyDescent="0.55000000000000004">
      <c r="A66" s="59"/>
      <c r="B66" s="5" t="s">
        <v>63</v>
      </c>
      <c r="C66" s="5"/>
      <c r="D66" s="2" t="s">
        <v>20</v>
      </c>
    </row>
    <row r="67" spans="1:4" x14ac:dyDescent="0.55000000000000004">
      <c r="A67" s="59" t="s">
        <v>65</v>
      </c>
      <c r="B67" s="59"/>
      <c r="C67" s="5"/>
    </row>
    <row r="68" spans="1:4" x14ac:dyDescent="0.55000000000000004">
      <c r="A68" s="3" t="s">
        <v>67</v>
      </c>
    </row>
    <row r="69" spans="1:4" x14ac:dyDescent="0.55000000000000004">
      <c r="A69" s="1" t="s">
        <v>68</v>
      </c>
      <c r="C69" s="1">
        <v>7</v>
      </c>
      <c r="D69" s="2">
        <v>26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69"/>
  <sheetViews>
    <sheetView topLeftCell="A12" zoomScale="90" zoomScaleNormal="90" workbookViewId="0">
      <selection activeCell="D26" sqref="D26"/>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6" width="13.15625" style="1" customWidth="1"/>
    <col min="7" max="1024" width="11.41796875" style="1"/>
  </cols>
  <sheetData>
    <row r="1" spans="1:5" x14ac:dyDescent="0.55000000000000004">
      <c r="A1" s="3" t="s">
        <v>0</v>
      </c>
      <c r="D1" s="2" t="s">
        <v>175</v>
      </c>
    </row>
    <row r="2" spans="1:5" x14ac:dyDescent="0.55000000000000004">
      <c r="A2" s="58" t="s">
        <v>2</v>
      </c>
      <c r="B2" s="58"/>
      <c r="D2" s="1" t="s">
        <v>176</v>
      </c>
    </row>
    <row r="3" spans="1:5" ht="26.1" x14ac:dyDescent="0.55000000000000004">
      <c r="A3" s="58"/>
      <c r="B3" s="58"/>
      <c r="C3" s="5" t="s">
        <v>4</v>
      </c>
      <c r="D3" s="2" t="s">
        <v>177</v>
      </c>
    </row>
    <row r="4" spans="1:5" x14ac:dyDescent="0.55000000000000004">
      <c r="A4" s="58"/>
      <c r="B4" s="58"/>
      <c r="C4" s="5" t="s">
        <v>6</v>
      </c>
      <c r="D4" s="2">
        <v>1995</v>
      </c>
    </row>
    <row r="5" spans="1:5" ht="26.1" x14ac:dyDescent="0.55000000000000004">
      <c r="A5" s="58"/>
      <c r="B5" s="58"/>
      <c r="C5" s="5" t="s">
        <v>7</v>
      </c>
      <c r="D5" s="2" t="s">
        <v>178</v>
      </c>
    </row>
    <row r="6" spans="1:5" x14ac:dyDescent="0.55000000000000004">
      <c r="A6" s="58"/>
      <c r="B6" s="58"/>
      <c r="C6" s="5" t="s">
        <v>9</v>
      </c>
      <c r="D6" s="2" t="s">
        <v>179</v>
      </c>
    </row>
    <row r="7" spans="1:5" x14ac:dyDescent="0.55000000000000004">
      <c r="A7" s="58"/>
      <c r="B7" s="58"/>
      <c r="C7" s="5" t="s">
        <v>11</v>
      </c>
      <c r="D7" s="2" t="s">
        <v>12</v>
      </c>
    </row>
    <row r="8" spans="1:5" x14ac:dyDescent="0.55000000000000004">
      <c r="A8" s="59" t="s">
        <v>13</v>
      </c>
      <c r="B8" s="59"/>
      <c r="C8" s="5"/>
    </row>
    <row r="9" spans="1:5" ht="26.1" x14ac:dyDescent="0.55000000000000004">
      <c r="A9" s="58"/>
      <c r="B9" s="58"/>
      <c r="C9" s="5" t="s">
        <v>14</v>
      </c>
      <c r="D9" s="2" t="s">
        <v>180</v>
      </c>
    </row>
    <row r="10" spans="1:5" x14ac:dyDescent="0.55000000000000004">
      <c r="A10" s="58"/>
      <c r="B10" s="58"/>
      <c r="C10" s="5" t="s">
        <v>16</v>
      </c>
      <c r="D10" s="2" t="s">
        <v>17</v>
      </c>
      <c r="E10" s="1" t="s">
        <v>18</v>
      </c>
    </row>
    <row r="11" spans="1:5" x14ac:dyDescent="0.55000000000000004">
      <c r="A11" s="58"/>
      <c r="B11" s="58"/>
      <c r="C11" s="5" t="s">
        <v>19</v>
      </c>
      <c r="D11" s="2" t="s">
        <v>20</v>
      </c>
    </row>
    <row r="12" spans="1:5" x14ac:dyDescent="0.55000000000000004">
      <c r="A12" s="58"/>
      <c r="B12" s="58"/>
      <c r="C12" s="5" t="s">
        <v>21</v>
      </c>
      <c r="D12" s="2" t="s">
        <v>20</v>
      </c>
    </row>
    <row r="13" spans="1:5" x14ac:dyDescent="0.55000000000000004">
      <c r="A13" s="58"/>
      <c r="B13" s="58"/>
      <c r="C13" s="5" t="s">
        <v>22</v>
      </c>
      <c r="D13" s="2" t="s">
        <v>20</v>
      </c>
    </row>
    <row r="14" spans="1:5" x14ac:dyDescent="0.55000000000000004">
      <c r="A14" s="59" t="s">
        <v>24</v>
      </c>
      <c r="B14" s="59"/>
      <c r="C14" s="5"/>
    </row>
    <row r="15" spans="1:5" x14ac:dyDescent="0.55000000000000004">
      <c r="A15" s="58"/>
      <c r="B15" s="58"/>
      <c r="C15" s="5" t="s">
        <v>25</v>
      </c>
      <c r="D15" s="2" t="s">
        <v>181</v>
      </c>
    </row>
    <row r="16" spans="1:5" x14ac:dyDescent="0.55000000000000004">
      <c r="A16" s="58"/>
      <c r="B16" s="58"/>
      <c r="C16" s="5" t="s">
        <v>27</v>
      </c>
      <c r="D16" s="2" t="s">
        <v>182</v>
      </c>
    </row>
    <row r="17" spans="1:6" x14ac:dyDescent="0.55000000000000004">
      <c r="A17" s="59" t="s">
        <v>29</v>
      </c>
      <c r="B17" s="59"/>
      <c r="C17" s="5"/>
    </row>
    <row r="18" spans="1:6" ht="26.1" x14ac:dyDescent="0.55000000000000004">
      <c r="A18" s="58"/>
      <c r="B18" s="58"/>
      <c r="C18" s="5" t="s">
        <v>30</v>
      </c>
      <c r="D18" s="2" t="s">
        <v>183</v>
      </c>
    </row>
    <row r="19" spans="1:6" x14ac:dyDescent="0.55000000000000004">
      <c r="A19" s="58"/>
      <c r="B19" s="58"/>
      <c r="C19" s="5" t="s">
        <v>32</v>
      </c>
      <c r="D19" s="2" t="s">
        <v>184</v>
      </c>
    </row>
    <row r="20" spans="1:6" x14ac:dyDescent="0.55000000000000004">
      <c r="A20" s="59" t="s">
        <v>34</v>
      </c>
      <c r="B20" s="59"/>
      <c r="C20" s="5"/>
      <c r="D20" s="2" t="s">
        <v>185</v>
      </c>
      <c r="E20" s="1" t="s">
        <v>69</v>
      </c>
      <c r="F20" s="1" t="s">
        <v>35</v>
      </c>
    </row>
    <row r="21" spans="1:6" x14ac:dyDescent="0.55000000000000004">
      <c r="A21" s="58"/>
      <c r="B21" s="58"/>
      <c r="C21" s="5" t="s">
        <v>36</v>
      </c>
      <c r="D21" s="2">
        <v>43</v>
      </c>
      <c r="E21" s="1">
        <v>39</v>
      </c>
      <c r="F21" s="1">
        <f>SUM(D21:E21)</f>
        <v>82</v>
      </c>
    </row>
    <row r="22" spans="1:6" x14ac:dyDescent="0.55000000000000004">
      <c r="A22" s="58"/>
      <c r="B22" s="58"/>
      <c r="C22" s="5" t="s">
        <v>37</v>
      </c>
    </row>
    <row r="23" spans="1:6" x14ac:dyDescent="0.55000000000000004">
      <c r="A23" s="58"/>
      <c r="B23" s="58"/>
      <c r="C23" s="5" t="s">
        <v>38</v>
      </c>
      <c r="D23" s="2">
        <v>43</v>
      </c>
      <c r="E23" s="1">
        <v>39</v>
      </c>
      <c r="F23" s="1">
        <f>SUM(D23:E23)</f>
        <v>82</v>
      </c>
    </row>
    <row r="24" spans="1:6" x14ac:dyDescent="0.55000000000000004">
      <c r="A24" s="58"/>
      <c r="B24" s="58"/>
      <c r="C24" s="5" t="s">
        <v>39</v>
      </c>
    </row>
    <row r="25" spans="1:6" x14ac:dyDescent="0.55000000000000004">
      <c r="A25" s="58"/>
      <c r="B25" s="58"/>
      <c r="C25" s="5" t="s">
        <v>40</v>
      </c>
      <c r="D25" s="2" t="s">
        <v>20</v>
      </c>
      <c r="E25" s="1" t="s">
        <v>20</v>
      </c>
      <c r="F25" s="1" t="s">
        <v>20</v>
      </c>
    </row>
    <row r="26" spans="1:6" x14ac:dyDescent="0.55000000000000004">
      <c r="A26" s="58"/>
      <c r="B26" s="58"/>
      <c r="C26" s="5" t="s">
        <v>41</v>
      </c>
      <c r="D26" s="7">
        <v>58</v>
      </c>
      <c r="E26" s="10">
        <v>61.1</v>
      </c>
      <c r="F26" s="10">
        <f>((43*D26)+(E26*E23))/F23</f>
        <v>59.474390243902434</v>
      </c>
    </row>
    <row r="27" spans="1:6" x14ac:dyDescent="0.55000000000000004">
      <c r="A27" s="58"/>
      <c r="B27" s="58"/>
      <c r="C27" s="5" t="s">
        <v>42</v>
      </c>
      <c r="D27" s="7">
        <v>10</v>
      </c>
      <c r="E27" s="10">
        <v>8</v>
      </c>
      <c r="F27" s="10">
        <f>SQRT((D23*(D27^2+(D26-F$26)^2)+E23*(E27^2+(E26-F$26)^2))/(D23+E23))</f>
        <v>9.2344372836286404</v>
      </c>
    </row>
    <row r="28" spans="1:6" x14ac:dyDescent="0.55000000000000004">
      <c r="A28" s="58"/>
      <c r="B28" s="58"/>
      <c r="C28" s="5" t="s">
        <v>43</v>
      </c>
      <c r="D28" s="2" t="s">
        <v>20</v>
      </c>
    </row>
    <row r="29" spans="1:6" x14ac:dyDescent="0.55000000000000004">
      <c r="A29" s="58"/>
      <c r="B29" s="58"/>
      <c r="C29" s="5" t="s">
        <v>44</v>
      </c>
      <c r="D29" s="2" t="s">
        <v>20</v>
      </c>
      <c r="E29" s="1" t="s">
        <v>20</v>
      </c>
      <c r="F29" s="1" t="s">
        <v>20</v>
      </c>
    </row>
    <row r="30" spans="1:6" x14ac:dyDescent="0.55000000000000004">
      <c r="A30" s="58"/>
      <c r="B30" s="58"/>
      <c r="C30" s="5" t="s">
        <v>45</v>
      </c>
    </row>
    <row r="31" spans="1:6" x14ac:dyDescent="0.55000000000000004">
      <c r="A31" s="58"/>
      <c r="B31" s="58"/>
      <c r="C31" s="5" t="s">
        <v>46</v>
      </c>
    </row>
    <row r="32" spans="1:6" x14ac:dyDescent="0.55000000000000004">
      <c r="A32" s="59" t="s">
        <v>47</v>
      </c>
      <c r="B32" s="59"/>
      <c r="C32" s="5"/>
    </row>
    <row r="33" spans="1:11" ht="39" x14ac:dyDescent="0.55000000000000004">
      <c r="A33" s="58"/>
      <c r="B33" s="58"/>
      <c r="C33" s="5" t="s">
        <v>48</v>
      </c>
      <c r="D33" s="2" t="s">
        <v>186</v>
      </c>
    </row>
    <row r="34" spans="1:11" x14ac:dyDescent="0.55000000000000004">
      <c r="A34" s="59" t="s">
        <v>50</v>
      </c>
      <c r="B34" s="59"/>
      <c r="C34" s="5"/>
    </row>
    <row r="35" spans="1:11" x14ac:dyDescent="0.55000000000000004">
      <c r="A35" s="8"/>
      <c r="B35" s="8"/>
      <c r="C35" s="5"/>
    </row>
    <row r="36" spans="1:11" x14ac:dyDescent="0.55000000000000004">
      <c r="A36" s="59"/>
      <c r="B36" s="5" t="s">
        <v>59</v>
      </c>
      <c r="C36" s="5"/>
      <c r="D36" s="2" t="s">
        <v>51</v>
      </c>
      <c r="E36" s="1" t="s">
        <v>52</v>
      </c>
      <c r="F36" s="1" t="s">
        <v>53</v>
      </c>
      <c r="G36" s="1" t="s">
        <v>54</v>
      </c>
      <c r="H36" s="1" t="s">
        <v>55</v>
      </c>
      <c r="I36" s="1" t="s">
        <v>56</v>
      </c>
      <c r="J36" s="1" t="s">
        <v>57</v>
      </c>
      <c r="K36" s="1" t="s">
        <v>58</v>
      </c>
    </row>
    <row r="37" spans="1:11" x14ac:dyDescent="0.55000000000000004">
      <c r="A37" s="59"/>
      <c r="B37" s="5"/>
      <c r="C37" s="5" t="s">
        <v>187</v>
      </c>
      <c r="D37" s="2">
        <v>1.7</v>
      </c>
      <c r="E37" s="1">
        <v>1.4</v>
      </c>
    </row>
    <row r="38" spans="1:11" x14ac:dyDescent="0.55000000000000004">
      <c r="A38" s="59"/>
      <c r="B38" s="5"/>
      <c r="C38" s="5" t="s">
        <v>188</v>
      </c>
      <c r="D38" s="2">
        <v>1.3</v>
      </c>
      <c r="E38" s="1">
        <v>1.5</v>
      </c>
    </row>
    <row r="39" spans="1:11" x14ac:dyDescent="0.55000000000000004">
      <c r="A39" s="59"/>
      <c r="B39" s="5"/>
      <c r="C39" s="5" t="s">
        <v>189</v>
      </c>
      <c r="D39" s="2">
        <v>1.5</v>
      </c>
      <c r="E39" s="1">
        <v>1.5</v>
      </c>
    </row>
    <row r="40" spans="1:11" x14ac:dyDescent="0.55000000000000004">
      <c r="A40" s="59"/>
      <c r="B40" s="5"/>
      <c r="C40" s="5" t="s">
        <v>190</v>
      </c>
      <c r="D40" s="2">
        <v>1</v>
      </c>
      <c r="E40" s="1">
        <v>1.2</v>
      </c>
    </row>
    <row r="41" spans="1:11" x14ac:dyDescent="0.55000000000000004">
      <c r="A41" s="59"/>
      <c r="B41" s="5"/>
      <c r="C41" s="5"/>
    </row>
    <row r="42" spans="1:11" x14ac:dyDescent="0.55000000000000004">
      <c r="A42" s="59"/>
      <c r="B42" s="5"/>
      <c r="C42" s="5"/>
    </row>
    <row r="43" spans="1:11" x14ac:dyDescent="0.55000000000000004">
      <c r="A43" s="59"/>
      <c r="B43" s="5"/>
      <c r="C43" s="5"/>
    </row>
    <row r="44" spans="1:11" x14ac:dyDescent="0.55000000000000004">
      <c r="A44" s="59"/>
      <c r="B44" s="5"/>
      <c r="C44" s="5"/>
    </row>
    <row r="45" spans="1:11" x14ac:dyDescent="0.55000000000000004">
      <c r="A45" s="59"/>
      <c r="B45" s="5" t="s">
        <v>61</v>
      </c>
      <c r="C45" s="5"/>
    </row>
    <row r="46" spans="1:11" x14ac:dyDescent="0.55000000000000004">
      <c r="A46" s="59"/>
      <c r="B46" s="5"/>
      <c r="C46" s="5"/>
    </row>
    <row r="47" spans="1:11" x14ac:dyDescent="0.55000000000000004">
      <c r="A47" s="59"/>
      <c r="B47" s="5"/>
      <c r="C47" s="5"/>
    </row>
    <row r="48" spans="1:11" x14ac:dyDescent="0.55000000000000004">
      <c r="A48" s="59"/>
      <c r="B48" s="5"/>
      <c r="C48" s="5"/>
    </row>
    <row r="49" spans="1:3" x14ac:dyDescent="0.55000000000000004">
      <c r="A49" s="59"/>
      <c r="B49" s="5"/>
      <c r="C49" s="5"/>
    </row>
    <row r="50" spans="1:3" x14ac:dyDescent="0.55000000000000004">
      <c r="A50" s="59"/>
      <c r="B50" s="5"/>
      <c r="C50" s="5"/>
    </row>
    <row r="51" spans="1:3" x14ac:dyDescent="0.55000000000000004">
      <c r="A51" s="59"/>
      <c r="B51" s="5"/>
      <c r="C51" s="5"/>
    </row>
    <row r="52" spans="1:3" x14ac:dyDescent="0.55000000000000004">
      <c r="A52" s="59"/>
      <c r="B52" s="5"/>
      <c r="C52" s="5"/>
    </row>
    <row r="53" spans="1:3" x14ac:dyDescent="0.55000000000000004">
      <c r="A53" s="59"/>
      <c r="B53" s="5"/>
      <c r="C53" s="5"/>
    </row>
    <row r="54" spans="1:3" x14ac:dyDescent="0.55000000000000004">
      <c r="A54" s="59"/>
      <c r="B54" s="5"/>
      <c r="C54" s="5"/>
    </row>
    <row r="55" spans="1:3" x14ac:dyDescent="0.55000000000000004">
      <c r="A55" s="59"/>
      <c r="B55" s="5"/>
      <c r="C55" s="5"/>
    </row>
    <row r="56" spans="1:3" x14ac:dyDescent="0.55000000000000004">
      <c r="A56" s="59"/>
      <c r="B56" s="5"/>
      <c r="C56" s="5"/>
    </row>
    <row r="57" spans="1:3" x14ac:dyDescent="0.55000000000000004">
      <c r="A57" s="59"/>
      <c r="B57" s="5"/>
      <c r="C57" s="5"/>
    </row>
    <row r="58" spans="1:3" x14ac:dyDescent="0.55000000000000004">
      <c r="A58" s="59"/>
      <c r="B58" s="5"/>
      <c r="C58" s="5"/>
    </row>
    <row r="59" spans="1:3" x14ac:dyDescent="0.55000000000000004">
      <c r="A59" s="59"/>
      <c r="B59" s="5"/>
      <c r="C59" s="5"/>
    </row>
    <row r="60" spans="1:3" x14ac:dyDescent="0.55000000000000004">
      <c r="A60" s="59"/>
      <c r="B60" s="5"/>
      <c r="C60" s="5"/>
    </row>
    <row r="61" spans="1:3" x14ac:dyDescent="0.55000000000000004">
      <c r="A61" s="59"/>
      <c r="B61" s="5"/>
      <c r="C61" s="5"/>
    </row>
    <row r="62" spans="1:3" x14ac:dyDescent="0.55000000000000004">
      <c r="A62" s="59"/>
      <c r="B62" s="5"/>
      <c r="C62" s="5"/>
    </row>
    <row r="63" spans="1:3" x14ac:dyDescent="0.55000000000000004">
      <c r="A63" s="59"/>
      <c r="B63" s="5"/>
      <c r="C63" s="5"/>
    </row>
    <row r="64" spans="1:3" x14ac:dyDescent="0.55000000000000004">
      <c r="A64" s="59"/>
      <c r="B64" s="5"/>
      <c r="C64" s="5"/>
    </row>
    <row r="65" spans="1:4" x14ac:dyDescent="0.55000000000000004">
      <c r="A65" s="59"/>
      <c r="B65" s="5" t="s">
        <v>62</v>
      </c>
      <c r="C65" s="5"/>
      <c r="D65" s="2">
        <f>360</f>
        <v>360</v>
      </c>
    </row>
    <row r="66" spans="1:4" x14ac:dyDescent="0.55000000000000004">
      <c r="A66" s="59"/>
      <c r="B66" s="5" t="s">
        <v>63</v>
      </c>
      <c r="C66" s="5"/>
      <c r="D66" s="2" t="s">
        <v>191</v>
      </c>
    </row>
    <row r="67" spans="1:4" ht="39" x14ac:dyDescent="0.55000000000000004">
      <c r="A67" s="59" t="s">
        <v>65</v>
      </c>
      <c r="B67" s="59"/>
      <c r="C67" s="5"/>
      <c r="D67" s="2" t="s">
        <v>192</v>
      </c>
    </row>
    <row r="68" spans="1:4" x14ac:dyDescent="0.55000000000000004">
      <c r="A68" s="3" t="s">
        <v>67</v>
      </c>
    </row>
    <row r="69" spans="1:4" x14ac:dyDescent="0.55000000000000004">
      <c r="A69" s="1" t="s">
        <v>68</v>
      </c>
      <c r="C69" s="1">
        <v>15</v>
      </c>
      <c r="D69" s="2">
        <v>22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AMJ76"/>
  <sheetViews>
    <sheetView topLeftCell="B1" zoomScale="90" zoomScaleNormal="90" workbookViewId="0">
      <selection activeCell="D25" sqref="D25"/>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3.41796875" style="1" customWidth="1"/>
    <col min="6" max="6" width="3.41796875" style="1" customWidth="1"/>
    <col min="7" max="1024" width="11.41796875" style="1"/>
  </cols>
  <sheetData>
    <row r="1" spans="1:5" x14ac:dyDescent="0.55000000000000004">
      <c r="A1" s="3" t="s">
        <v>1210</v>
      </c>
      <c r="D1" s="2" t="s">
        <v>1211</v>
      </c>
    </row>
    <row r="2" spans="1:5" x14ac:dyDescent="0.55000000000000004">
      <c r="A2" s="58" t="s">
        <v>2</v>
      </c>
      <c r="B2" s="58"/>
      <c r="D2" s="2" t="s">
        <v>1212</v>
      </c>
    </row>
    <row r="3" spans="1:5" x14ac:dyDescent="0.55000000000000004">
      <c r="A3" s="58"/>
      <c r="B3" s="58"/>
      <c r="C3" s="5" t="s">
        <v>4</v>
      </c>
      <c r="D3" s="2" t="s">
        <v>1213</v>
      </c>
    </row>
    <row r="4" spans="1:5" x14ac:dyDescent="0.55000000000000004">
      <c r="A4" s="58"/>
      <c r="B4" s="58"/>
      <c r="C4" s="5" t="s">
        <v>6</v>
      </c>
      <c r="D4" s="2">
        <v>2015</v>
      </c>
    </row>
    <row r="5" spans="1:5" ht="26.1" x14ac:dyDescent="0.55000000000000004">
      <c r="A5" s="58"/>
      <c r="B5" s="58"/>
      <c r="C5" s="5" t="s">
        <v>7</v>
      </c>
      <c r="D5" s="2" t="s">
        <v>1214</v>
      </c>
    </row>
    <row r="6" spans="1:5" x14ac:dyDescent="0.55000000000000004">
      <c r="A6" s="58"/>
      <c r="B6" s="58"/>
      <c r="C6" s="5" t="s">
        <v>9</v>
      </c>
      <c r="D6" s="2" t="s">
        <v>1215</v>
      </c>
    </row>
    <row r="7" spans="1:5" x14ac:dyDescent="0.55000000000000004">
      <c r="A7" s="58"/>
      <c r="B7" s="58"/>
      <c r="C7" s="5" t="s">
        <v>11</v>
      </c>
      <c r="D7" s="2" t="s">
        <v>12</v>
      </c>
    </row>
    <row r="8" spans="1:5" x14ac:dyDescent="0.55000000000000004">
      <c r="A8" s="59" t="s">
        <v>13</v>
      </c>
      <c r="B8" s="59"/>
      <c r="C8" s="5"/>
    </row>
    <row r="9" spans="1:5" ht="26.1" x14ac:dyDescent="0.55000000000000004">
      <c r="A9" s="58"/>
      <c r="B9" s="58"/>
      <c r="C9" s="5" t="s">
        <v>14</v>
      </c>
      <c r="D9" s="2" t="s">
        <v>1216</v>
      </c>
    </row>
    <row r="10" spans="1:5" x14ac:dyDescent="0.55000000000000004">
      <c r="A10" s="58"/>
      <c r="B10" s="58"/>
      <c r="C10" s="5" t="s">
        <v>16</v>
      </c>
      <c r="D10" s="2" t="s">
        <v>17</v>
      </c>
      <c r="E10" s="1" t="s">
        <v>18</v>
      </c>
    </row>
    <row r="11" spans="1:5" x14ac:dyDescent="0.55000000000000004">
      <c r="A11" s="58"/>
      <c r="B11" s="58"/>
      <c r="C11" s="5" t="s">
        <v>19</v>
      </c>
      <c r="D11" s="21">
        <v>41214</v>
      </c>
    </row>
    <row r="12" spans="1:5" x14ac:dyDescent="0.55000000000000004">
      <c r="A12" s="58"/>
      <c r="B12" s="58"/>
      <c r="C12" s="5" t="s">
        <v>21</v>
      </c>
      <c r="D12" s="21">
        <v>41487</v>
      </c>
    </row>
    <row r="13" spans="1:5" x14ac:dyDescent="0.55000000000000004">
      <c r="A13" s="58"/>
      <c r="B13" s="58"/>
      <c r="C13" s="5" t="s">
        <v>22</v>
      </c>
      <c r="D13" s="2" t="s">
        <v>1217</v>
      </c>
    </row>
    <row r="14" spans="1:5" x14ac:dyDescent="0.55000000000000004">
      <c r="A14" s="59" t="s">
        <v>24</v>
      </c>
      <c r="B14" s="59"/>
      <c r="C14" s="5"/>
    </row>
    <row r="15" spans="1:5" x14ac:dyDescent="0.55000000000000004">
      <c r="A15" s="58"/>
      <c r="B15" s="58"/>
      <c r="C15" s="5" t="s">
        <v>25</v>
      </c>
      <c r="D15" s="2" t="s">
        <v>26</v>
      </c>
    </row>
    <row r="16" spans="1:5" x14ac:dyDescent="0.55000000000000004">
      <c r="A16" s="58"/>
      <c r="B16" s="58"/>
      <c r="C16" s="5" t="s">
        <v>27</v>
      </c>
      <c r="D16" s="2" t="s">
        <v>1218</v>
      </c>
    </row>
    <row r="17" spans="1:4" x14ac:dyDescent="0.55000000000000004">
      <c r="A17" s="59" t="s">
        <v>29</v>
      </c>
      <c r="B17" s="59"/>
      <c r="C17" s="5"/>
    </row>
    <row r="18" spans="1:4" ht="39" x14ac:dyDescent="0.55000000000000004">
      <c r="A18" s="58"/>
      <c r="B18" s="58"/>
      <c r="C18" s="5" t="s">
        <v>30</v>
      </c>
      <c r="D18" s="2" t="s">
        <v>1219</v>
      </c>
    </row>
    <row r="19" spans="1:4" ht="26.1" x14ac:dyDescent="0.55000000000000004">
      <c r="A19" s="58"/>
      <c r="B19" s="58"/>
      <c r="C19" s="5" t="s">
        <v>32</v>
      </c>
      <c r="D19" s="2" t="s">
        <v>1220</v>
      </c>
    </row>
    <row r="20" spans="1:4" x14ac:dyDescent="0.55000000000000004">
      <c r="A20" s="59" t="s">
        <v>34</v>
      </c>
      <c r="B20" s="59"/>
      <c r="C20" s="5"/>
      <c r="D20" s="2" t="s">
        <v>35</v>
      </c>
    </row>
    <row r="21" spans="1:4" x14ac:dyDescent="0.55000000000000004">
      <c r="A21" s="58"/>
      <c r="B21" s="58"/>
      <c r="C21" s="5" t="s">
        <v>36</v>
      </c>
      <c r="D21" s="2">
        <v>28</v>
      </c>
    </row>
    <row r="22" spans="1:4" x14ac:dyDescent="0.55000000000000004">
      <c r="A22" s="58"/>
      <c r="B22" s="58"/>
      <c r="C22" s="5" t="s">
        <v>37</v>
      </c>
      <c r="D22" s="2">
        <v>28</v>
      </c>
    </row>
    <row r="23" spans="1:4" x14ac:dyDescent="0.55000000000000004">
      <c r="A23" s="58"/>
      <c r="B23" s="58"/>
      <c r="C23" s="5" t="s">
        <v>38</v>
      </c>
      <c r="D23" s="2">
        <v>28</v>
      </c>
    </row>
    <row r="24" spans="1:4" x14ac:dyDescent="0.55000000000000004">
      <c r="A24" s="58"/>
      <c r="B24" s="58"/>
      <c r="C24" s="5" t="s">
        <v>39</v>
      </c>
      <c r="D24" s="2">
        <v>8</v>
      </c>
    </row>
    <row r="25" spans="1:4" x14ac:dyDescent="0.55000000000000004">
      <c r="A25" s="58"/>
      <c r="B25" s="58"/>
      <c r="C25" s="5" t="s">
        <v>40</v>
      </c>
      <c r="D25" s="2">
        <v>0.25</v>
      </c>
    </row>
    <row r="26" spans="1:4" x14ac:dyDescent="0.55000000000000004">
      <c r="A26" s="58"/>
      <c r="B26" s="58"/>
      <c r="C26" s="5" t="s">
        <v>41</v>
      </c>
      <c r="D26" s="2">
        <v>65.5</v>
      </c>
    </row>
    <row r="27" spans="1:4" x14ac:dyDescent="0.55000000000000004">
      <c r="A27" s="58"/>
      <c r="B27" s="58"/>
      <c r="C27" s="5" t="s">
        <v>42</v>
      </c>
      <c r="D27" s="2">
        <v>11.5</v>
      </c>
    </row>
    <row r="28" spans="1:4" x14ac:dyDescent="0.55000000000000004">
      <c r="A28" s="58"/>
      <c r="B28" s="58"/>
      <c r="C28" s="5" t="s">
        <v>43</v>
      </c>
      <c r="D28" s="2" t="s">
        <v>20</v>
      </c>
    </row>
    <row r="29" spans="1:4" x14ac:dyDescent="0.55000000000000004">
      <c r="A29" s="58"/>
      <c r="B29" s="58"/>
      <c r="C29" s="5" t="s">
        <v>44</v>
      </c>
      <c r="D29" s="2" t="s">
        <v>20</v>
      </c>
    </row>
    <row r="30" spans="1:4" x14ac:dyDescent="0.55000000000000004">
      <c r="A30" s="58"/>
      <c r="B30" s="58"/>
      <c r="C30" s="5" t="s">
        <v>45</v>
      </c>
      <c r="D30" s="2" t="s">
        <v>20</v>
      </c>
    </row>
    <row r="31" spans="1:4" x14ac:dyDescent="0.55000000000000004">
      <c r="A31" s="58"/>
      <c r="B31" s="58"/>
      <c r="C31" s="5" t="s">
        <v>46</v>
      </c>
      <c r="D31" s="2" t="s">
        <v>20</v>
      </c>
    </row>
    <row r="32" spans="1:4" x14ac:dyDescent="0.55000000000000004">
      <c r="A32" s="59" t="s">
        <v>47</v>
      </c>
      <c r="B32" s="59"/>
      <c r="C32" s="5"/>
    </row>
    <row r="33" spans="1:11" ht="39" x14ac:dyDescent="0.55000000000000004">
      <c r="A33" s="58"/>
      <c r="B33" s="58"/>
      <c r="C33" s="5" t="s">
        <v>48</v>
      </c>
      <c r="D33" s="2" t="s">
        <v>1221</v>
      </c>
    </row>
    <row r="34" spans="1:11" x14ac:dyDescent="0.55000000000000004">
      <c r="A34" s="59" t="s">
        <v>50</v>
      </c>
      <c r="B34" s="59"/>
      <c r="C34" s="5"/>
    </row>
    <row r="35" spans="1:11" x14ac:dyDescent="0.55000000000000004">
      <c r="A35" s="8"/>
      <c r="B35" s="8"/>
      <c r="C35" s="5"/>
    </row>
    <row r="36" spans="1:11" x14ac:dyDescent="0.55000000000000004">
      <c r="A36" s="59"/>
      <c r="B36" s="5" t="s">
        <v>59</v>
      </c>
      <c r="C36" s="5"/>
      <c r="D36" s="2" t="s">
        <v>51</v>
      </c>
      <c r="E36" s="1" t="s">
        <v>52</v>
      </c>
      <c r="F36" s="1" t="s">
        <v>53</v>
      </c>
      <c r="G36" s="1" t="s">
        <v>54</v>
      </c>
      <c r="H36" s="1" t="s">
        <v>55</v>
      </c>
      <c r="I36" s="1" t="s">
        <v>56</v>
      </c>
      <c r="J36" s="1" t="s">
        <v>57</v>
      </c>
      <c r="K36" s="1" t="s">
        <v>58</v>
      </c>
    </row>
    <row r="37" spans="1:11" x14ac:dyDescent="0.55000000000000004">
      <c r="A37" s="59"/>
      <c r="B37" s="5"/>
      <c r="C37" s="5" t="s">
        <v>1222</v>
      </c>
      <c r="D37" s="2">
        <v>2.7</v>
      </c>
      <c r="E37" s="1">
        <v>0.6</v>
      </c>
    </row>
    <row r="38" spans="1:11" x14ac:dyDescent="0.55000000000000004">
      <c r="A38" s="59"/>
      <c r="B38" s="5"/>
      <c r="C38" s="5" t="s">
        <v>1223</v>
      </c>
      <c r="D38" s="2">
        <v>2</v>
      </c>
      <c r="E38" s="1">
        <v>0.8</v>
      </c>
    </row>
    <row r="39" spans="1:11" x14ac:dyDescent="0.55000000000000004">
      <c r="A39" s="59"/>
      <c r="B39" s="5"/>
    </row>
    <row r="40" spans="1:11" x14ac:dyDescent="0.55000000000000004">
      <c r="A40" s="59"/>
      <c r="B40" s="5"/>
    </row>
    <row r="41" spans="1:11" x14ac:dyDescent="0.55000000000000004">
      <c r="A41" s="59"/>
      <c r="B41" s="5"/>
      <c r="C41" s="5"/>
    </row>
    <row r="42" spans="1:11" x14ac:dyDescent="0.55000000000000004">
      <c r="A42" s="59"/>
      <c r="B42" s="5"/>
    </row>
    <row r="43" spans="1:11" x14ac:dyDescent="0.55000000000000004">
      <c r="A43" s="59"/>
      <c r="B43" s="5"/>
    </row>
    <row r="44" spans="1:11" x14ac:dyDescent="0.55000000000000004">
      <c r="A44" s="59"/>
      <c r="B44" s="5"/>
      <c r="C44" s="5"/>
    </row>
    <row r="45" spans="1:11" x14ac:dyDescent="0.55000000000000004">
      <c r="A45" s="59"/>
      <c r="B45" s="1" t="s">
        <v>61</v>
      </c>
      <c r="C45" s="5"/>
    </row>
    <row r="46" spans="1:11" x14ac:dyDescent="0.55000000000000004">
      <c r="A46" s="59"/>
      <c r="C46" s="5"/>
    </row>
    <row r="47" spans="1:11" x14ac:dyDescent="0.55000000000000004">
      <c r="A47" s="59"/>
      <c r="C47" s="5"/>
    </row>
    <row r="48" spans="1:11" x14ac:dyDescent="0.55000000000000004">
      <c r="A48" s="59"/>
      <c r="C48" s="5"/>
    </row>
    <row r="49" spans="1:3" x14ac:dyDescent="0.55000000000000004">
      <c r="A49" s="59"/>
      <c r="C49" s="5"/>
    </row>
    <row r="50" spans="1:3" x14ac:dyDescent="0.55000000000000004">
      <c r="A50" s="59"/>
      <c r="C50" s="5"/>
    </row>
    <row r="51" spans="1:3" x14ac:dyDescent="0.55000000000000004">
      <c r="A51" s="59"/>
      <c r="C51" s="5"/>
    </row>
    <row r="52" spans="1:3" x14ac:dyDescent="0.55000000000000004">
      <c r="A52" s="59"/>
      <c r="C52" s="5"/>
    </row>
    <row r="53" spans="1:3" x14ac:dyDescent="0.55000000000000004">
      <c r="A53" s="59"/>
      <c r="C53" s="5"/>
    </row>
    <row r="54" spans="1:3" x14ac:dyDescent="0.55000000000000004">
      <c r="A54" s="59"/>
      <c r="B54" s="5"/>
    </row>
    <row r="55" spans="1:3" x14ac:dyDescent="0.55000000000000004">
      <c r="A55" s="59"/>
      <c r="B55" s="5"/>
    </row>
    <row r="56" spans="1:3" x14ac:dyDescent="0.55000000000000004">
      <c r="A56" s="59"/>
      <c r="B56" s="5"/>
    </row>
    <row r="57" spans="1:3" x14ac:dyDescent="0.55000000000000004">
      <c r="A57" s="59"/>
      <c r="B57" s="5"/>
    </row>
    <row r="58" spans="1:3" x14ac:dyDescent="0.55000000000000004">
      <c r="A58" s="59"/>
      <c r="B58" s="5"/>
      <c r="C58" s="5"/>
    </row>
    <row r="59" spans="1:3" x14ac:dyDescent="0.55000000000000004">
      <c r="A59" s="59"/>
      <c r="B59" s="5"/>
      <c r="C59" s="5"/>
    </row>
    <row r="60" spans="1:3" x14ac:dyDescent="0.55000000000000004">
      <c r="A60" s="59"/>
      <c r="B60" s="5"/>
      <c r="C60" s="5"/>
    </row>
    <row r="61" spans="1:3" x14ac:dyDescent="0.55000000000000004">
      <c r="A61" s="59"/>
      <c r="B61" s="5"/>
      <c r="C61" s="5"/>
    </row>
    <row r="62" spans="1:3" x14ac:dyDescent="0.55000000000000004">
      <c r="A62" s="59"/>
      <c r="B62" s="5"/>
      <c r="C62" s="5"/>
    </row>
    <row r="63" spans="1:3" x14ac:dyDescent="0.55000000000000004">
      <c r="A63" s="59"/>
      <c r="B63" s="5"/>
      <c r="C63" s="5"/>
    </row>
    <row r="64" spans="1:3" x14ac:dyDescent="0.55000000000000004">
      <c r="A64" s="59"/>
      <c r="B64" s="5"/>
      <c r="C64" s="5"/>
    </row>
    <row r="65" spans="1:11" x14ac:dyDescent="0.55000000000000004">
      <c r="A65" s="59"/>
      <c r="B65" s="5" t="s">
        <v>62</v>
      </c>
      <c r="C65" s="5"/>
      <c r="D65" s="2">
        <f>32*7</f>
        <v>224</v>
      </c>
    </row>
    <row r="66" spans="1:11" x14ac:dyDescent="0.55000000000000004">
      <c r="A66" s="59"/>
      <c r="B66" s="5" t="s">
        <v>63</v>
      </c>
      <c r="C66" s="5"/>
      <c r="D66" s="2" t="s">
        <v>207</v>
      </c>
    </row>
    <row r="67" spans="1:11" ht="26.1" x14ac:dyDescent="0.55000000000000004">
      <c r="A67" s="59" t="s">
        <v>65</v>
      </c>
      <c r="B67" s="59"/>
      <c r="C67" s="5"/>
      <c r="D67" s="2" t="s">
        <v>1224</v>
      </c>
    </row>
    <row r="68" spans="1:11" x14ac:dyDescent="0.55000000000000004">
      <c r="A68" s="3" t="s">
        <v>67</v>
      </c>
    </row>
    <row r="69" spans="1:11" x14ac:dyDescent="0.55000000000000004">
      <c r="A69" s="1" t="s">
        <v>68</v>
      </c>
      <c r="C69" s="1">
        <v>15</v>
      </c>
      <c r="D69" s="2">
        <v>24</v>
      </c>
    </row>
    <row r="70" spans="1:11" x14ac:dyDescent="0.55000000000000004">
      <c r="B70" s="1" t="s">
        <v>94</v>
      </c>
    </row>
    <row r="71" spans="1:11" x14ac:dyDescent="0.55000000000000004">
      <c r="C71" s="5" t="s">
        <v>1222</v>
      </c>
      <c r="D71" s="2">
        <v>2.7</v>
      </c>
      <c r="E71" s="1">
        <v>0.6</v>
      </c>
    </row>
    <row r="72" spans="1:11" x14ac:dyDescent="0.55000000000000004">
      <c r="C72" s="5" t="s">
        <v>1223</v>
      </c>
      <c r="D72" s="2">
        <v>2</v>
      </c>
      <c r="E72" s="1">
        <v>0.8</v>
      </c>
    </row>
    <row r="73" spans="1:11" x14ac:dyDescent="0.55000000000000004">
      <c r="C73" s="5" t="s">
        <v>1225</v>
      </c>
      <c r="D73" s="2">
        <v>1.6</v>
      </c>
      <c r="E73" s="1">
        <v>0.9</v>
      </c>
    </row>
    <row r="74" spans="1:11" x14ac:dyDescent="0.55000000000000004">
      <c r="C74" s="5" t="s">
        <v>1226</v>
      </c>
      <c r="D74" s="2">
        <v>0.9</v>
      </c>
      <c r="E74" s="1">
        <v>1</v>
      </c>
    </row>
    <row r="75" spans="1:11" x14ac:dyDescent="0.55000000000000004">
      <c r="C75" s="5" t="s">
        <v>1227</v>
      </c>
      <c r="D75" s="2">
        <f>D71+D73</f>
        <v>4.3000000000000007</v>
      </c>
      <c r="K75" s="1">
        <f>SQRT(((($D$23-1)*E71^2)+(($D$23-1)*E73^2))/($D$23+$D$23-2))</f>
        <v>0.76485292703891772</v>
      </c>
    </row>
    <row r="76" spans="1:11" x14ac:dyDescent="0.55000000000000004">
      <c r="C76" s="5" t="s">
        <v>1228</v>
      </c>
      <c r="D76" s="2">
        <f>D72+D74</f>
        <v>2.9</v>
      </c>
      <c r="K76" s="1">
        <f>SQRT(((($D$23-1)*E72^2)+(($D$23-1)*E74^2))/($D$23+$D$23-2))</f>
        <v>0.90553851381374173</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AMJ69"/>
  <sheetViews>
    <sheetView topLeftCell="A6" zoomScaleNormal="100" workbookViewId="0">
      <selection activeCell="D26" sqref="D26"/>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1.578125" style="1" customWidth="1"/>
    <col min="6" max="1024" width="11.41796875" style="1"/>
  </cols>
  <sheetData>
    <row r="1" spans="1:5" x14ac:dyDescent="0.55000000000000004">
      <c r="A1" s="3" t="s">
        <v>0</v>
      </c>
      <c r="D1" s="2" t="s">
        <v>185</v>
      </c>
    </row>
    <row r="2" spans="1:5" x14ac:dyDescent="0.55000000000000004">
      <c r="A2" s="58" t="s">
        <v>2</v>
      </c>
      <c r="B2" s="58"/>
      <c r="D2" s="1" t="s">
        <v>1229</v>
      </c>
    </row>
    <row r="3" spans="1:5" x14ac:dyDescent="0.55000000000000004">
      <c r="A3" s="58"/>
      <c r="B3" s="58"/>
      <c r="C3" s="5" t="s">
        <v>4</v>
      </c>
      <c r="D3" s="2" t="s">
        <v>1230</v>
      </c>
    </row>
    <row r="4" spans="1:5" x14ac:dyDescent="0.55000000000000004">
      <c r="A4" s="58"/>
      <c r="B4" s="58"/>
      <c r="C4" s="5" t="s">
        <v>6</v>
      </c>
      <c r="D4" s="2">
        <v>1988</v>
      </c>
    </row>
    <row r="5" spans="1:5" ht="39" x14ac:dyDescent="0.55000000000000004">
      <c r="A5" s="58"/>
      <c r="B5" s="58"/>
      <c r="C5" s="5" t="s">
        <v>7</v>
      </c>
      <c r="D5" s="2" t="s">
        <v>1231</v>
      </c>
    </row>
    <row r="6" spans="1:5" x14ac:dyDescent="0.55000000000000004">
      <c r="A6" s="58"/>
      <c r="B6" s="58"/>
      <c r="C6" s="5" t="s">
        <v>9</v>
      </c>
      <c r="D6" s="2" t="s">
        <v>101</v>
      </c>
    </row>
    <row r="7" spans="1:5" x14ac:dyDescent="0.55000000000000004">
      <c r="A7" s="58"/>
      <c r="B7" s="58"/>
      <c r="C7" s="5" t="s">
        <v>11</v>
      </c>
      <c r="D7" s="2" t="s">
        <v>12</v>
      </c>
    </row>
    <row r="8" spans="1:5" x14ac:dyDescent="0.55000000000000004">
      <c r="A8" s="59" t="s">
        <v>13</v>
      </c>
      <c r="B8" s="59"/>
      <c r="C8" s="5"/>
    </row>
    <row r="9" spans="1:5" ht="39" x14ac:dyDescent="0.55000000000000004">
      <c r="A9" s="58"/>
      <c r="B9" s="58"/>
      <c r="C9" s="5" t="s">
        <v>14</v>
      </c>
      <c r="D9" s="2" t="s">
        <v>1232</v>
      </c>
    </row>
    <row r="10" spans="1:5" x14ac:dyDescent="0.55000000000000004">
      <c r="A10" s="58"/>
      <c r="B10" s="58"/>
      <c r="C10" s="5" t="s">
        <v>16</v>
      </c>
      <c r="D10" s="2" t="s">
        <v>165</v>
      </c>
      <c r="E10" s="1" t="s">
        <v>496</v>
      </c>
    </row>
    <row r="11" spans="1:5" x14ac:dyDescent="0.55000000000000004">
      <c r="A11" s="58"/>
      <c r="B11" s="58"/>
      <c r="C11" s="5" t="s">
        <v>19</v>
      </c>
      <c r="D11" s="9" t="s">
        <v>20</v>
      </c>
    </row>
    <row r="12" spans="1:5" x14ac:dyDescent="0.55000000000000004">
      <c r="A12" s="58"/>
      <c r="B12" s="58"/>
      <c r="C12" s="5" t="s">
        <v>21</v>
      </c>
      <c r="D12" s="9" t="s">
        <v>20</v>
      </c>
    </row>
    <row r="13" spans="1:5" x14ac:dyDescent="0.55000000000000004">
      <c r="A13" s="58"/>
      <c r="B13" s="58"/>
      <c r="C13" s="5" t="s">
        <v>22</v>
      </c>
      <c r="D13" s="2" t="s">
        <v>20</v>
      </c>
    </row>
    <row r="14" spans="1:5" x14ac:dyDescent="0.55000000000000004">
      <c r="A14" s="59" t="s">
        <v>24</v>
      </c>
      <c r="B14" s="59"/>
      <c r="C14" s="5"/>
    </row>
    <row r="15" spans="1:5" x14ac:dyDescent="0.55000000000000004">
      <c r="A15" s="58"/>
      <c r="B15" s="58"/>
      <c r="C15" s="5" t="s">
        <v>25</v>
      </c>
      <c r="D15" s="2" t="s">
        <v>945</v>
      </c>
    </row>
    <row r="16" spans="1:5" x14ac:dyDescent="0.55000000000000004">
      <c r="A16" s="58"/>
      <c r="B16" s="58"/>
      <c r="C16" s="5" t="s">
        <v>27</v>
      </c>
      <c r="D16" s="2" t="s">
        <v>1233</v>
      </c>
    </row>
    <row r="17" spans="1:4" x14ac:dyDescent="0.55000000000000004">
      <c r="A17" s="59" t="s">
        <v>29</v>
      </c>
      <c r="B17" s="59"/>
      <c r="C17" s="5"/>
    </row>
    <row r="18" spans="1:4" ht="51.9" x14ac:dyDescent="0.55000000000000004">
      <c r="A18" s="58"/>
      <c r="B18" s="58"/>
      <c r="C18" s="5" t="s">
        <v>30</v>
      </c>
      <c r="D18" s="2" t="s">
        <v>1234</v>
      </c>
    </row>
    <row r="19" spans="1:4" ht="26.1" x14ac:dyDescent="0.55000000000000004">
      <c r="A19" s="58"/>
      <c r="B19" s="58"/>
      <c r="C19" s="5" t="s">
        <v>32</v>
      </c>
      <c r="D19" s="2" t="s">
        <v>1235</v>
      </c>
    </row>
    <row r="20" spans="1:4" x14ac:dyDescent="0.55000000000000004">
      <c r="A20" s="59" t="s">
        <v>34</v>
      </c>
      <c r="B20" s="59"/>
      <c r="C20" s="5"/>
      <c r="D20" s="2" t="s">
        <v>35</v>
      </c>
    </row>
    <row r="21" spans="1:4" x14ac:dyDescent="0.55000000000000004">
      <c r="A21" s="58"/>
      <c r="B21" s="58"/>
      <c r="C21" s="5" t="s">
        <v>36</v>
      </c>
      <c r="D21" s="2" t="s">
        <v>20</v>
      </c>
    </row>
    <row r="22" spans="1:4" x14ac:dyDescent="0.55000000000000004">
      <c r="A22" s="58"/>
      <c r="B22" s="58"/>
      <c r="C22" s="5" t="s">
        <v>37</v>
      </c>
      <c r="D22" s="2">
        <v>16</v>
      </c>
    </row>
    <row r="23" spans="1:4" x14ac:dyDescent="0.55000000000000004">
      <c r="A23" s="58"/>
      <c r="B23" s="58"/>
      <c r="C23" s="5" t="s">
        <v>38</v>
      </c>
      <c r="D23" s="2">
        <v>15</v>
      </c>
    </row>
    <row r="24" spans="1:4" x14ac:dyDescent="0.55000000000000004">
      <c r="A24" s="58"/>
      <c r="B24" s="58"/>
      <c r="C24" s="5" t="s">
        <v>39</v>
      </c>
      <c r="D24" s="2">
        <v>1</v>
      </c>
    </row>
    <row r="25" spans="1:4" x14ac:dyDescent="0.55000000000000004">
      <c r="A25" s="58"/>
      <c r="B25" s="58"/>
      <c r="C25" s="5" t="s">
        <v>40</v>
      </c>
      <c r="D25" s="2">
        <v>44</v>
      </c>
    </row>
    <row r="26" spans="1:4" x14ac:dyDescent="0.55000000000000004">
      <c r="A26" s="58"/>
      <c r="B26" s="58"/>
      <c r="C26" s="5" t="s">
        <v>41</v>
      </c>
      <c r="D26" s="7">
        <v>64.3</v>
      </c>
    </row>
    <row r="27" spans="1:4" x14ac:dyDescent="0.55000000000000004">
      <c r="A27" s="58"/>
      <c r="B27" s="58"/>
      <c r="C27" s="5" t="s">
        <v>42</v>
      </c>
      <c r="D27" s="7">
        <v>2.2999999999999998</v>
      </c>
    </row>
    <row r="28" spans="1:4" x14ac:dyDescent="0.55000000000000004">
      <c r="A28" s="58"/>
      <c r="B28" s="58"/>
      <c r="C28" s="5" t="s">
        <v>43</v>
      </c>
      <c r="D28" s="2" t="s">
        <v>20</v>
      </c>
    </row>
    <row r="29" spans="1:4" x14ac:dyDescent="0.55000000000000004">
      <c r="A29" s="58"/>
      <c r="B29" s="58"/>
      <c r="C29" s="5" t="s">
        <v>44</v>
      </c>
      <c r="D29" s="2">
        <v>3</v>
      </c>
    </row>
    <row r="30" spans="1:4" x14ac:dyDescent="0.55000000000000004">
      <c r="A30" s="58"/>
      <c r="B30" s="58"/>
      <c r="C30" s="5" t="s">
        <v>45</v>
      </c>
      <c r="D30" s="7" t="s">
        <v>20</v>
      </c>
    </row>
    <row r="31" spans="1:4" x14ac:dyDescent="0.55000000000000004">
      <c r="A31" s="58"/>
      <c r="B31" s="58"/>
      <c r="C31" s="5" t="s">
        <v>46</v>
      </c>
      <c r="D31" s="7" t="s">
        <v>20</v>
      </c>
    </row>
    <row r="32" spans="1:4" x14ac:dyDescent="0.55000000000000004">
      <c r="A32" s="59" t="s">
        <v>47</v>
      </c>
      <c r="B32" s="59"/>
      <c r="C32" s="5"/>
    </row>
    <row r="33" spans="1:10" ht="26.1" x14ac:dyDescent="0.55000000000000004">
      <c r="A33" s="58"/>
      <c r="B33" s="58"/>
      <c r="C33" s="5" t="s">
        <v>48</v>
      </c>
      <c r="D33" s="2" t="s">
        <v>1236</v>
      </c>
    </row>
    <row r="34" spans="1:10" x14ac:dyDescent="0.55000000000000004">
      <c r="A34" s="59" t="s">
        <v>50</v>
      </c>
      <c r="B34" s="59"/>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9"/>
      <c r="B36" s="5" t="s">
        <v>59</v>
      </c>
      <c r="C36" s="5"/>
    </row>
    <row r="37" spans="1:10" x14ac:dyDescent="0.55000000000000004">
      <c r="A37" s="59"/>
      <c r="B37" s="5"/>
    </row>
    <row r="38" spans="1:10" x14ac:dyDescent="0.55000000000000004">
      <c r="A38" s="59"/>
      <c r="B38" s="5"/>
    </row>
    <row r="39" spans="1:10" s="1" customFormat="1" ht="12.9" x14ac:dyDescent="0.5">
      <c r="A39" s="59"/>
      <c r="B39" s="5"/>
    </row>
    <row r="40" spans="1:10" s="1" customFormat="1" ht="12.9" x14ac:dyDescent="0.5">
      <c r="A40" s="59"/>
      <c r="B40" s="5"/>
    </row>
    <row r="41" spans="1:10" x14ac:dyDescent="0.55000000000000004">
      <c r="A41" s="59"/>
      <c r="B41" s="5"/>
      <c r="C41" s="5"/>
    </row>
    <row r="42" spans="1:10" x14ac:dyDescent="0.55000000000000004">
      <c r="A42" s="59"/>
      <c r="B42" s="5"/>
      <c r="C42" s="5"/>
    </row>
    <row r="43" spans="1:10" x14ac:dyDescent="0.55000000000000004">
      <c r="A43" s="59"/>
      <c r="B43" s="5"/>
      <c r="C43" s="5"/>
    </row>
    <row r="44" spans="1:10" x14ac:dyDescent="0.55000000000000004">
      <c r="A44" s="59"/>
      <c r="B44" s="5"/>
      <c r="C44" s="5"/>
    </row>
    <row r="45" spans="1:10" x14ac:dyDescent="0.55000000000000004">
      <c r="A45" s="59"/>
      <c r="B45" s="5" t="s">
        <v>61</v>
      </c>
      <c r="C45" s="5"/>
    </row>
    <row r="46" spans="1:10" x14ac:dyDescent="0.55000000000000004">
      <c r="A46" s="59"/>
      <c r="B46" s="5"/>
      <c r="C46" s="5" t="s">
        <v>1237</v>
      </c>
      <c r="D46" s="2">
        <v>1.7</v>
      </c>
      <c r="E46" s="1">
        <f>F46*SQRT($D$23)</f>
        <v>1.5491933384829668</v>
      </c>
      <c r="F46" s="1">
        <v>0.4</v>
      </c>
    </row>
    <row r="47" spans="1:10" x14ac:dyDescent="0.55000000000000004">
      <c r="A47" s="59"/>
      <c r="B47" s="5"/>
      <c r="C47" s="5" t="s">
        <v>1238</v>
      </c>
      <c r="D47" s="2">
        <v>0.9</v>
      </c>
      <c r="E47" s="1">
        <f>F47*SQRT($D$23)</f>
        <v>0.7745966692414834</v>
      </c>
      <c r="F47" s="1">
        <v>0.2</v>
      </c>
    </row>
    <row r="48" spans="1:10" x14ac:dyDescent="0.55000000000000004">
      <c r="A48" s="59"/>
      <c r="B48" s="5"/>
      <c r="C48" s="5" t="s">
        <v>1239</v>
      </c>
      <c r="D48" s="2">
        <v>1.7</v>
      </c>
      <c r="E48" s="1">
        <f>F48*SQRT($D$23)</f>
        <v>1.5491933384829668</v>
      </c>
      <c r="F48" s="1">
        <v>0.4</v>
      </c>
    </row>
    <row r="49" spans="1:6" x14ac:dyDescent="0.55000000000000004">
      <c r="A49" s="59"/>
      <c r="B49" s="5"/>
      <c r="C49" s="5" t="s">
        <v>1240</v>
      </c>
      <c r="D49" s="2">
        <v>1.3</v>
      </c>
      <c r="E49" s="1">
        <f>F49*SQRT($D$23)</f>
        <v>1.5491933384829668</v>
      </c>
      <c r="F49" s="1">
        <v>0.4</v>
      </c>
    </row>
    <row r="50" spans="1:6" x14ac:dyDescent="0.55000000000000004">
      <c r="A50" s="59"/>
      <c r="B50" s="5"/>
      <c r="C50" s="5" t="s">
        <v>79</v>
      </c>
      <c r="D50" s="2">
        <v>1</v>
      </c>
    </row>
    <row r="51" spans="1:6" x14ac:dyDescent="0.55000000000000004">
      <c r="A51" s="59"/>
      <c r="B51" s="5"/>
      <c r="C51" s="5"/>
    </row>
    <row r="52" spans="1:6" x14ac:dyDescent="0.55000000000000004">
      <c r="A52" s="59"/>
      <c r="B52" s="5"/>
      <c r="C52" s="5"/>
    </row>
    <row r="53" spans="1:6" x14ac:dyDescent="0.55000000000000004">
      <c r="A53" s="59"/>
      <c r="B53" s="5"/>
      <c r="C53" s="5"/>
    </row>
    <row r="54" spans="1:6" x14ac:dyDescent="0.55000000000000004">
      <c r="A54" s="59"/>
      <c r="B54" s="5"/>
      <c r="C54" s="5"/>
    </row>
    <row r="55" spans="1:6" x14ac:dyDescent="0.55000000000000004">
      <c r="A55" s="59"/>
      <c r="B55" s="5"/>
      <c r="C55" s="5"/>
    </row>
    <row r="56" spans="1:6" x14ac:dyDescent="0.55000000000000004">
      <c r="A56" s="59"/>
      <c r="B56" s="5"/>
      <c r="C56" s="5"/>
    </row>
    <row r="57" spans="1:6" x14ac:dyDescent="0.55000000000000004">
      <c r="A57" s="59"/>
      <c r="B57" s="5"/>
      <c r="C57" s="5"/>
    </row>
    <row r="58" spans="1:6" x14ac:dyDescent="0.55000000000000004">
      <c r="A58" s="59"/>
      <c r="B58" s="5"/>
      <c r="C58" s="5"/>
    </row>
    <row r="59" spans="1:6" x14ac:dyDescent="0.55000000000000004">
      <c r="A59" s="59"/>
      <c r="B59" s="5"/>
      <c r="C59" s="5"/>
    </row>
    <row r="60" spans="1:6" x14ac:dyDescent="0.55000000000000004">
      <c r="A60" s="59"/>
      <c r="B60" s="5"/>
      <c r="C60" s="5"/>
    </row>
    <row r="61" spans="1:6" x14ac:dyDescent="0.55000000000000004">
      <c r="A61" s="59"/>
      <c r="B61" s="5"/>
      <c r="C61" s="5"/>
    </row>
    <row r="62" spans="1:6" x14ac:dyDescent="0.55000000000000004">
      <c r="A62" s="59"/>
      <c r="B62" s="5"/>
      <c r="C62" s="5"/>
    </row>
    <row r="63" spans="1:6" x14ac:dyDescent="0.55000000000000004">
      <c r="A63" s="59"/>
      <c r="B63" s="5"/>
      <c r="C63" s="5"/>
    </row>
    <row r="64" spans="1:6" x14ac:dyDescent="0.55000000000000004">
      <c r="A64" s="59"/>
      <c r="B64" s="5"/>
      <c r="C64" s="5"/>
    </row>
    <row r="65" spans="1:6" x14ac:dyDescent="0.55000000000000004">
      <c r="A65" s="59"/>
      <c r="B65" s="5" t="s">
        <v>62</v>
      </c>
      <c r="C65" s="5"/>
      <c r="D65" s="2">
        <v>14</v>
      </c>
    </row>
    <row r="66" spans="1:6" x14ac:dyDescent="0.55000000000000004">
      <c r="A66" s="59"/>
      <c r="B66" s="5" t="s">
        <v>63</v>
      </c>
      <c r="C66" s="5"/>
      <c r="D66" s="2" t="s">
        <v>64</v>
      </c>
    </row>
    <row r="67" spans="1:6" x14ac:dyDescent="0.55000000000000004">
      <c r="A67" s="59" t="s">
        <v>65</v>
      </c>
      <c r="B67" s="59"/>
      <c r="C67" s="5"/>
    </row>
    <row r="68" spans="1:6" x14ac:dyDescent="0.55000000000000004">
      <c r="A68" s="3" t="s">
        <v>67</v>
      </c>
    </row>
    <row r="69" spans="1:6" x14ac:dyDescent="0.55000000000000004">
      <c r="A69" s="1" t="s">
        <v>68</v>
      </c>
      <c r="C69" s="1">
        <v>16</v>
      </c>
      <c r="D69" s="2">
        <v>20</v>
      </c>
      <c r="E69" s="1">
        <v>19</v>
      </c>
      <c r="F69" s="1">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AMJ69"/>
  <sheetViews>
    <sheetView topLeftCell="C11" zoomScale="90" zoomScaleNormal="90" workbookViewId="0">
      <selection activeCell="D26" sqref="D26"/>
    </sheetView>
  </sheetViews>
  <sheetFormatPr baseColWidth="10" defaultColWidth="11.41796875" defaultRowHeight="14.4" x14ac:dyDescent="0.55000000000000004"/>
  <cols>
    <col min="1" max="1" width="10.83984375" style="44" customWidth="1"/>
    <col min="2" max="2" width="18.83984375" style="44" customWidth="1"/>
    <col min="3" max="3" width="44.15625" style="44" customWidth="1"/>
    <col min="4" max="4" width="56.15625" style="45" customWidth="1"/>
    <col min="5" max="5" width="11.15625" style="44" customWidth="1"/>
    <col min="6" max="6" width="11.41796875" style="44"/>
    <col min="7" max="7" width="2.41796875" style="44" customWidth="1"/>
    <col min="8" max="8" width="31.41796875" style="44" customWidth="1"/>
    <col min="9" max="1024" width="11.41796875" style="44"/>
  </cols>
  <sheetData>
    <row r="1" spans="1:5" x14ac:dyDescent="0.55000000000000004">
      <c r="A1" s="46" t="s">
        <v>0</v>
      </c>
      <c r="D1" s="45" t="s">
        <v>426</v>
      </c>
    </row>
    <row r="2" spans="1:5" x14ac:dyDescent="0.55000000000000004">
      <c r="A2" s="58" t="s">
        <v>2</v>
      </c>
      <c r="B2" s="58"/>
      <c r="D2" s="45" t="s">
        <v>1241</v>
      </c>
    </row>
    <row r="3" spans="1:5" x14ac:dyDescent="0.55000000000000004">
      <c r="A3" s="58"/>
      <c r="B3" s="58"/>
      <c r="C3" s="4" t="s">
        <v>4</v>
      </c>
      <c r="D3" s="45" t="s">
        <v>1242</v>
      </c>
    </row>
    <row r="4" spans="1:5" x14ac:dyDescent="0.55000000000000004">
      <c r="A4" s="58"/>
      <c r="B4" s="58"/>
      <c r="C4" s="4" t="s">
        <v>6</v>
      </c>
      <c r="D4" s="45">
        <v>2002</v>
      </c>
    </row>
    <row r="5" spans="1:5" x14ac:dyDescent="0.55000000000000004">
      <c r="A5" s="58"/>
      <c r="B5" s="58"/>
      <c r="C5" s="4" t="s">
        <v>7</v>
      </c>
      <c r="D5" s="45" t="s">
        <v>1243</v>
      </c>
    </row>
    <row r="6" spans="1:5" x14ac:dyDescent="0.55000000000000004">
      <c r="A6" s="58"/>
      <c r="B6" s="58"/>
      <c r="C6" s="4" t="s">
        <v>9</v>
      </c>
      <c r="D6" s="45" t="s">
        <v>1244</v>
      </c>
    </row>
    <row r="7" spans="1:5" x14ac:dyDescent="0.55000000000000004">
      <c r="A7" s="58"/>
      <c r="B7" s="58"/>
      <c r="C7" s="4" t="s">
        <v>11</v>
      </c>
      <c r="D7" s="45" t="s">
        <v>431</v>
      </c>
    </row>
    <row r="8" spans="1:5" x14ac:dyDescent="0.55000000000000004">
      <c r="A8" s="59" t="s">
        <v>13</v>
      </c>
      <c r="B8" s="59"/>
      <c r="C8" s="4"/>
    </row>
    <row r="9" spans="1:5" x14ac:dyDescent="0.55000000000000004">
      <c r="A9" s="58"/>
      <c r="B9" s="58"/>
      <c r="C9" s="4" t="s">
        <v>14</v>
      </c>
      <c r="D9" s="45" t="s">
        <v>1245</v>
      </c>
    </row>
    <row r="10" spans="1:5" x14ac:dyDescent="0.55000000000000004">
      <c r="A10" s="58"/>
      <c r="B10" s="58"/>
      <c r="C10" s="4" t="s">
        <v>16</v>
      </c>
      <c r="D10" s="45" t="s">
        <v>17</v>
      </c>
      <c r="E10" s="44" t="s">
        <v>18</v>
      </c>
    </row>
    <row r="11" spans="1:5" x14ac:dyDescent="0.55000000000000004">
      <c r="A11" s="58"/>
      <c r="B11" s="58"/>
      <c r="C11" s="4" t="s">
        <v>19</v>
      </c>
      <c r="D11" s="45" t="s">
        <v>20</v>
      </c>
    </row>
    <row r="12" spans="1:5" x14ac:dyDescent="0.55000000000000004">
      <c r="A12" s="58"/>
      <c r="B12" s="58"/>
      <c r="C12" s="4" t="s">
        <v>21</v>
      </c>
      <c r="D12" s="45" t="s">
        <v>20</v>
      </c>
    </row>
    <row r="13" spans="1:5" x14ac:dyDescent="0.55000000000000004">
      <c r="A13" s="58"/>
      <c r="B13" s="58"/>
      <c r="C13" s="4" t="s">
        <v>22</v>
      </c>
      <c r="D13" s="45" t="s">
        <v>1246</v>
      </c>
    </row>
    <row r="14" spans="1:5" x14ac:dyDescent="0.55000000000000004">
      <c r="A14" s="59" t="s">
        <v>24</v>
      </c>
      <c r="B14" s="59"/>
      <c r="C14" s="4"/>
    </row>
    <row r="15" spans="1:5" x14ac:dyDescent="0.55000000000000004">
      <c r="A15" s="58"/>
      <c r="B15" s="58"/>
      <c r="C15" s="4" t="s">
        <v>25</v>
      </c>
      <c r="D15" s="45" t="s">
        <v>87</v>
      </c>
    </row>
    <row r="16" spans="1:5" x14ac:dyDescent="0.55000000000000004">
      <c r="A16" s="58"/>
      <c r="B16" s="58"/>
      <c r="C16" s="4" t="s">
        <v>27</v>
      </c>
      <c r="D16" s="45" t="s">
        <v>88</v>
      </c>
    </row>
    <row r="17" spans="1:5" x14ac:dyDescent="0.55000000000000004">
      <c r="A17" s="59" t="s">
        <v>29</v>
      </c>
      <c r="B17" s="59"/>
      <c r="C17" s="4"/>
    </row>
    <row r="18" spans="1:5" x14ac:dyDescent="0.55000000000000004">
      <c r="A18" s="58"/>
      <c r="B18" s="58"/>
      <c r="C18" s="4" t="s">
        <v>30</v>
      </c>
      <c r="D18" s="45" t="s">
        <v>31</v>
      </c>
    </row>
    <row r="19" spans="1:5" x14ac:dyDescent="0.55000000000000004">
      <c r="A19" s="58"/>
      <c r="B19" s="58"/>
      <c r="C19" s="4" t="s">
        <v>32</v>
      </c>
      <c r="D19" s="45" t="s">
        <v>20</v>
      </c>
    </row>
    <row r="20" spans="1:5" x14ac:dyDescent="0.55000000000000004">
      <c r="A20" s="59" t="s">
        <v>34</v>
      </c>
      <c r="B20" s="59"/>
      <c r="C20" s="4"/>
      <c r="D20" s="45" t="s">
        <v>35</v>
      </c>
    </row>
    <row r="21" spans="1:5" x14ac:dyDescent="0.55000000000000004">
      <c r="A21" s="58"/>
      <c r="B21" s="58"/>
      <c r="C21" s="4" t="s">
        <v>36</v>
      </c>
      <c r="D21" s="45" t="s">
        <v>20</v>
      </c>
    </row>
    <row r="22" spans="1:5" x14ac:dyDescent="0.55000000000000004">
      <c r="A22" s="58"/>
      <c r="B22" s="58"/>
      <c r="C22" s="4" t="s">
        <v>37</v>
      </c>
      <c r="D22" s="45">
        <v>657</v>
      </c>
    </row>
    <row r="23" spans="1:5" x14ac:dyDescent="0.55000000000000004">
      <c r="A23" s="58"/>
      <c r="B23" s="58"/>
      <c r="C23" s="4" t="s">
        <v>38</v>
      </c>
      <c r="D23" s="45">
        <v>627</v>
      </c>
      <c r="E23" s="44" t="s">
        <v>1247</v>
      </c>
    </row>
    <row r="24" spans="1:5" x14ac:dyDescent="0.55000000000000004">
      <c r="A24" s="58"/>
      <c r="B24" s="58"/>
      <c r="C24" s="4" t="s">
        <v>39</v>
      </c>
      <c r="D24" s="45">
        <v>30</v>
      </c>
    </row>
    <row r="25" spans="1:5" x14ac:dyDescent="0.55000000000000004">
      <c r="A25" s="58"/>
      <c r="B25" s="58"/>
      <c r="C25" s="4" t="s">
        <v>40</v>
      </c>
      <c r="D25" s="45">
        <v>44</v>
      </c>
    </row>
    <row r="26" spans="1:5" x14ac:dyDescent="0.55000000000000004">
      <c r="A26" s="58"/>
      <c r="B26" s="58"/>
      <c r="C26" s="4" t="s">
        <v>41</v>
      </c>
      <c r="D26" s="45">
        <v>68</v>
      </c>
    </row>
    <row r="27" spans="1:5" x14ac:dyDescent="0.55000000000000004">
      <c r="A27" s="58"/>
      <c r="B27" s="58"/>
      <c r="C27" s="4" t="s">
        <v>42</v>
      </c>
      <c r="D27" s="45">
        <v>9.1</v>
      </c>
    </row>
    <row r="28" spans="1:5" x14ac:dyDescent="0.55000000000000004">
      <c r="A28" s="58"/>
      <c r="B28" s="58"/>
      <c r="C28" s="4" t="s">
        <v>43</v>
      </c>
      <c r="D28" s="45" t="s">
        <v>20</v>
      </c>
    </row>
    <row r="29" spans="1:5" x14ac:dyDescent="0.55000000000000004">
      <c r="A29" s="58"/>
      <c r="B29" s="58"/>
      <c r="C29" s="4" t="s">
        <v>44</v>
      </c>
      <c r="D29" s="45">
        <v>3</v>
      </c>
    </row>
    <row r="30" spans="1:5" x14ac:dyDescent="0.55000000000000004">
      <c r="A30" s="58"/>
      <c r="B30" s="58"/>
      <c r="C30" s="4" t="s">
        <v>45</v>
      </c>
      <c r="D30" s="45" t="s">
        <v>20</v>
      </c>
    </row>
    <row r="31" spans="1:5" x14ac:dyDescent="0.55000000000000004">
      <c r="A31" s="58"/>
      <c r="B31" s="58"/>
      <c r="C31" s="4" t="s">
        <v>46</v>
      </c>
      <c r="D31" s="45" t="s">
        <v>20</v>
      </c>
    </row>
    <row r="32" spans="1:5" x14ac:dyDescent="0.55000000000000004">
      <c r="A32" s="59" t="s">
        <v>47</v>
      </c>
      <c r="B32" s="59"/>
      <c r="C32" s="4"/>
    </row>
    <row r="33" spans="1:10" ht="26.1" x14ac:dyDescent="0.55000000000000004">
      <c r="A33" s="58"/>
      <c r="B33" s="58"/>
      <c r="C33" s="4" t="s">
        <v>48</v>
      </c>
      <c r="D33" s="45" t="s">
        <v>1248</v>
      </c>
    </row>
    <row r="34" spans="1:10" x14ac:dyDescent="0.55000000000000004">
      <c r="A34" s="59" t="s">
        <v>50</v>
      </c>
      <c r="B34" s="59"/>
      <c r="C34" s="4"/>
    </row>
    <row r="35" spans="1:10" x14ac:dyDescent="0.55000000000000004">
      <c r="A35" s="6"/>
      <c r="B35" s="6"/>
      <c r="C35" s="4"/>
      <c r="D35" s="2" t="s">
        <v>51</v>
      </c>
      <c r="E35" s="1" t="s">
        <v>52</v>
      </c>
      <c r="F35" s="1" t="s">
        <v>53</v>
      </c>
      <c r="G35" s="1" t="s">
        <v>54</v>
      </c>
      <c r="H35" s="1" t="s">
        <v>55</v>
      </c>
      <c r="I35" s="1" t="s">
        <v>56</v>
      </c>
      <c r="J35" s="1" t="s">
        <v>57</v>
      </c>
    </row>
    <row r="36" spans="1:10" x14ac:dyDescent="0.55000000000000004">
      <c r="A36" s="59"/>
      <c r="B36" s="4" t="s">
        <v>59</v>
      </c>
      <c r="C36" s="4"/>
    </row>
    <row r="37" spans="1:10" x14ac:dyDescent="0.55000000000000004">
      <c r="A37" s="59"/>
      <c r="B37" s="4"/>
      <c r="C37" s="4"/>
    </row>
    <row r="38" spans="1:10" x14ac:dyDescent="0.55000000000000004">
      <c r="A38" s="59"/>
      <c r="B38" s="4"/>
      <c r="C38" s="4"/>
    </row>
    <row r="39" spans="1:10" x14ac:dyDescent="0.55000000000000004">
      <c r="A39" s="59"/>
      <c r="B39" s="4"/>
      <c r="C39" s="4"/>
    </row>
    <row r="40" spans="1:10" x14ac:dyDescent="0.55000000000000004">
      <c r="A40" s="59"/>
      <c r="B40" s="4"/>
      <c r="C40" s="4"/>
    </row>
    <row r="41" spans="1:10" x14ac:dyDescent="0.55000000000000004">
      <c r="A41" s="59"/>
      <c r="B41" s="4"/>
    </row>
    <row r="42" spans="1:10" x14ac:dyDescent="0.55000000000000004">
      <c r="A42" s="59"/>
      <c r="B42" s="4"/>
      <c r="H42" s="48"/>
    </row>
    <row r="43" spans="1:10" x14ac:dyDescent="0.55000000000000004">
      <c r="A43" s="59"/>
      <c r="B43" s="4"/>
      <c r="C43" s="4"/>
    </row>
    <row r="44" spans="1:10" x14ac:dyDescent="0.55000000000000004">
      <c r="A44" s="59"/>
      <c r="B44" s="4"/>
      <c r="C44" s="4"/>
    </row>
    <row r="45" spans="1:10" x14ac:dyDescent="0.55000000000000004">
      <c r="A45" s="59"/>
      <c r="B45" s="4" t="s">
        <v>61</v>
      </c>
      <c r="C45" s="4"/>
    </row>
    <row r="46" spans="1:10" x14ac:dyDescent="0.55000000000000004">
      <c r="A46" s="59"/>
      <c r="B46" s="4"/>
      <c r="C46" s="4" t="s">
        <v>1249</v>
      </c>
      <c r="D46" s="51">
        <v>15.849275362318799</v>
      </c>
      <c r="E46" s="52">
        <v>3.6927536231884002</v>
      </c>
    </row>
    <row r="47" spans="1:10" x14ac:dyDescent="0.55000000000000004">
      <c r="A47" s="59"/>
      <c r="B47" s="4"/>
      <c r="C47" s="4" t="s">
        <v>1250</v>
      </c>
      <c r="D47" s="51">
        <v>12.3188405797101</v>
      </c>
      <c r="E47" s="52">
        <v>3.6521739130434998</v>
      </c>
    </row>
    <row r="48" spans="1:10" x14ac:dyDescent="0.55000000000000004">
      <c r="A48" s="59"/>
      <c r="B48" s="4"/>
      <c r="C48" s="4"/>
      <c r="D48" s="51"/>
      <c r="E48" s="52"/>
    </row>
    <row r="49" spans="1:5" x14ac:dyDescent="0.55000000000000004">
      <c r="A49" s="59"/>
      <c r="B49" s="4"/>
      <c r="C49" s="4"/>
      <c r="D49" s="51"/>
      <c r="E49" s="52"/>
    </row>
    <row r="50" spans="1:5" x14ac:dyDescent="0.55000000000000004">
      <c r="A50" s="59"/>
      <c r="B50" s="4"/>
      <c r="C50" s="4"/>
      <c r="D50" s="51"/>
      <c r="E50" s="52"/>
    </row>
    <row r="51" spans="1:5" x14ac:dyDescent="0.55000000000000004">
      <c r="A51" s="59"/>
      <c r="B51" s="4"/>
      <c r="C51" s="4"/>
      <c r="D51" s="51"/>
      <c r="E51" s="52"/>
    </row>
    <row r="52" spans="1:5" x14ac:dyDescent="0.55000000000000004">
      <c r="A52" s="59"/>
      <c r="B52" s="4"/>
      <c r="C52" s="4"/>
      <c r="D52" s="51"/>
      <c r="E52" s="52"/>
    </row>
    <row r="53" spans="1:5" x14ac:dyDescent="0.55000000000000004">
      <c r="A53" s="59"/>
      <c r="B53" s="4"/>
      <c r="C53" s="4"/>
      <c r="D53" s="51"/>
      <c r="E53" s="52"/>
    </row>
    <row r="54" spans="1:5" x14ac:dyDescent="0.55000000000000004">
      <c r="A54" s="59"/>
      <c r="B54" s="4"/>
      <c r="C54" s="4"/>
      <c r="D54" s="51"/>
      <c r="E54" s="52"/>
    </row>
    <row r="55" spans="1:5" x14ac:dyDescent="0.55000000000000004">
      <c r="A55" s="59"/>
      <c r="B55" s="4"/>
      <c r="C55" s="4"/>
      <c r="D55" s="51"/>
      <c r="E55" s="52"/>
    </row>
    <row r="56" spans="1:5" x14ac:dyDescent="0.55000000000000004">
      <c r="A56" s="59"/>
      <c r="B56" s="4"/>
      <c r="C56" s="4"/>
      <c r="D56" s="51"/>
      <c r="E56" s="52"/>
    </row>
    <row r="57" spans="1:5" x14ac:dyDescent="0.55000000000000004">
      <c r="A57" s="59"/>
      <c r="B57" s="4"/>
      <c r="C57" s="4"/>
      <c r="D57" s="51"/>
      <c r="E57" s="52"/>
    </row>
    <row r="58" spans="1:5" x14ac:dyDescent="0.55000000000000004">
      <c r="A58" s="59"/>
      <c r="B58" s="4"/>
      <c r="C58" s="4"/>
      <c r="D58" s="51"/>
      <c r="E58" s="52"/>
    </row>
    <row r="59" spans="1:5" x14ac:dyDescent="0.55000000000000004">
      <c r="A59" s="59"/>
      <c r="B59" s="4"/>
      <c r="C59" s="4"/>
    </row>
    <row r="60" spans="1:5" x14ac:dyDescent="0.55000000000000004">
      <c r="A60" s="59"/>
      <c r="B60" s="4"/>
      <c r="C60" s="4"/>
    </row>
    <row r="61" spans="1:5" x14ac:dyDescent="0.55000000000000004">
      <c r="A61" s="59"/>
      <c r="B61" s="4"/>
      <c r="C61" s="4"/>
    </row>
    <row r="62" spans="1:5" x14ac:dyDescent="0.55000000000000004">
      <c r="A62" s="59"/>
      <c r="B62" s="4"/>
      <c r="C62" s="4"/>
    </row>
    <row r="63" spans="1:5" x14ac:dyDescent="0.55000000000000004">
      <c r="A63" s="59"/>
      <c r="B63" s="4"/>
      <c r="C63" s="4"/>
    </row>
    <row r="64" spans="1:5" x14ac:dyDescent="0.55000000000000004">
      <c r="A64" s="59"/>
      <c r="B64" s="4"/>
      <c r="C64" s="4"/>
    </row>
    <row r="65" spans="1:4" x14ac:dyDescent="0.55000000000000004">
      <c r="A65" s="59"/>
      <c r="B65" s="4" t="s">
        <v>62</v>
      </c>
      <c r="C65" s="4"/>
      <c r="D65" s="45">
        <v>63</v>
      </c>
    </row>
    <row r="66" spans="1:4" x14ac:dyDescent="0.55000000000000004">
      <c r="A66" s="59"/>
      <c r="B66" s="4" t="s">
        <v>63</v>
      </c>
      <c r="D66" s="45" t="s">
        <v>1196</v>
      </c>
    </row>
    <row r="67" spans="1:4" ht="26.1" x14ac:dyDescent="0.55000000000000004">
      <c r="A67" s="59" t="s">
        <v>65</v>
      </c>
      <c r="B67" s="59"/>
      <c r="D67" s="53" t="s">
        <v>1251</v>
      </c>
    </row>
    <row r="68" spans="1:4" x14ac:dyDescent="0.55000000000000004">
      <c r="A68" s="46" t="s">
        <v>67</v>
      </c>
    </row>
    <row r="69" spans="1:4" x14ac:dyDescent="0.55000000000000004">
      <c r="A69" s="44" t="s">
        <v>68</v>
      </c>
      <c r="C69" s="44">
        <v>11</v>
      </c>
      <c r="D69" s="45">
        <v>22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AMJ72"/>
  <sheetViews>
    <sheetView topLeftCell="A24" zoomScale="90" zoomScaleNormal="90" workbookViewId="0">
      <selection activeCell="D69" sqref="D69"/>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5.15625" style="1" customWidth="1"/>
    <col min="6" max="6" width="4.83984375" style="1" customWidth="1"/>
    <col min="7" max="1024" width="11.41796875" style="1"/>
  </cols>
  <sheetData>
    <row r="1" spans="1:5" x14ac:dyDescent="0.55000000000000004">
      <c r="A1" s="3" t="s">
        <v>0</v>
      </c>
      <c r="D1" s="2" t="s">
        <v>426</v>
      </c>
    </row>
    <row r="2" spans="1:5" x14ac:dyDescent="0.55000000000000004">
      <c r="A2" s="58" t="s">
        <v>2</v>
      </c>
      <c r="B2" s="58"/>
      <c r="D2" s="1" t="s">
        <v>1252</v>
      </c>
    </row>
    <row r="3" spans="1:5" x14ac:dyDescent="0.55000000000000004">
      <c r="A3" s="58"/>
      <c r="B3" s="58"/>
      <c r="C3" s="5" t="s">
        <v>4</v>
      </c>
      <c r="D3" s="2" t="s">
        <v>1253</v>
      </c>
    </row>
    <row r="4" spans="1:5" x14ac:dyDescent="0.55000000000000004">
      <c r="A4" s="58"/>
      <c r="B4" s="58"/>
      <c r="C4" s="5" t="s">
        <v>6</v>
      </c>
      <c r="D4" s="2">
        <v>2003</v>
      </c>
    </row>
    <row r="5" spans="1:5" ht="26.1" x14ac:dyDescent="0.55000000000000004">
      <c r="A5" s="58"/>
      <c r="B5" s="58"/>
      <c r="C5" s="5" t="s">
        <v>7</v>
      </c>
      <c r="D5" s="2" t="s">
        <v>1254</v>
      </c>
    </row>
    <row r="6" spans="1:5" x14ac:dyDescent="0.55000000000000004">
      <c r="A6" s="58"/>
      <c r="B6" s="58"/>
      <c r="C6" s="5" t="s">
        <v>9</v>
      </c>
      <c r="D6" s="2" t="s">
        <v>1255</v>
      </c>
    </row>
    <row r="7" spans="1:5" x14ac:dyDescent="0.55000000000000004">
      <c r="A7" s="58"/>
      <c r="B7" s="58"/>
      <c r="C7" s="5" t="s">
        <v>11</v>
      </c>
      <c r="D7" s="2" t="s">
        <v>12</v>
      </c>
    </row>
    <row r="8" spans="1:5" x14ac:dyDescent="0.55000000000000004">
      <c r="A8" s="59" t="s">
        <v>13</v>
      </c>
      <c r="B8" s="59"/>
      <c r="C8" s="5"/>
    </row>
    <row r="9" spans="1:5" ht="51.9" x14ac:dyDescent="0.55000000000000004">
      <c r="A9" s="58"/>
      <c r="B9" s="58"/>
      <c r="C9" s="5" t="s">
        <v>14</v>
      </c>
      <c r="D9" s="2" t="s">
        <v>1256</v>
      </c>
    </row>
    <row r="10" spans="1:5" x14ac:dyDescent="0.55000000000000004">
      <c r="A10" s="58"/>
      <c r="B10" s="58"/>
      <c r="C10" s="5" t="s">
        <v>16</v>
      </c>
      <c r="D10" s="2" t="s">
        <v>17</v>
      </c>
      <c r="E10" s="1" t="s">
        <v>18</v>
      </c>
    </row>
    <row r="11" spans="1:5" x14ac:dyDescent="0.55000000000000004">
      <c r="A11" s="58"/>
      <c r="B11" s="58"/>
      <c r="C11" s="5" t="s">
        <v>19</v>
      </c>
      <c r="D11" s="2" t="s">
        <v>20</v>
      </c>
    </row>
    <row r="12" spans="1:5" x14ac:dyDescent="0.55000000000000004">
      <c r="A12" s="58"/>
      <c r="B12" s="58"/>
      <c r="C12" s="5" t="s">
        <v>21</v>
      </c>
      <c r="D12" s="2" t="s">
        <v>20</v>
      </c>
    </row>
    <row r="13" spans="1:5" x14ac:dyDescent="0.55000000000000004">
      <c r="A13" s="58"/>
      <c r="B13" s="58"/>
      <c r="C13" s="5" t="s">
        <v>22</v>
      </c>
      <c r="D13" s="2" t="s">
        <v>1257</v>
      </c>
    </row>
    <row r="14" spans="1:5" x14ac:dyDescent="0.55000000000000004">
      <c r="A14" s="59" t="s">
        <v>24</v>
      </c>
      <c r="B14" s="59"/>
      <c r="C14" s="5"/>
    </row>
    <row r="15" spans="1:5" x14ac:dyDescent="0.55000000000000004">
      <c r="A15" s="58"/>
      <c r="B15" s="58"/>
      <c r="C15" s="5" t="s">
        <v>25</v>
      </c>
      <c r="D15" s="2" t="s">
        <v>87</v>
      </c>
    </row>
    <row r="16" spans="1:5" x14ac:dyDescent="0.55000000000000004">
      <c r="A16" s="58"/>
      <c r="B16" s="58"/>
      <c r="C16" s="5" t="s">
        <v>27</v>
      </c>
      <c r="D16" s="2" t="s">
        <v>88</v>
      </c>
    </row>
    <row r="17" spans="1:4" x14ac:dyDescent="0.55000000000000004">
      <c r="A17" s="59" t="s">
        <v>29</v>
      </c>
      <c r="B17" s="59"/>
      <c r="C17" s="5"/>
    </row>
    <row r="18" spans="1:4" x14ac:dyDescent="0.55000000000000004">
      <c r="A18" s="58"/>
      <c r="B18" s="58"/>
      <c r="C18" s="5" t="s">
        <v>30</v>
      </c>
      <c r="D18" s="2" t="s">
        <v>1258</v>
      </c>
    </row>
    <row r="19" spans="1:4" x14ac:dyDescent="0.55000000000000004">
      <c r="A19" s="58"/>
      <c r="B19" s="58"/>
      <c r="C19" s="5" t="s">
        <v>32</v>
      </c>
      <c r="D19" s="2" t="s">
        <v>20</v>
      </c>
    </row>
    <row r="20" spans="1:4" x14ac:dyDescent="0.55000000000000004">
      <c r="A20" s="59" t="s">
        <v>34</v>
      </c>
      <c r="B20" s="59"/>
      <c r="C20" s="5"/>
      <c r="D20" s="2" t="s">
        <v>35</v>
      </c>
    </row>
    <row r="21" spans="1:4" x14ac:dyDescent="0.55000000000000004">
      <c r="A21" s="58"/>
      <c r="B21" s="58"/>
      <c r="C21" s="5" t="s">
        <v>36</v>
      </c>
      <c r="D21" s="2">
        <v>657</v>
      </c>
    </row>
    <row r="22" spans="1:4" x14ac:dyDescent="0.55000000000000004">
      <c r="A22" s="58"/>
      <c r="B22" s="58"/>
      <c r="C22" s="5" t="s">
        <v>37</v>
      </c>
      <c r="D22" s="2">
        <v>657</v>
      </c>
    </row>
    <row r="23" spans="1:4" x14ac:dyDescent="0.55000000000000004">
      <c r="A23" s="58"/>
      <c r="B23" s="58"/>
      <c r="C23" s="5" t="s">
        <v>38</v>
      </c>
      <c r="D23" s="2">
        <v>643</v>
      </c>
    </row>
    <row r="24" spans="1:4" x14ac:dyDescent="0.55000000000000004">
      <c r="A24" s="58"/>
      <c r="B24" s="58"/>
      <c r="C24" s="5" t="s">
        <v>39</v>
      </c>
      <c r="D24" s="2">
        <v>23</v>
      </c>
    </row>
    <row r="25" spans="1:4" x14ac:dyDescent="0.55000000000000004">
      <c r="A25" s="58"/>
      <c r="B25" s="58"/>
      <c r="C25" s="5" t="s">
        <v>40</v>
      </c>
      <c r="D25" s="7">
        <v>0.44400000000000001</v>
      </c>
    </row>
    <row r="26" spans="1:4" x14ac:dyDescent="0.55000000000000004">
      <c r="A26" s="58"/>
      <c r="B26" s="58"/>
      <c r="C26" s="5" t="s">
        <v>41</v>
      </c>
      <c r="D26" s="7">
        <v>67.7</v>
      </c>
    </row>
    <row r="27" spans="1:4" x14ac:dyDescent="0.55000000000000004">
      <c r="A27" s="58"/>
      <c r="B27" s="58"/>
      <c r="C27" s="5" t="s">
        <v>42</v>
      </c>
      <c r="D27" s="7">
        <v>9.1999999999999993</v>
      </c>
    </row>
    <row r="28" spans="1:4" x14ac:dyDescent="0.55000000000000004">
      <c r="A28" s="58"/>
      <c r="B28" s="58"/>
      <c r="C28" s="5" t="s">
        <v>43</v>
      </c>
      <c r="D28" s="2" t="s">
        <v>20</v>
      </c>
    </row>
    <row r="29" spans="1:4" x14ac:dyDescent="0.55000000000000004">
      <c r="A29" s="58"/>
      <c r="B29" s="58"/>
      <c r="C29" s="5" t="s">
        <v>44</v>
      </c>
      <c r="D29" s="2">
        <v>3</v>
      </c>
    </row>
    <row r="30" spans="1:4" x14ac:dyDescent="0.55000000000000004">
      <c r="A30" s="58"/>
      <c r="B30" s="58"/>
      <c r="C30" s="5" t="s">
        <v>45</v>
      </c>
      <c r="D30" s="2" t="s">
        <v>20</v>
      </c>
    </row>
    <row r="31" spans="1:4" x14ac:dyDescent="0.55000000000000004">
      <c r="A31" s="58"/>
      <c r="B31" s="58"/>
      <c r="C31" s="5" t="s">
        <v>46</v>
      </c>
      <c r="D31" s="2" t="s">
        <v>20</v>
      </c>
    </row>
    <row r="32" spans="1:4" x14ac:dyDescent="0.55000000000000004">
      <c r="A32" s="59" t="s">
        <v>47</v>
      </c>
      <c r="B32" s="59"/>
      <c r="C32" s="5"/>
    </row>
    <row r="33" spans="1:10" ht="51.9" x14ac:dyDescent="0.55000000000000004">
      <c r="A33" s="58"/>
      <c r="B33" s="58"/>
      <c r="C33" s="5" t="s">
        <v>48</v>
      </c>
      <c r="D33" s="2" t="s">
        <v>1259</v>
      </c>
    </row>
    <row r="34" spans="1:10" x14ac:dyDescent="0.55000000000000004">
      <c r="A34" s="59" t="s">
        <v>50</v>
      </c>
      <c r="B34" s="59"/>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9"/>
      <c r="B36" s="5" t="s">
        <v>59</v>
      </c>
      <c r="C36" s="5"/>
    </row>
    <row r="37" spans="1:10" x14ac:dyDescent="0.55000000000000004">
      <c r="A37" s="59"/>
      <c r="B37" s="5"/>
    </row>
    <row r="38" spans="1:10" x14ac:dyDescent="0.55000000000000004">
      <c r="A38" s="59"/>
      <c r="B38" s="5"/>
    </row>
    <row r="39" spans="1:10" x14ac:dyDescent="0.55000000000000004">
      <c r="A39" s="59"/>
      <c r="B39" s="5"/>
      <c r="C39" s="5"/>
    </row>
    <row r="40" spans="1:10" x14ac:dyDescent="0.55000000000000004">
      <c r="A40" s="59"/>
      <c r="B40" s="5"/>
      <c r="C40" s="5"/>
    </row>
    <row r="41" spans="1:10" x14ac:dyDescent="0.55000000000000004">
      <c r="A41" s="59"/>
      <c r="B41" s="5"/>
      <c r="C41" s="5"/>
    </row>
    <row r="42" spans="1:10" x14ac:dyDescent="0.55000000000000004">
      <c r="A42" s="59"/>
      <c r="B42" s="5"/>
      <c r="C42" s="5"/>
    </row>
    <row r="43" spans="1:10" x14ac:dyDescent="0.55000000000000004">
      <c r="A43" s="59"/>
      <c r="B43" s="5"/>
      <c r="C43" s="5"/>
    </row>
    <row r="44" spans="1:10" x14ac:dyDescent="0.55000000000000004">
      <c r="A44" s="59"/>
      <c r="B44" s="5"/>
      <c r="C44" s="5"/>
    </row>
    <row r="45" spans="1:10" x14ac:dyDescent="0.55000000000000004">
      <c r="A45" s="59"/>
      <c r="B45" s="5" t="s">
        <v>61</v>
      </c>
      <c r="C45" s="5"/>
    </row>
    <row r="46" spans="1:10" x14ac:dyDescent="0.55000000000000004">
      <c r="A46" s="59"/>
      <c r="B46" s="5"/>
      <c r="C46" s="5" t="s">
        <v>1260</v>
      </c>
      <c r="D46" s="2">
        <v>14.46</v>
      </c>
      <c r="E46" s="1">
        <v>4.24</v>
      </c>
    </row>
    <row r="47" spans="1:10" x14ac:dyDescent="0.55000000000000004">
      <c r="A47" s="59"/>
      <c r="B47" s="5"/>
      <c r="C47" s="5" t="s">
        <v>1261</v>
      </c>
      <c r="D47" s="2">
        <v>11.58</v>
      </c>
      <c r="E47" s="1">
        <v>3.7</v>
      </c>
    </row>
    <row r="48" spans="1:10" x14ac:dyDescent="0.55000000000000004">
      <c r="A48" s="59"/>
      <c r="B48" s="5"/>
      <c r="C48" s="5" t="s">
        <v>79</v>
      </c>
      <c r="D48" s="2">
        <v>1</v>
      </c>
    </row>
    <row r="49" spans="1:3" x14ac:dyDescent="0.55000000000000004">
      <c r="A49" s="59"/>
      <c r="B49" s="5"/>
    </row>
    <row r="50" spans="1:3" x14ac:dyDescent="0.55000000000000004">
      <c r="A50" s="59"/>
      <c r="B50" s="5"/>
    </row>
    <row r="51" spans="1:3" x14ac:dyDescent="0.55000000000000004">
      <c r="A51" s="59"/>
      <c r="B51" s="5"/>
      <c r="C51" s="5"/>
    </row>
    <row r="52" spans="1:3" x14ac:dyDescent="0.55000000000000004">
      <c r="A52" s="59"/>
      <c r="B52" s="5"/>
      <c r="C52" s="5"/>
    </row>
    <row r="53" spans="1:3" x14ac:dyDescent="0.55000000000000004">
      <c r="A53" s="59"/>
      <c r="B53" s="5"/>
      <c r="C53" s="5"/>
    </row>
    <row r="54" spans="1:3" x14ac:dyDescent="0.55000000000000004">
      <c r="A54" s="59"/>
      <c r="B54" s="5"/>
      <c r="C54" s="5"/>
    </row>
    <row r="55" spans="1:3" x14ac:dyDescent="0.55000000000000004">
      <c r="A55" s="59"/>
      <c r="B55" s="5"/>
      <c r="C55" s="5"/>
    </row>
    <row r="56" spans="1:3" x14ac:dyDescent="0.55000000000000004">
      <c r="A56" s="59"/>
      <c r="B56" s="5"/>
      <c r="C56" s="5"/>
    </row>
    <row r="57" spans="1:3" x14ac:dyDescent="0.55000000000000004">
      <c r="A57" s="59"/>
      <c r="B57" s="5"/>
      <c r="C57" s="5"/>
    </row>
    <row r="58" spans="1:3" x14ac:dyDescent="0.55000000000000004">
      <c r="A58" s="59"/>
      <c r="B58" s="5"/>
      <c r="C58" s="5"/>
    </row>
    <row r="59" spans="1:3" x14ac:dyDescent="0.55000000000000004">
      <c r="A59" s="59"/>
      <c r="B59" s="5"/>
    </row>
    <row r="60" spans="1:3" x14ac:dyDescent="0.55000000000000004">
      <c r="A60" s="59"/>
      <c r="B60" s="5"/>
    </row>
    <row r="61" spans="1:3" x14ac:dyDescent="0.55000000000000004">
      <c r="A61" s="59"/>
      <c r="B61" s="5"/>
    </row>
    <row r="62" spans="1:3" x14ac:dyDescent="0.55000000000000004">
      <c r="A62" s="59"/>
      <c r="B62" s="5"/>
      <c r="C62" s="5"/>
    </row>
    <row r="63" spans="1:3" x14ac:dyDescent="0.55000000000000004">
      <c r="A63" s="59"/>
      <c r="B63" s="5"/>
      <c r="C63" s="5"/>
    </row>
    <row r="64" spans="1:3" x14ac:dyDescent="0.55000000000000004">
      <c r="A64" s="59"/>
      <c r="B64" s="5"/>
      <c r="C64" s="5"/>
    </row>
    <row r="65" spans="1:5" x14ac:dyDescent="0.55000000000000004">
      <c r="A65" s="59"/>
      <c r="B65" s="5" t="s">
        <v>62</v>
      </c>
      <c r="C65" s="5"/>
      <c r="D65" s="2">
        <v>63</v>
      </c>
      <c r="E65" s="1">
        <v>35</v>
      </c>
    </row>
    <row r="66" spans="1:5" x14ac:dyDescent="0.55000000000000004">
      <c r="A66" s="59"/>
      <c r="B66" s="5" t="s">
        <v>63</v>
      </c>
      <c r="C66" s="5"/>
      <c r="D66" s="2" t="s">
        <v>64</v>
      </c>
    </row>
    <row r="67" spans="1:5" x14ac:dyDescent="0.55000000000000004">
      <c r="A67" s="59" t="s">
        <v>65</v>
      </c>
      <c r="B67" s="59"/>
      <c r="C67" s="5"/>
      <c r="D67" s="2" t="s">
        <v>1262</v>
      </c>
    </row>
    <row r="68" spans="1:5" x14ac:dyDescent="0.55000000000000004">
      <c r="A68" s="3" t="s">
        <v>67</v>
      </c>
    </row>
    <row r="69" spans="1:5" x14ac:dyDescent="0.55000000000000004">
      <c r="A69" s="1" t="s">
        <v>68</v>
      </c>
      <c r="C69" s="1">
        <v>17</v>
      </c>
      <c r="D69" s="2">
        <v>22</v>
      </c>
    </row>
    <row r="70" spans="1:5" x14ac:dyDescent="0.55000000000000004">
      <c r="B70" s="1" t="s">
        <v>94</v>
      </c>
    </row>
    <row r="71" spans="1:5" x14ac:dyDescent="0.55000000000000004">
      <c r="C71" s="5" t="s">
        <v>1263</v>
      </c>
      <c r="D71" s="2">
        <v>7.12</v>
      </c>
      <c r="E71" s="1">
        <v>2.2599999999999998</v>
      </c>
    </row>
    <row r="72" spans="1:5" x14ac:dyDescent="0.55000000000000004">
      <c r="C72" s="5" t="s">
        <v>1264</v>
      </c>
      <c r="D72" s="2">
        <v>5.69</v>
      </c>
      <c r="E72" s="1">
        <v>1.94</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AMJ69"/>
  <sheetViews>
    <sheetView topLeftCell="C13" zoomScale="90" zoomScaleNormal="90" workbookViewId="0">
      <selection activeCell="D32" sqref="D32"/>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35.83984375" style="1" customWidth="1"/>
    <col min="6" max="1024" width="11.41796875" style="1"/>
  </cols>
  <sheetData>
    <row r="1" spans="1:4" x14ac:dyDescent="0.55000000000000004">
      <c r="A1" s="3" t="s">
        <v>0</v>
      </c>
      <c r="D1" s="45" t="s">
        <v>426</v>
      </c>
    </row>
    <row r="2" spans="1:4" x14ac:dyDescent="0.55000000000000004">
      <c r="A2" s="58" t="s">
        <v>2</v>
      </c>
      <c r="B2" s="58"/>
      <c r="D2" s="2" t="s">
        <v>1265</v>
      </c>
    </row>
    <row r="3" spans="1:4" x14ac:dyDescent="0.55000000000000004">
      <c r="A3" s="58"/>
      <c r="B3" s="58"/>
      <c r="C3" s="5" t="s">
        <v>4</v>
      </c>
      <c r="D3" s="2" t="s">
        <v>1266</v>
      </c>
    </row>
    <row r="4" spans="1:4" x14ac:dyDescent="0.55000000000000004">
      <c r="A4" s="58"/>
      <c r="B4" s="58"/>
      <c r="C4" s="5" t="s">
        <v>6</v>
      </c>
      <c r="D4" s="2">
        <v>2005</v>
      </c>
    </row>
    <row r="5" spans="1:4" ht="26.1" x14ac:dyDescent="0.55000000000000004">
      <c r="A5" s="58"/>
      <c r="B5" s="58"/>
      <c r="C5" s="5" t="s">
        <v>7</v>
      </c>
      <c r="D5" s="2" t="s">
        <v>1267</v>
      </c>
    </row>
    <row r="6" spans="1:4" x14ac:dyDescent="0.55000000000000004">
      <c r="A6" s="58"/>
      <c r="B6" s="58"/>
      <c r="C6" s="5" t="s">
        <v>9</v>
      </c>
      <c r="D6" s="2" t="s">
        <v>1244</v>
      </c>
    </row>
    <row r="7" spans="1:4" x14ac:dyDescent="0.55000000000000004">
      <c r="A7" s="58"/>
      <c r="B7" s="58"/>
      <c r="C7" s="5" t="s">
        <v>11</v>
      </c>
      <c r="D7" s="2" t="s">
        <v>431</v>
      </c>
    </row>
    <row r="8" spans="1:4" x14ac:dyDescent="0.55000000000000004">
      <c r="A8" s="59" t="s">
        <v>13</v>
      </c>
      <c r="B8" s="59"/>
      <c r="C8" s="5"/>
    </row>
    <row r="9" spans="1:4" x14ac:dyDescent="0.55000000000000004">
      <c r="A9" s="58"/>
      <c r="B9" s="58"/>
      <c r="C9" s="5" t="s">
        <v>14</v>
      </c>
      <c r="D9" s="2" t="s">
        <v>1268</v>
      </c>
    </row>
    <row r="10" spans="1:4" x14ac:dyDescent="0.55000000000000004">
      <c r="A10" s="58"/>
      <c r="B10" s="58"/>
      <c r="C10" s="5" t="s">
        <v>16</v>
      </c>
      <c r="D10" s="45" t="s">
        <v>17</v>
      </c>
    </row>
    <row r="11" spans="1:4" x14ac:dyDescent="0.55000000000000004">
      <c r="A11" s="58"/>
      <c r="B11" s="58"/>
      <c r="C11" s="5" t="s">
        <v>19</v>
      </c>
      <c r="D11" s="21">
        <v>37316</v>
      </c>
    </row>
    <row r="12" spans="1:4" x14ac:dyDescent="0.55000000000000004">
      <c r="A12" s="58"/>
      <c r="B12" s="58"/>
      <c r="C12" s="5" t="s">
        <v>21</v>
      </c>
      <c r="D12" s="21">
        <v>37500</v>
      </c>
    </row>
    <row r="13" spans="1:4" x14ac:dyDescent="0.55000000000000004">
      <c r="A13" s="58"/>
      <c r="B13" s="58"/>
      <c r="C13" s="5" t="s">
        <v>22</v>
      </c>
      <c r="D13" s="2" t="s">
        <v>1269</v>
      </c>
    </row>
    <row r="14" spans="1:4" x14ac:dyDescent="0.55000000000000004">
      <c r="A14" s="59" t="s">
        <v>24</v>
      </c>
      <c r="B14" s="59"/>
      <c r="C14" s="5"/>
    </row>
    <row r="15" spans="1:4" x14ac:dyDescent="0.55000000000000004">
      <c r="A15" s="58"/>
      <c r="B15" s="58"/>
      <c r="C15" s="5" t="s">
        <v>25</v>
      </c>
      <c r="D15" s="2" t="s">
        <v>87</v>
      </c>
    </row>
    <row r="16" spans="1:4" x14ac:dyDescent="0.55000000000000004">
      <c r="A16" s="58"/>
      <c r="B16" s="58"/>
      <c r="C16" s="5" t="s">
        <v>27</v>
      </c>
      <c r="D16" s="2" t="s">
        <v>88</v>
      </c>
    </row>
    <row r="17" spans="1:4" x14ac:dyDescent="0.55000000000000004">
      <c r="A17" s="59" t="s">
        <v>29</v>
      </c>
      <c r="B17" s="59"/>
      <c r="C17" s="5"/>
    </row>
    <row r="18" spans="1:4" x14ac:dyDescent="0.55000000000000004">
      <c r="A18" s="58"/>
      <c r="B18" s="58"/>
      <c r="C18" s="5" t="s">
        <v>30</v>
      </c>
      <c r="D18" s="2" t="s">
        <v>1270</v>
      </c>
    </row>
    <row r="19" spans="1:4" x14ac:dyDescent="0.55000000000000004">
      <c r="A19" s="58"/>
      <c r="B19" s="58"/>
      <c r="C19" s="5" t="s">
        <v>32</v>
      </c>
      <c r="D19" s="2" t="s">
        <v>1271</v>
      </c>
    </row>
    <row r="20" spans="1:4" x14ac:dyDescent="0.55000000000000004">
      <c r="A20" s="59" t="s">
        <v>34</v>
      </c>
      <c r="B20" s="59"/>
      <c r="C20" s="5"/>
      <c r="D20" s="2" t="s">
        <v>35</v>
      </c>
    </row>
    <row r="21" spans="1:4" x14ac:dyDescent="0.55000000000000004">
      <c r="A21" s="58"/>
      <c r="B21" s="58"/>
      <c r="C21" s="5" t="s">
        <v>36</v>
      </c>
      <c r="D21" s="2" t="s">
        <v>20</v>
      </c>
    </row>
    <row r="22" spans="1:4" x14ac:dyDescent="0.55000000000000004">
      <c r="A22" s="58"/>
      <c r="B22" s="58"/>
      <c r="C22" s="5" t="s">
        <v>37</v>
      </c>
      <c r="D22" s="2">
        <v>453</v>
      </c>
    </row>
    <row r="23" spans="1:4" x14ac:dyDescent="0.55000000000000004">
      <c r="A23" s="58"/>
      <c r="B23" s="58"/>
      <c r="C23" s="5" t="s">
        <v>38</v>
      </c>
      <c r="D23" s="2">
        <v>453</v>
      </c>
    </row>
    <row r="24" spans="1:4" x14ac:dyDescent="0.55000000000000004">
      <c r="A24" s="58"/>
      <c r="B24" s="58"/>
      <c r="C24" s="5" t="s">
        <v>39</v>
      </c>
      <c r="D24" s="2" t="s">
        <v>20</v>
      </c>
    </row>
    <row r="25" spans="1:4" x14ac:dyDescent="0.55000000000000004">
      <c r="A25" s="58"/>
      <c r="B25" s="58"/>
      <c r="C25" s="5" t="s">
        <v>40</v>
      </c>
      <c r="D25" s="7">
        <f>0.384</f>
        <v>0.38400000000000001</v>
      </c>
    </row>
    <row r="26" spans="1:4" x14ac:dyDescent="0.55000000000000004">
      <c r="A26" s="58"/>
      <c r="B26" s="58"/>
      <c r="C26" s="5" t="s">
        <v>41</v>
      </c>
      <c r="D26" s="2">
        <v>67</v>
      </c>
    </row>
    <row r="27" spans="1:4" x14ac:dyDescent="0.55000000000000004">
      <c r="A27" s="58"/>
      <c r="B27" s="58"/>
      <c r="C27" s="5" t="s">
        <v>42</v>
      </c>
      <c r="D27" s="2" t="s">
        <v>20</v>
      </c>
    </row>
    <row r="28" spans="1:4" x14ac:dyDescent="0.55000000000000004">
      <c r="A28" s="58"/>
      <c r="B28" s="58"/>
      <c r="C28" s="5" t="s">
        <v>43</v>
      </c>
      <c r="D28" s="2">
        <v>67</v>
      </c>
    </row>
    <row r="29" spans="1:4" x14ac:dyDescent="0.55000000000000004">
      <c r="A29" s="58"/>
      <c r="B29" s="58"/>
      <c r="C29" s="5" t="s">
        <v>44</v>
      </c>
    </row>
    <row r="30" spans="1:4" x14ac:dyDescent="0.55000000000000004">
      <c r="A30" s="58"/>
      <c r="B30" s="58"/>
      <c r="C30" s="5" t="s">
        <v>45</v>
      </c>
      <c r="D30" s="2" t="s">
        <v>20</v>
      </c>
    </row>
    <row r="31" spans="1:4" x14ac:dyDescent="0.55000000000000004">
      <c r="A31" s="58"/>
      <c r="B31" s="58"/>
      <c r="C31" s="5" t="s">
        <v>46</v>
      </c>
      <c r="D31" s="2" t="s">
        <v>20</v>
      </c>
    </row>
    <row r="32" spans="1:4" x14ac:dyDescent="0.55000000000000004">
      <c r="A32" s="59" t="s">
        <v>47</v>
      </c>
      <c r="B32" s="59"/>
      <c r="C32" s="5"/>
    </row>
    <row r="33" spans="1:10" ht="26.1" x14ac:dyDescent="0.55000000000000004">
      <c r="A33" s="58"/>
      <c r="B33" s="58"/>
      <c r="C33" s="5" t="s">
        <v>48</v>
      </c>
      <c r="D33" s="2" t="s">
        <v>1272</v>
      </c>
    </row>
    <row r="34" spans="1:10" x14ac:dyDescent="0.55000000000000004">
      <c r="A34" s="59" t="s">
        <v>50</v>
      </c>
      <c r="B34" s="59"/>
      <c r="C34" s="5"/>
    </row>
    <row r="35" spans="1:10" x14ac:dyDescent="0.55000000000000004">
      <c r="A35" s="8"/>
      <c r="B35" s="8"/>
      <c r="C35" s="5"/>
    </row>
    <row r="36" spans="1:10" x14ac:dyDescent="0.55000000000000004">
      <c r="A36" s="59"/>
      <c r="B36" s="5" t="s">
        <v>59</v>
      </c>
      <c r="C36" s="5"/>
      <c r="D36" s="2" t="s">
        <v>51</v>
      </c>
      <c r="E36" s="1" t="s">
        <v>52</v>
      </c>
      <c r="F36" s="1" t="s">
        <v>53</v>
      </c>
      <c r="G36" s="1" t="s">
        <v>54</v>
      </c>
      <c r="H36" s="1" t="s">
        <v>55</v>
      </c>
      <c r="I36" s="1" t="s">
        <v>56</v>
      </c>
      <c r="J36" s="1" t="s">
        <v>57</v>
      </c>
    </row>
    <row r="37" spans="1:10" x14ac:dyDescent="0.55000000000000004">
      <c r="A37" s="59"/>
      <c r="B37" s="5"/>
      <c r="C37" s="5" t="s">
        <v>1273</v>
      </c>
      <c r="D37" s="7">
        <v>4.9038461538461497</v>
      </c>
      <c r="I37" s="1">
        <v>1E-3</v>
      </c>
    </row>
    <row r="38" spans="1:10" x14ac:dyDescent="0.55000000000000004">
      <c r="A38" s="59"/>
      <c r="B38" s="5"/>
      <c r="C38" s="5" t="s">
        <v>1274</v>
      </c>
      <c r="D38" s="7">
        <v>3.2115384615384599</v>
      </c>
    </row>
    <row r="39" spans="1:10" x14ac:dyDescent="0.55000000000000004">
      <c r="A39" s="59"/>
      <c r="B39" s="5"/>
      <c r="C39" s="5"/>
    </row>
    <row r="40" spans="1:10" x14ac:dyDescent="0.55000000000000004">
      <c r="A40" s="59"/>
      <c r="B40" s="5"/>
      <c r="C40" s="5"/>
    </row>
    <row r="41" spans="1:10" x14ac:dyDescent="0.55000000000000004">
      <c r="A41" s="59"/>
      <c r="B41" s="5"/>
    </row>
    <row r="42" spans="1:10" x14ac:dyDescent="0.55000000000000004">
      <c r="A42" s="59"/>
      <c r="B42" s="5"/>
      <c r="C42" s="8"/>
    </row>
    <row r="43" spans="1:10" x14ac:dyDescent="0.55000000000000004">
      <c r="A43" s="59"/>
      <c r="B43" s="5"/>
      <c r="C43" s="5"/>
      <c r="E43" s="39"/>
    </row>
    <row r="44" spans="1:10" x14ac:dyDescent="0.55000000000000004">
      <c r="A44" s="59"/>
      <c r="B44" s="5"/>
    </row>
    <row r="45" spans="1:10" x14ac:dyDescent="0.55000000000000004">
      <c r="A45" s="59"/>
      <c r="B45" s="5" t="s">
        <v>61</v>
      </c>
      <c r="C45" s="5"/>
    </row>
    <row r="46" spans="1:10" x14ac:dyDescent="0.55000000000000004">
      <c r="A46" s="59"/>
      <c r="B46" s="5"/>
      <c r="C46" s="5" t="s">
        <v>79</v>
      </c>
      <c r="D46" s="2">
        <v>1</v>
      </c>
    </row>
    <row r="47" spans="1:10" x14ac:dyDescent="0.55000000000000004">
      <c r="A47" s="59"/>
      <c r="B47" s="5"/>
      <c r="C47" s="5"/>
    </row>
    <row r="48" spans="1:10" x14ac:dyDescent="0.55000000000000004">
      <c r="A48" s="59"/>
      <c r="B48" s="5"/>
      <c r="C48" s="5"/>
    </row>
    <row r="49" spans="1:3" x14ac:dyDescent="0.55000000000000004">
      <c r="A49" s="59"/>
      <c r="B49" s="5"/>
      <c r="C49" s="5"/>
    </row>
    <row r="50" spans="1:3" x14ac:dyDescent="0.55000000000000004">
      <c r="A50" s="59"/>
      <c r="B50" s="5"/>
      <c r="C50" s="5"/>
    </row>
    <row r="51" spans="1:3" x14ac:dyDescent="0.55000000000000004">
      <c r="A51" s="59"/>
      <c r="B51" s="5"/>
      <c r="C51" s="5"/>
    </row>
    <row r="52" spans="1:3" x14ac:dyDescent="0.55000000000000004">
      <c r="A52" s="59"/>
      <c r="B52" s="5"/>
      <c r="C52" s="5"/>
    </row>
    <row r="53" spans="1:3" x14ac:dyDescent="0.55000000000000004">
      <c r="A53" s="59"/>
      <c r="B53" s="5"/>
      <c r="C53" s="5"/>
    </row>
    <row r="54" spans="1:3" x14ac:dyDescent="0.55000000000000004">
      <c r="A54" s="59"/>
      <c r="B54" s="5"/>
      <c r="C54" s="5"/>
    </row>
    <row r="55" spans="1:3" x14ac:dyDescent="0.55000000000000004">
      <c r="A55" s="59"/>
      <c r="B55" s="5"/>
      <c r="C55" s="5"/>
    </row>
    <row r="56" spans="1:3" x14ac:dyDescent="0.55000000000000004">
      <c r="A56" s="59"/>
      <c r="B56" s="5"/>
      <c r="C56" s="5"/>
    </row>
    <row r="57" spans="1:3" x14ac:dyDescent="0.55000000000000004">
      <c r="A57" s="59"/>
      <c r="B57" s="5"/>
      <c r="C57" s="5"/>
    </row>
    <row r="58" spans="1:3" x14ac:dyDescent="0.55000000000000004">
      <c r="A58" s="59"/>
      <c r="B58" s="5"/>
      <c r="C58" s="5"/>
    </row>
    <row r="59" spans="1:3" x14ac:dyDescent="0.55000000000000004">
      <c r="A59" s="59"/>
      <c r="B59" s="5"/>
      <c r="C59" s="5"/>
    </row>
    <row r="60" spans="1:3" x14ac:dyDescent="0.55000000000000004">
      <c r="A60" s="59"/>
      <c r="B60" s="5"/>
      <c r="C60" s="5"/>
    </row>
    <row r="61" spans="1:3" x14ac:dyDescent="0.55000000000000004">
      <c r="A61" s="59"/>
      <c r="B61" s="5"/>
      <c r="C61" s="5"/>
    </row>
    <row r="62" spans="1:3" x14ac:dyDescent="0.55000000000000004">
      <c r="A62" s="59"/>
      <c r="B62" s="5"/>
      <c r="C62" s="5"/>
    </row>
    <row r="63" spans="1:3" x14ac:dyDescent="0.55000000000000004">
      <c r="A63" s="59"/>
      <c r="B63" s="5"/>
      <c r="C63" s="5"/>
    </row>
    <row r="64" spans="1:3" x14ac:dyDescent="0.55000000000000004">
      <c r="A64" s="59"/>
      <c r="B64" s="5"/>
      <c r="C64" s="5"/>
    </row>
    <row r="65" spans="1:4" x14ac:dyDescent="0.55000000000000004">
      <c r="A65" s="59"/>
      <c r="B65" s="5" t="s">
        <v>62</v>
      </c>
      <c r="C65" s="5"/>
      <c r="D65" s="2">
        <f>13*7</f>
        <v>91</v>
      </c>
    </row>
    <row r="66" spans="1:4" x14ac:dyDescent="0.55000000000000004">
      <c r="A66" s="59"/>
      <c r="B66" s="5" t="s">
        <v>63</v>
      </c>
      <c r="C66" s="5"/>
      <c r="D66" s="2" t="s">
        <v>20</v>
      </c>
    </row>
    <row r="67" spans="1:4" x14ac:dyDescent="0.55000000000000004">
      <c r="A67" s="59" t="s">
        <v>65</v>
      </c>
      <c r="B67" s="59"/>
      <c r="C67" s="5"/>
    </row>
    <row r="68" spans="1:4" x14ac:dyDescent="0.55000000000000004">
      <c r="A68" s="3" t="s">
        <v>67</v>
      </c>
    </row>
    <row r="69" spans="1:4" x14ac:dyDescent="0.55000000000000004">
      <c r="A69" s="1" t="s">
        <v>68</v>
      </c>
      <c r="C69" s="1">
        <v>9</v>
      </c>
      <c r="D69" s="2">
        <v>22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AMJ69"/>
  <sheetViews>
    <sheetView topLeftCell="C34" zoomScale="90" zoomScaleNormal="90" workbookViewId="0">
      <selection activeCell="D34" sqref="D34"/>
    </sheetView>
  </sheetViews>
  <sheetFormatPr baseColWidth="10" defaultColWidth="11.41796875" defaultRowHeight="14.4" x14ac:dyDescent="0.55000000000000004"/>
  <cols>
    <col min="1" max="1" width="10.83984375" style="1" customWidth="1"/>
    <col min="2" max="2" width="18.83984375" style="1" customWidth="1"/>
    <col min="3" max="3" width="55.15625" style="1" customWidth="1"/>
    <col min="4" max="4" width="56.15625" style="2" customWidth="1"/>
    <col min="5" max="5" width="11.15625" style="1" customWidth="1"/>
    <col min="6" max="1024" width="11.41796875" style="1"/>
  </cols>
  <sheetData>
    <row r="1" spans="1:4" x14ac:dyDescent="0.55000000000000004">
      <c r="A1" s="3" t="s">
        <v>0</v>
      </c>
      <c r="D1" s="2" t="s">
        <v>323</v>
      </c>
    </row>
    <row r="2" spans="1:4" x14ac:dyDescent="0.55000000000000004">
      <c r="A2" s="58" t="s">
        <v>2</v>
      </c>
      <c r="B2" s="58"/>
      <c r="D2" s="1" t="s">
        <v>1275</v>
      </c>
    </row>
    <row r="3" spans="1:4" x14ac:dyDescent="0.55000000000000004">
      <c r="A3" s="58"/>
      <c r="B3" s="58"/>
      <c r="C3" s="5" t="s">
        <v>4</v>
      </c>
      <c r="D3" s="2" t="s">
        <v>1276</v>
      </c>
    </row>
    <row r="4" spans="1:4" x14ac:dyDescent="0.55000000000000004">
      <c r="A4" s="58"/>
      <c r="B4" s="58"/>
      <c r="C4" s="5" t="s">
        <v>6</v>
      </c>
      <c r="D4" s="2">
        <v>2010</v>
      </c>
    </row>
    <row r="5" spans="1:4" ht="26.1" x14ac:dyDescent="0.55000000000000004">
      <c r="A5" s="58"/>
      <c r="B5" s="58"/>
      <c r="C5" s="5" t="s">
        <v>7</v>
      </c>
      <c r="D5" s="2" t="s">
        <v>1277</v>
      </c>
    </row>
    <row r="6" spans="1:4" x14ac:dyDescent="0.55000000000000004">
      <c r="A6" s="58"/>
      <c r="B6" s="58"/>
      <c r="C6" s="5" t="s">
        <v>9</v>
      </c>
      <c r="D6" s="2" t="s">
        <v>1278</v>
      </c>
    </row>
    <row r="7" spans="1:4" x14ac:dyDescent="0.55000000000000004">
      <c r="A7" s="58"/>
      <c r="B7" s="58"/>
      <c r="C7" s="5" t="s">
        <v>11</v>
      </c>
      <c r="D7" s="2" t="s">
        <v>12</v>
      </c>
    </row>
    <row r="8" spans="1:4" x14ac:dyDescent="0.55000000000000004">
      <c r="A8" s="59" t="s">
        <v>13</v>
      </c>
      <c r="B8" s="59"/>
      <c r="C8" s="5"/>
    </row>
    <row r="9" spans="1:4" ht="26.1" x14ac:dyDescent="0.55000000000000004">
      <c r="A9" s="58"/>
      <c r="B9" s="58"/>
      <c r="C9" s="5" t="s">
        <v>14</v>
      </c>
      <c r="D9" s="2" t="s">
        <v>1279</v>
      </c>
    </row>
    <row r="10" spans="1:4" x14ac:dyDescent="0.55000000000000004">
      <c r="A10" s="58"/>
      <c r="B10" s="58"/>
      <c r="C10" s="5" t="s">
        <v>16</v>
      </c>
      <c r="D10" s="2" t="s">
        <v>17</v>
      </c>
    </row>
    <row r="11" spans="1:4" x14ac:dyDescent="0.55000000000000004">
      <c r="A11" s="58"/>
      <c r="B11" s="58"/>
      <c r="C11" s="5" t="s">
        <v>19</v>
      </c>
      <c r="D11" s="21">
        <v>38596</v>
      </c>
    </row>
    <row r="12" spans="1:4" x14ac:dyDescent="0.55000000000000004">
      <c r="A12" s="58"/>
      <c r="B12" s="58"/>
      <c r="C12" s="5" t="s">
        <v>21</v>
      </c>
      <c r="D12" s="21">
        <v>38991</v>
      </c>
    </row>
    <row r="13" spans="1:4" x14ac:dyDescent="0.55000000000000004">
      <c r="A13" s="58"/>
      <c r="B13" s="58"/>
      <c r="C13" s="5" t="s">
        <v>22</v>
      </c>
      <c r="D13" s="2" t="s">
        <v>20</v>
      </c>
    </row>
    <row r="14" spans="1:4" x14ac:dyDescent="0.55000000000000004">
      <c r="A14" s="59" t="s">
        <v>24</v>
      </c>
      <c r="B14" s="59"/>
      <c r="C14" s="5"/>
    </row>
    <row r="15" spans="1:4" x14ac:dyDescent="0.55000000000000004">
      <c r="A15" s="58"/>
      <c r="B15" s="58"/>
      <c r="C15" s="5" t="s">
        <v>25</v>
      </c>
      <c r="D15" s="2" t="s">
        <v>87</v>
      </c>
    </row>
    <row r="16" spans="1:4" x14ac:dyDescent="0.55000000000000004">
      <c r="A16" s="58"/>
      <c r="B16" s="58"/>
      <c r="C16" s="5" t="s">
        <v>27</v>
      </c>
      <c r="D16" s="2" t="s">
        <v>88</v>
      </c>
    </row>
    <row r="17" spans="1:6" x14ac:dyDescent="0.55000000000000004">
      <c r="A17" s="59" t="s">
        <v>29</v>
      </c>
      <c r="B17" s="59"/>
      <c r="C17" s="5"/>
    </row>
    <row r="18" spans="1:6" ht="26.1" x14ac:dyDescent="0.55000000000000004">
      <c r="A18" s="58"/>
      <c r="B18" s="58"/>
      <c r="C18" s="5" t="s">
        <v>30</v>
      </c>
      <c r="D18" s="2" t="s">
        <v>1280</v>
      </c>
    </row>
    <row r="19" spans="1:6" x14ac:dyDescent="0.55000000000000004">
      <c r="A19" s="58"/>
      <c r="B19" s="58"/>
      <c r="C19" s="5" t="s">
        <v>32</v>
      </c>
      <c r="D19" s="2" t="s">
        <v>20</v>
      </c>
    </row>
    <row r="20" spans="1:6" x14ac:dyDescent="0.55000000000000004">
      <c r="A20" s="59" t="s">
        <v>34</v>
      </c>
      <c r="B20" s="59"/>
      <c r="C20" s="5"/>
      <c r="D20" s="2" t="s">
        <v>1281</v>
      </c>
      <c r="E20" s="1" t="s">
        <v>1282</v>
      </c>
      <c r="F20" s="1" t="s">
        <v>35</v>
      </c>
    </row>
    <row r="21" spans="1:6" x14ac:dyDescent="0.55000000000000004">
      <c r="A21" s="58"/>
      <c r="B21" s="58"/>
      <c r="C21" s="5" t="s">
        <v>36</v>
      </c>
      <c r="D21" s="2" t="s">
        <v>20</v>
      </c>
    </row>
    <row r="22" spans="1:6" x14ac:dyDescent="0.55000000000000004">
      <c r="A22" s="58"/>
      <c r="B22" s="58"/>
      <c r="C22" s="5" t="s">
        <v>37</v>
      </c>
      <c r="D22" s="2">
        <v>208</v>
      </c>
      <c r="E22" s="1">
        <v>540</v>
      </c>
      <c r="F22" s="1">
        <f>SUM(D22:E22)</f>
        <v>748</v>
      </c>
    </row>
    <row r="23" spans="1:6" x14ac:dyDescent="0.55000000000000004">
      <c r="A23" s="58"/>
      <c r="B23" s="58"/>
      <c r="C23" s="5" t="s">
        <v>38</v>
      </c>
      <c r="D23" s="2">
        <v>208</v>
      </c>
      <c r="E23" s="1">
        <v>540</v>
      </c>
      <c r="F23" s="1">
        <f>SUM(D23:E23)</f>
        <v>748</v>
      </c>
    </row>
    <row r="24" spans="1:6" x14ac:dyDescent="0.55000000000000004">
      <c r="A24" s="58"/>
      <c r="B24" s="58"/>
      <c r="C24" s="5" t="s">
        <v>39</v>
      </c>
      <c r="D24" s="2" t="s">
        <v>20</v>
      </c>
      <c r="E24" s="1" t="s">
        <v>20</v>
      </c>
      <c r="F24" s="1" t="s">
        <v>20</v>
      </c>
    </row>
    <row r="25" spans="1:6" x14ac:dyDescent="0.55000000000000004">
      <c r="A25" s="58"/>
      <c r="B25" s="58"/>
      <c r="C25" s="5" t="s">
        <v>40</v>
      </c>
      <c r="D25" s="7">
        <f>131/208</f>
        <v>0.62980769230769229</v>
      </c>
      <c r="E25" s="10">
        <f>341/540</f>
        <v>0.63148148148148153</v>
      </c>
      <c r="F25" s="10">
        <f>(131+341)/F22</f>
        <v>0.63101604278074863</v>
      </c>
    </row>
    <row r="26" spans="1:6" x14ac:dyDescent="0.55000000000000004">
      <c r="A26" s="58"/>
      <c r="B26" s="58"/>
      <c r="C26" s="5" t="s">
        <v>41</v>
      </c>
      <c r="D26" s="7">
        <v>65.400000000000006</v>
      </c>
      <c r="E26" s="10">
        <v>68.400000000000006</v>
      </c>
      <c r="F26" s="7">
        <v>67.599999999999994</v>
      </c>
    </row>
    <row r="27" spans="1:6" x14ac:dyDescent="0.55000000000000004">
      <c r="A27" s="58"/>
      <c r="B27" s="58"/>
      <c r="C27" s="5" t="s">
        <v>42</v>
      </c>
      <c r="D27" s="7">
        <v>9.4</v>
      </c>
      <c r="E27" s="10">
        <v>9.3000000000000007</v>
      </c>
      <c r="F27" s="7">
        <v>9.4</v>
      </c>
    </row>
    <row r="28" spans="1:6" x14ac:dyDescent="0.55000000000000004">
      <c r="A28" s="58"/>
      <c r="B28" s="58"/>
      <c r="C28" s="5" t="s">
        <v>43</v>
      </c>
      <c r="D28" s="2" t="s">
        <v>20</v>
      </c>
      <c r="E28" s="1" t="s">
        <v>20</v>
      </c>
      <c r="F28" s="1" t="s">
        <v>20</v>
      </c>
    </row>
    <row r="29" spans="1:6" x14ac:dyDescent="0.55000000000000004">
      <c r="A29" s="58"/>
      <c r="B29" s="58"/>
      <c r="C29" s="5" t="s">
        <v>44</v>
      </c>
      <c r="D29" s="2">
        <v>1</v>
      </c>
      <c r="E29" s="1">
        <v>2</v>
      </c>
      <c r="F29" s="1">
        <v>2</v>
      </c>
    </row>
    <row r="30" spans="1:6" x14ac:dyDescent="0.55000000000000004">
      <c r="A30" s="58"/>
      <c r="B30" s="58"/>
      <c r="C30" s="5" t="s">
        <v>45</v>
      </c>
      <c r="D30" s="2" t="s">
        <v>20</v>
      </c>
      <c r="E30" s="1" t="s">
        <v>20</v>
      </c>
      <c r="F30" s="1" t="s">
        <v>20</v>
      </c>
    </row>
    <row r="31" spans="1:6" x14ac:dyDescent="0.55000000000000004">
      <c r="A31" s="58"/>
      <c r="B31" s="58"/>
      <c r="C31" s="5" t="s">
        <v>46</v>
      </c>
      <c r="D31" s="2" t="s">
        <v>20</v>
      </c>
      <c r="E31" s="1" t="s">
        <v>20</v>
      </c>
      <c r="F31" s="1" t="s">
        <v>20</v>
      </c>
    </row>
    <row r="32" spans="1:6" x14ac:dyDescent="0.55000000000000004">
      <c r="A32" s="59" t="s">
        <v>47</v>
      </c>
      <c r="B32" s="59"/>
      <c r="C32" s="5"/>
    </row>
    <row r="33" spans="1:10" x14ac:dyDescent="0.55000000000000004">
      <c r="A33" s="58"/>
      <c r="B33" s="58"/>
      <c r="C33" s="5" t="s">
        <v>48</v>
      </c>
      <c r="D33" s="2" t="s">
        <v>1283</v>
      </c>
    </row>
    <row r="34" spans="1:10" x14ac:dyDescent="0.55000000000000004">
      <c r="A34" s="59" t="s">
        <v>50</v>
      </c>
      <c r="B34" s="59"/>
      <c r="C34" s="5"/>
    </row>
    <row r="35" spans="1:10" x14ac:dyDescent="0.55000000000000004">
      <c r="A35" s="8"/>
      <c r="B35" s="8"/>
      <c r="C35" s="5"/>
    </row>
    <row r="36" spans="1:10" x14ac:dyDescent="0.55000000000000004">
      <c r="A36" s="59"/>
      <c r="B36" s="5" t="s">
        <v>59</v>
      </c>
      <c r="C36" s="5"/>
      <c r="D36" s="2" t="s">
        <v>51</v>
      </c>
      <c r="E36" s="1" t="s">
        <v>52</v>
      </c>
      <c r="F36" s="1" t="s">
        <v>53</v>
      </c>
      <c r="G36" s="1" t="s">
        <v>54</v>
      </c>
      <c r="H36" s="1" t="s">
        <v>55</v>
      </c>
      <c r="I36" s="1" t="s">
        <v>56</v>
      </c>
      <c r="J36" s="1" t="s">
        <v>57</v>
      </c>
    </row>
    <row r="37" spans="1:10" x14ac:dyDescent="0.55000000000000004">
      <c r="A37" s="59"/>
      <c r="B37" s="5"/>
      <c r="C37" s="5"/>
    </row>
    <row r="38" spans="1:10" x14ac:dyDescent="0.55000000000000004">
      <c r="A38" s="59"/>
      <c r="B38" s="5"/>
      <c r="C38" s="5"/>
    </row>
    <row r="39" spans="1:10" x14ac:dyDescent="0.55000000000000004">
      <c r="A39" s="59"/>
      <c r="B39" s="5"/>
      <c r="C39" s="5"/>
    </row>
    <row r="40" spans="1:10" x14ac:dyDescent="0.55000000000000004">
      <c r="A40" s="59"/>
      <c r="B40" s="5"/>
      <c r="C40" s="5"/>
    </row>
    <row r="41" spans="1:10" x14ac:dyDescent="0.55000000000000004">
      <c r="A41" s="59"/>
      <c r="B41" s="5"/>
      <c r="C41" s="5"/>
    </row>
    <row r="42" spans="1:10" x14ac:dyDescent="0.55000000000000004">
      <c r="A42" s="59"/>
      <c r="B42" s="5"/>
      <c r="C42" s="5"/>
    </row>
    <row r="43" spans="1:10" x14ac:dyDescent="0.55000000000000004">
      <c r="A43" s="59"/>
      <c r="B43" s="5"/>
      <c r="C43" s="5"/>
    </row>
    <row r="44" spans="1:10" x14ac:dyDescent="0.55000000000000004">
      <c r="A44" s="59"/>
      <c r="B44" s="5"/>
      <c r="C44" s="5"/>
    </row>
    <row r="45" spans="1:10" x14ac:dyDescent="0.55000000000000004">
      <c r="A45" s="59"/>
      <c r="C45" s="5"/>
    </row>
    <row r="46" spans="1:10" x14ac:dyDescent="0.55000000000000004">
      <c r="A46" s="59"/>
      <c r="B46" s="5"/>
      <c r="C46" s="5"/>
    </row>
    <row r="47" spans="1:10" x14ac:dyDescent="0.55000000000000004">
      <c r="A47" s="59"/>
      <c r="B47" s="5" t="s">
        <v>61</v>
      </c>
      <c r="C47" s="5"/>
    </row>
    <row r="48" spans="1:10" x14ac:dyDescent="0.55000000000000004">
      <c r="A48" s="59"/>
      <c r="B48" s="5"/>
      <c r="C48" s="5" t="s">
        <v>1284</v>
      </c>
      <c r="D48" s="2">
        <v>0.62</v>
      </c>
    </row>
    <row r="49" spans="1:4" x14ac:dyDescent="0.55000000000000004">
      <c r="A49" s="59"/>
      <c r="B49" s="5"/>
      <c r="C49" s="5" t="s">
        <v>1285</v>
      </c>
      <c r="D49" s="2">
        <v>0.47</v>
      </c>
    </row>
    <row r="50" spans="1:4" x14ac:dyDescent="0.55000000000000004">
      <c r="A50" s="59"/>
      <c r="B50" s="5"/>
      <c r="C50" s="5"/>
    </row>
    <row r="51" spans="1:4" x14ac:dyDescent="0.55000000000000004">
      <c r="A51" s="59"/>
      <c r="B51" s="5"/>
      <c r="C51" s="5"/>
    </row>
    <row r="52" spans="1:4" x14ac:dyDescent="0.55000000000000004">
      <c r="A52" s="59"/>
      <c r="B52" s="5"/>
      <c r="C52" s="5"/>
    </row>
    <row r="53" spans="1:4" x14ac:dyDescent="0.55000000000000004">
      <c r="A53" s="59"/>
      <c r="B53" s="5"/>
      <c r="C53" s="5"/>
    </row>
    <row r="54" spans="1:4" x14ac:dyDescent="0.55000000000000004">
      <c r="A54" s="59"/>
      <c r="B54" s="5"/>
      <c r="C54" s="5"/>
    </row>
    <row r="55" spans="1:4" x14ac:dyDescent="0.55000000000000004">
      <c r="A55" s="59"/>
      <c r="B55" s="5"/>
      <c r="C55" s="5"/>
    </row>
    <row r="56" spans="1:4" x14ac:dyDescent="0.55000000000000004">
      <c r="A56" s="59"/>
      <c r="B56" s="5"/>
      <c r="C56" s="5"/>
    </row>
    <row r="57" spans="1:4" x14ac:dyDescent="0.55000000000000004">
      <c r="A57" s="59"/>
      <c r="B57" s="5"/>
      <c r="C57" s="5"/>
    </row>
    <row r="58" spans="1:4" x14ac:dyDescent="0.55000000000000004">
      <c r="A58" s="59"/>
      <c r="B58" s="5"/>
      <c r="C58" s="5"/>
    </row>
    <row r="59" spans="1:4" x14ac:dyDescent="0.55000000000000004">
      <c r="A59" s="59"/>
      <c r="B59" s="5"/>
      <c r="C59" s="5"/>
    </row>
    <row r="60" spans="1:4" x14ac:dyDescent="0.55000000000000004">
      <c r="A60" s="59"/>
      <c r="B60" s="5"/>
      <c r="C60" s="5"/>
    </row>
    <row r="61" spans="1:4" x14ac:dyDescent="0.55000000000000004">
      <c r="A61" s="59"/>
      <c r="B61" s="5"/>
      <c r="C61" s="5"/>
    </row>
    <row r="62" spans="1:4" x14ac:dyDescent="0.55000000000000004">
      <c r="A62" s="59"/>
      <c r="B62" s="5"/>
      <c r="C62" s="5"/>
    </row>
    <row r="63" spans="1:4" x14ac:dyDescent="0.55000000000000004">
      <c r="A63" s="59"/>
      <c r="B63" s="5"/>
      <c r="C63" s="5"/>
    </row>
    <row r="64" spans="1:4" x14ac:dyDescent="0.55000000000000004">
      <c r="A64" s="59"/>
      <c r="B64" s="5"/>
      <c r="C64" s="5"/>
    </row>
    <row r="65" spans="1:4" x14ac:dyDescent="0.55000000000000004">
      <c r="A65" s="59"/>
      <c r="B65" s="5" t="s">
        <v>62</v>
      </c>
      <c r="C65" s="5"/>
      <c r="D65" s="2">
        <f>4*30</f>
        <v>120</v>
      </c>
    </row>
    <row r="66" spans="1:4" x14ac:dyDescent="0.55000000000000004">
      <c r="A66" s="59"/>
      <c r="B66" s="5" t="s">
        <v>63</v>
      </c>
      <c r="C66" s="5"/>
      <c r="D66" s="2" t="s">
        <v>191</v>
      </c>
    </row>
    <row r="67" spans="1:4" ht="26.1" x14ac:dyDescent="0.55000000000000004">
      <c r="A67" s="59" t="s">
        <v>65</v>
      </c>
      <c r="B67" s="59"/>
      <c r="C67" s="5"/>
      <c r="D67" s="2" t="s">
        <v>1286</v>
      </c>
    </row>
    <row r="68" spans="1:4" x14ac:dyDescent="0.55000000000000004">
      <c r="A68" s="3" t="s">
        <v>67</v>
      </c>
    </row>
    <row r="69" spans="1:4" x14ac:dyDescent="0.55000000000000004">
      <c r="A69" s="1" t="s">
        <v>68</v>
      </c>
      <c r="C69" s="1">
        <v>16</v>
      </c>
      <c r="D69" s="2">
        <v>22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AMJ69"/>
  <sheetViews>
    <sheetView zoomScale="90" zoomScaleNormal="90" workbookViewId="0"/>
  </sheetViews>
  <sheetFormatPr baseColWidth="10" defaultColWidth="11.41796875" defaultRowHeight="14.4" x14ac:dyDescent="0.55000000000000004"/>
  <cols>
    <col min="1" max="1" width="10.83984375" style="1" customWidth="1"/>
    <col min="2" max="2" width="18.83984375" style="1" customWidth="1"/>
    <col min="3" max="3" width="59.15625" style="1" customWidth="1"/>
    <col min="4" max="4" width="56.15625" style="2" customWidth="1"/>
    <col min="5" max="5" width="12.41796875" style="1" customWidth="1"/>
    <col min="6" max="6" width="3.41796875" style="1" customWidth="1"/>
    <col min="7" max="1024" width="11.41796875" style="1"/>
  </cols>
  <sheetData>
    <row r="1" spans="1:4" x14ac:dyDescent="0.55000000000000004">
      <c r="A1" s="3" t="s">
        <v>0</v>
      </c>
      <c r="D1" s="2" t="s">
        <v>796</v>
      </c>
    </row>
    <row r="2" spans="1:4" x14ac:dyDescent="0.55000000000000004">
      <c r="A2" s="58" t="s">
        <v>2</v>
      </c>
      <c r="B2" s="58"/>
      <c r="D2" s="1" t="s">
        <v>1287</v>
      </c>
    </row>
    <row r="3" spans="1:4" x14ac:dyDescent="0.55000000000000004">
      <c r="A3" s="58"/>
      <c r="B3" s="58"/>
      <c r="C3" s="5" t="s">
        <v>4</v>
      </c>
      <c r="D3" s="2" t="s">
        <v>1288</v>
      </c>
    </row>
    <row r="4" spans="1:4" x14ac:dyDescent="0.55000000000000004">
      <c r="A4" s="58"/>
      <c r="B4" s="58"/>
      <c r="C4" s="5" t="s">
        <v>6</v>
      </c>
      <c r="D4" s="2">
        <v>2012</v>
      </c>
    </row>
    <row r="5" spans="1:4" ht="26.1" x14ac:dyDescent="0.55000000000000004">
      <c r="A5" s="58"/>
      <c r="B5" s="58"/>
      <c r="C5" s="5" t="s">
        <v>7</v>
      </c>
      <c r="D5" s="2" t="s">
        <v>1289</v>
      </c>
    </row>
    <row r="6" spans="1:4" x14ac:dyDescent="0.55000000000000004">
      <c r="A6" s="58"/>
      <c r="B6" s="58"/>
      <c r="C6" s="5" t="s">
        <v>9</v>
      </c>
      <c r="D6" s="2" t="s">
        <v>1290</v>
      </c>
    </row>
    <row r="7" spans="1:4" x14ac:dyDescent="0.55000000000000004">
      <c r="A7" s="58"/>
      <c r="B7" s="58"/>
      <c r="C7" s="5" t="s">
        <v>11</v>
      </c>
      <c r="D7" s="2" t="s">
        <v>12</v>
      </c>
    </row>
    <row r="8" spans="1:4" x14ac:dyDescent="0.55000000000000004">
      <c r="A8" s="59" t="s">
        <v>13</v>
      </c>
      <c r="B8" s="59"/>
      <c r="C8" s="5"/>
    </row>
    <row r="9" spans="1:4" ht="26.1" x14ac:dyDescent="0.55000000000000004">
      <c r="A9" s="58"/>
      <c r="B9" s="58"/>
      <c r="C9" s="5" t="s">
        <v>14</v>
      </c>
      <c r="D9" s="2" t="s">
        <v>1291</v>
      </c>
    </row>
    <row r="10" spans="1:4" x14ac:dyDescent="0.55000000000000004">
      <c r="A10" s="58"/>
      <c r="B10" s="58"/>
      <c r="C10" s="5" t="s">
        <v>16</v>
      </c>
      <c r="D10" s="2" t="s">
        <v>17</v>
      </c>
    </row>
    <row r="11" spans="1:4" x14ac:dyDescent="0.55000000000000004">
      <c r="A11" s="58"/>
      <c r="B11" s="58"/>
      <c r="C11" s="5" t="s">
        <v>19</v>
      </c>
      <c r="D11" s="2" t="s">
        <v>20</v>
      </c>
    </row>
    <row r="12" spans="1:4" x14ac:dyDescent="0.55000000000000004">
      <c r="A12" s="58"/>
      <c r="B12" s="58"/>
      <c r="C12" s="5" t="s">
        <v>21</v>
      </c>
      <c r="D12" s="2" t="s">
        <v>20</v>
      </c>
    </row>
    <row r="13" spans="1:4" x14ac:dyDescent="0.55000000000000004">
      <c r="A13" s="58"/>
      <c r="B13" s="58"/>
      <c r="C13" s="5" t="s">
        <v>22</v>
      </c>
      <c r="D13" s="2" t="s">
        <v>1292</v>
      </c>
    </row>
    <row r="14" spans="1:4" x14ac:dyDescent="0.55000000000000004">
      <c r="A14" s="59" t="s">
        <v>24</v>
      </c>
      <c r="B14" s="59"/>
      <c r="C14" s="5"/>
    </row>
    <row r="15" spans="1:4" x14ac:dyDescent="0.55000000000000004">
      <c r="A15" s="58"/>
      <c r="B15" s="58"/>
      <c r="C15" s="5" t="s">
        <v>25</v>
      </c>
      <c r="D15" s="2" t="s">
        <v>181</v>
      </c>
    </row>
    <row r="16" spans="1:4" x14ac:dyDescent="0.55000000000000004">
      <c r="A16" s="58"/>
      <c r="B16" s="58"/>
      <c r="C16" s="5" t="s">
        <v>27</v>
      </c>
      <c r="D16" s="2" t="s">
        <v>1293</v>
      </c>
    </row>
    <row r="17" spans="1:4" x14ac:dyDescent="0.55000000000000004">
      <c r="A17" s="59" t="s">
        <v>29</v>
      </c>
      <c r="B17" s="59"/>
      <c r="C17" s="5"/>
    </row>
    <row r="18" spans="1:4" x14ac:dyDescent="0.55000000000000004">
      <c r="A18" s="58"/>
      <c r="B18" s="58"/>
      <c r="C18" s="5" t="s">
        <v>30</v>
      </c>
      <c r="D18" s="2" t="s">
        <v>1294</v>
      </c>
    </row>
    <row r="19" spans="1:4" x14ac:dyDescent="0.55000000000000004">
      <c r="A19" s="58"/>
      <c r="B19" s="58"/>
      <c r="C19" s="5" t="s">
        <v>32</v>
      </c>
      <c r="D19" s="2" t="s">
        <v>1295</v>
      </c>
    </row>
    <row r="20" spans="1:4" x14ac:dyDescent="0.55000000000000004">
      <c r="A20" s="59" t="s">
        <v>34</v>
      </c>
      <c r="B20" s="59"/>
      <c r="C20" s="5"/>
      <c r="D20" s="2" t="s">
        <v>35</v>
      </c>
    </row>
    <row r="21" spans="1:4" x14ac:dyDescent="0.55000000000000004">
      <c r="A21" s="58"/>
      <c r="B21" s="58"/>
      <c r="C21" s="5" t="s">
        <v>36</v>
      </c>
      <c r="D21" s="2" t="s">
        <v>20</v>
      </c>
    </row>
    <row r="22" spans="1:4" x14ac:dyDescent="0.55000000000000004">
      <c r="A22" s="58"/>
      <c r="B22" s="58"/>
      <c r="C22" s="5" t="s">
        <v>37</v>
      </c>
      <c r="D22" s="2">
        <v>10</v>
      </c>
    </row>
    <row r="23" spans="1:4" x14ac:dyDescent="0.55000000000000004">
      <c r="A23" s="58"/>
      <c r="B23" s="58"/>
      <c r="C23" s="5" t="s">
        <v>38</v>
      </c>
      <c r="D23" s="2">
        <v>9</v>
      </c>
    </row>
    <row r="24" spans="1:4" x14ac:dyDescent="0.55000000000000004">
      <c r="A24" s="58"/>
      <c r="B24" s="58"/>
      <c r="C24" s="5" t="s">
        <v>39</v>
      </c>
      <c r="D24" s="2">
        <v>1</v>
      </c>
    </row>
    <row r="25" spans="1:4" x14ac:dyDescent="0.55000000000000004">
      <c r="A25" s="58"/>
      <c r="B25" s="58"/>
      <c r="C25" s="5" t="s">
        <v>40</v>
      </c>
      <c r="D25" s="2">
        <v>60</v>
      </c>
    </row>
    <row r="26" spans="1:4" x14ac:dyDescent="0.55000000000000004">
      <c r="A26" s="58"/>
      <c r="B26" s="58"/>
      <c r="C26" s="5" t="s">
        <v>41</v>
      </c>
      <c r="D26" s="2">
        <v>64</v>
      </c>
    </row>
    <row r="27" spans="1:4" x14ac:dyDescent="0.55000000000000004">
      <c r="A27" s="58"/>
      <c r="B27" s="58"/>
      <c r="C27" s="5" t="s">
        <v>42</v>
      </c>
      <c r="D27" s="2">
        <v>2.1</v>
      </c>
    </row>
    <row r="28" spans="1:4" x14ac:dyDescent="0.55000000000000004">
      <c r="A28" s="58"/>
      <c r="B28" s="58"/>
      <c r="C28" s="5" t="s">
        <v>43</v>
      </c>
      <c r="D28" s="2" t="s">
        <v>20</v>
      </c>
    </row>
    <row r="29" spans="1:4" x14ac:dyDescent="0.55000000000000004">
      <c r="A29" s="58"/>
      <c r="B29" s="58"/>
      <c r="C29" s="5" t="s">
        <v>44</v>
      </c>
      <c r="D29" s="2">
        <v>2</v>
      </c>
    </row>
    <row r="30" spans="1:4" x14ac:dyDescent="0.55000000000000004">
      <c r="A30" s="58"/>
      <c r="B30" s="58"/>
      <c r="C30" s="5" t="s">
        <v>45</v>
      </c>
      <c r="D30" s="2" t="s">
        <v>20</v>
      </c>
    </row>
    <row r="31" spans="1:4" x14ac:dyDescent="0.55000000000000004">
      <c r="A31" s="58"/>
      <c r="B31" s="58"/>
      <c r="C31" s="5" t="s">
        <v>46</v>
      </c>
      <c r="D31" s="2" t="s">
        <v>20</v>
      </c>
    </row>
    <row r="32" spans="1:4" x14ac:dyDescent="0.55000000000000004">
      <c r="A32" s="59" t="s">
        <v>47</v>
      </c>
      <c r="B32" s="59"/>
      <c r="C32" s="5"/>
    </row>
    <row r="33" spans="1:10" ht="39" x14ac:dyDescent="0.55000000000000004">
      <c r="A33" s="58"/>
      <c r="B33" s="58"/>
      <c r="C33" s="5" t="s">
        <v>48</v>
      </c>
      <c r="D33" s="2" t="s">
        <v>1296</v>
      </c>
    </row>
    <row r="34" spans="1:10" x14ac:dyDescent="0.55000000000000004">
      <c r="A34" s="59" t="s">
        <v>50</v>
      </c>
      <c r="B34" s="59"/>
      <c r="C34" s="5"/>
    </row>
    <row r="35" spans="1:10" x14ac:dyDescent="0.55000000000000004">
      <c r="A35" s="8"/>
      <c r="B35" s="8"/>
      <c r="C35" s="5"/>
    </row>
    <row r="36" spans="1:10" x14ac:dyDescent="0.55000000000000004">
      <c r="A36" s="59"/>
      <c r="B36" s="5" t="s">
        <v>59</v>
      </c>
      <c r="C36" s="5"/>
      <c r="D36" s="2" t="s">
        <v>51</v>
      </c>
      <c r="E36" s="1" t="s">
        <v>52</v>
      </c>
      <c r="F36" s="1" t="s">
        <v>53</v>
      </c>
      <c r="G36" s="1" t="s">
        <v>54</v>
      </c>
      <c r="H36" s="1" t="s">
        <v>55</v>
      </c>
      <c r="I36" s="1" t="s">
        <v>56</v>
      </c>
      <c r="J36" s="1" t="s">
        <v>57</v>
      </c>
    </row>
    <row r="37" spans="1:10" x14ac:dyDescent="0.55000000000000004">
      <c r="A37" s="59"/>
      <c r="B37" s="5"/>
      <c r="C37" s="5"/>
    </row>
    <row r="38" spans="1:10" x14ac:dyDescent="0.55000000000000004">
      <c r="A38" s="59"/>
      <c r="B38" s="5"/>
      <c r="C38" s="5"/>
    </row>
    <row r="39" spans="1:10" x14ac:dyDescent="0.55000000000000004">
      <c r="A39" s="59"/>
      <c r="B39" s="5"/>
      <c r="C39" s="5"/>
    </row>
    <row r="40" spans="1:10" x14ac:dyDescent="0.55000000000000004">
      <c r="A40" s="59"/>
      <c r="B40" s="5"/>
      <c r="C40" s="5"/>
    </row>
    <row r="41" spans="1:10" x14ac:dyDescent="0.55000000000000004">
      <c r="A41" s="59"/>
      <c r="B41" s="5"/>
      <c r="C41" s="8"/>
    </row>
    <row r="42" spans="1:10" x14ac:dyDescent="0.55000000000000004">
      <c r="A42" s="59"/>
      <c r="B42" s="5"/>
      <c r="C42" s="8"/>
    </row>
    <row r="43" spans="1:10" x14ac:dyDescent="0.55000000000000004">
      <c r="A43" s="59"/>
      <c r="B43" s="5"/>
      <c r="C43" s="5"/>
    </row>
    <row r="44" spans="1:10" x14ac:dyDescent="0.55000000000000004">
      <c r="A44" s="59"/>
      <c r="B44" s="5"/>
      <c r="C44" s="5"/>
    </row>
    <row r="45" spans="1:10" x14ac:dyDescent="0.55000000000000004">
      <c r="A45" s="59"/>
      <c r="B45" s="5" t="s">
        <v>61</v>
      </c>
      <c r="C45" s="5"/>
    </row>
    <row r="46" spans="1:10" x14ac:dyDescent="0.55000000000000004">
      <c r="A46" s="59"/>
      <c r="B46" s="5"/>
      <c r="C46" s="5" t="s">
        <v>1297</v>
      </c>
      <c r="D46" s="7">
        <v>3.25</v>
      </c>
      <c r="E46" s="10">
        <v>0.91</v>
      </c>
    </row>
    <row r="47" spans="1:10" x14ac:dyDescent="0.55000000000000004">
      <c r="A47" s="59"/>
      <c r="B47" s="5"/>
      <c r="C47" s="5" t="s">
        <v>1298</v>
      </c>
      <c r="D47" s="7">
        <v>2.4</v>
      </c>
      <c r="E47" s="10">
        <v>0.81</v>
      </c>
    </row>
    <row r="48" spans="1:10" x14ac:dyDescent="0.55000000000000004">
      <c r="A48" s="59"/>
      <c r="B48" s="5"/>
      <c r="C48" s="5"/>
    </row>
    <row r="49" spans="1:3" x14ac:dyDescent="0.55000000000000004">
      <c r="A49" s="59"/>
      <c r="B49" s="5"/>
      <c r="C49" s="5"/>
    </row>
    <row r="50" spans="1:3" x14ac:dyDescent="0.55000000000000004">
      <c r="A50" s="59"/>
      <c r="B50" s="5"/>
      <c r="C50" s="5"/>
    </row>
    <row r="51" spans="1:3" x14ac:dyDescent="0.55000000000000004">
      <c r="A51" s="59"/>
      <c r="B51" s="5"/>
      <c r="C51" s="5"/>
    </row>
    <row r="52" spans="1:3" x14ac:dyDescent="0.55000000000000004">
      <c r="A52" s="59"/>
      <c r="B52" s="5"/>
      <c r="C52" s="5"/>
    </row>
    <row r="53" spans="1:3" x14ac:dyDescent="0.55000000000000004">
      <c r="A53" s="59"/>
      <c r="B53" s="5"/>
      <c r="C53" s="5"/>
    </row>
    <row r="54" spans="1:3" x14ac:dyDescent="0.55000000000000004">
      <c r="A54" s="59"/>
      <c r="B54" s="5"/>
      <c r="C54" s="5"/>
    </row>
    <row r="55" spans="1:3" x14ac:dyDescent="0.55000000000000004">
      <c r="A55" s="59"/>
      <c r="B55" s="5"/>
      <c r="C55" s="5"/>
    </row>
    <row r="56" spans="1:3" x14ac:dyDescent="0.55000000000000004">
      <c r="A56" s="59"/>
      <c r="B56" s="5"/>
      <c r="C56" s="5"/>
    </row>
    <row r="57" spans="1:3" x14ac:dyDescent="0.55000000000000004">
      <c r="A57" s="59"/>
      <c r="B57" s="5"/>
      <c r="C57" s="5"/>
    </row>
    <row r="58" spans="1:3" x14ac:dyDescent="0.55000000000000004">
      <c r="A58" s="59"/>
      <c r="B58" s="5"/>
      <c r="C58" s="5"/>
    </row>
    <row r="59" spans="1:3" x14ac:dyDescent="0.55000000000000004">
      <c r="A59" s="59"/>
      <c r="B59" s="5"/>
      <c r="C59" s="5"/>
    </row>
    <row r="60" spans="1:3" x14ac:dyDescent="0.55000000000000004">
      <c r="A60" s="59"/>
      <c r="B60" s="5"/>
      <c r="C60" s="5"/>
    </row>
    <row r="61" spans="1:3" x14ac:dyDescent="0.55000000000000004">
      <c r="A61" s="59"/>
      <c r="B61" s="5"/>
      <c r="C61" s="5"/>
    </row>
    <row r="62" spans="1:3" x14ac:dyDescent="0.55000000000000004">
      <c r="A62" s="59"/>
      <c r="B62" s="5"/>
      <c r="C62" s="5"/>
    </row>
    <row r="63" spans="1:3" x14ac:dyDescent="0.55000000000000004">
      <c r="A63" s="59"/>
      <c r="B63" s="5"/>
      <c r="C63" s="5"/>
    </row>
    <row r="64" spans="1:3" x14ac:dyDescent="0.55000000000000004">
      <c r="A64" s="59"/>
      <c r="B64" s="5"/>
      <c r="C64" s="5"/>
    </row>
    <row r="65" spans="1:4" x14ac:dyDescent="0.55000000000000004">
      <c r="A65" s="59"/>
      <c r="B65" s="5" t="s">
        <v>62</v>
      </c>
      <c r="C65" s="5"/>
      <c r="D65" s="2">
        <f>1/1440*10</f>
        <v>6.9444444444444449E-3</v>
      </c>
    </row>
    <row r="66" spans="1:4" x14ac:dyDescent="0.55000000000000004">
      <c r="A66" s="59"/>
      <c r="B66" s="5" t="s">
        <v>63</v>
      </c>
      <c r="C66" s="5"/>
      <c r="D66" s="2" t="s">
        <v>488</v>
      </c>
    </row>
    <row r="67" spans="1:4" ht="26.1" x14ac:dyDescent="0.55000000000000004">
      <c r="A67" s="59" t="s">
        <v>65</v>
      </c>
      <c r="B67" s="59"/>
      <c r="C67" s="5"/>
      <c r="D67" s="2" t="s">
        <v>1299</v>
      </c>
    </row>
    <row r="68" spans="1:4" x14ac:dyDescent="0.55000000000000004">
      <c r="A68" s="3" t="s">
        <v>67</v>
      </c>
    </row>
    <row r="69" spans="1:4" x14ac:dyDescent="0.55000000000000004">
      <c r="A69" s="1" t="s">
        <v>68</v>
      </c>
      <c r="C69" s="1">
        <v>16</v>
      </c>
      <c r="D69" s="2">
        <v>22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AMJ78"/>
  <sheetViews>
    <sheetView zoomScale="90" zoomScaleNormal="90" workbookViewId="0">
      <selection activeCell="C46" sqref="C46"/>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9.15625" style="1" customWidth="1"/>
    <col min="6" max="6" width="4.83984375" style="1" customWidth="1"/>
    <col min="7" max="1024" width="11.41796875" style="1"/>
  </cols>
  <sheetData>
    <row r="1" spans="1:5" x14ac:dyDescent="0.55000000000000004">
      <c r="A1" s="3" t="s">
        <v>0</v>
      </c>
      <c r="D1" s="2" t="s">
        <v>426</v>
      </c>
    </row>
    <row r="2" spans="1:5" x14ac:dyDescent="0.55000000000000004">
      <c r="A2" s="58" t="s">
        <v>2</v>
      </c>
      <c r="B2" s="58"/>
      <c r="D2" s="1" t="s">
        <v>1300</v>
      </c>
    </row>
    <row r="3" spans="1:5" x14ac:dyDescent="0.55000000000000004">
      <c r="A3" s="58"/>
      <c r="B3" s="58"/>
      <c r="C3" s="5" t="s">
        <v>4</v>
      </c>
      <c r="D3" s="2" t="s">
        <v>1301</v>
      </c>
    </row>
    <row r="4" spans="1:5" x14ac:dyDescent="0.55000000000000004">
      <c r="A4" s="58"/>
      <c r="B4" s="58"/>
      <c r="C4" s="5" t="s">
        <v>6</v>
      </c>
      <c r="D4" s="2">
        <v>1992</v>
      </c>
    </row>
    <row r="5" spans="1:5" ht="26.1" x14ac:dyDescent="0.55000000000000004">
      <c r="A5" s="58"/>
      <c r="B5" s="58"/>
      <c r="C5" s="5" t="s">
        <v>7</v>
      </c>
      <c r="D5" s="2" t="s">
        <v>1302</v>
      </c>
    </row>
    <row r="6" spans="1:5" x14ac:dyDescent="0.55000000000000004">
      <c r="A6" s="58"/>
      <c r="B6" s="58"/>
      <c r="C6" s="5" t="s">
        <v>9</v>
      </c>
      <c r="D6" s="2" t="s">
        <v>1076</v>
      </c>
    </row>
    <row r="7" spans="1:5" x14ac:dyDescent="0.55000000000000004">
      <c r="A7" s="58"/>
      <c r="B7" s="58"/>
      <c r="C7" s="5" t="s">
        <v>11</v>
      </c>
      <c r="D7" s="2" t="s">
        <v>12</v>
      </c>
    </row>
    <row r="8" spans="1:5" x14ac:dyDescent="0.55000000000000004">
      <c r="A8" s="59" t="s">
        <v>13</v>
      </c>
      <c r="B8" s="59"/>
      <c r="C8" s="5"/>
    </row>
    <row r="9" spans="1:5" x14ac:dyDescent="0.55000000000000004">
      <c r="A9" s="58"/>
      <c r="B9" s="58"/>
      <c r="C9" s="5" t="s">
        <v>14</v>
      </c>
      <c r="D9" s="2" t="s">
        <v>1303</v>
      </c>
    </row>
    <row r="10" spans="1:5" x14ac:dyDescent="0.55000000000000004">
      <c r="A10" s="58"/>
      <c r="B10" s="58"/>
      <c r="C10" s="5" t="s">
        <v>16</v>
      </c>
      <c r="D10" s="2" t="s">
        <v>17</v>
      </c>
      <c r="E10" s="1" t="s">
        <v>18</v>
      </c>
    </row>
    <row r="11" spans="1:5" x14ac:dyDescent="0.55000000000000004">
      <c r="A11" s="58"/>
      <c r="B11" s="58"/>
      <c r="C11" s="5" t="s">
        <v>19</v>
      </c>
      <c r="D11" s="2" t="s">
        <v>20</v>
      </c>
    </row>
    <row r="12" spans="1:5" x14ac:dyDescent="0.55000000000000004">
      <c r="A12" s="58"/>
      <c r="B12" s="58"/>
      <c r="C12" s="5" t="s">
        <v>21</v>
      </c>
      <c r="D12" s="2" t="s">
        <v>20</v>
      </c>
    </row>
    <row r="13" spans="1:5" x14ac:dyDescent="0.55000000000000004">
      <c r="A13" s="58"/>
      <c r="B13" s="58"/>
      <c r="C13" s="5" t="s">
        <v>22</v>
      </c>
      <c r="D13" s="2" t="s">
        <v>20</v>
      </c>
    </row>
    <row r="14" spans="1:5" x14ac:dyDescent="0.55000000000000004">
      <c r="A14" s="59" t="s">
        <v>24</v>
      </c>
      <c r="B14" s="59"/>
      <c r="C14" s="5"/>
    </row>
    <row r="15" spans="1:5" x14ac:dyDescent="0.55000000000000004">
      <c r="A15" s="58"/>
      <c r="B15" s="58"/>
      <c r="C15" s="5" t="s">
        <v>25</v>
      </c>
      <c r="D15" s="2" t="s">
        <v>945</v>
      </c>
    </row>
    <row r="16" spans="1:5" x14ac:dyDescent="0.55000000000000004">
      <c r="A16" s="58"/>
      <c r="B16" s="58"/>
      <c r="C16" s="5" t="s">
        <v>27</v>
      </c>
      <c r="D16" s="2" t="s">
        <v>88</v>
      </c>
    </row>
    <row r="17" spans="1:4" x14ac:dyDescent="0.55000000000000004">
      <c r="A17" s="59" t="s">
        <v>29</v>
      </c>
      <c r="B17" s="59"/>
      <c r="C17" s="5"/>
    </row>
    <row r="18" spans="1:4" ht="51.9" x14ac:dyDescent="0.55000000000000004">
      <c r="A18" s="58"/>
      <c r="B18" s="58"/>
      <c r="C18" s="5" t="s">
        <v>30</v>
      </c>
      <c r="D18" s="2" t="s">
        <v>1304</v>
      </c>
    </row>
    <row r="19" spans="1:4" ht="51.9" x14ac:dyDescent="0.55000000000000004">
      <c r="A19" s="58"/>
      <c r="B19" s="58"/>
      <c r="C19" s="5" t="s">
        <v>32</v>
      </c>
      <c r="D19" s="2" t="s">
        <v>1305</v>
      </c>
    </row>
    <row r="20" spans="1:4" x14ac:dyDescent="0.55000000000000004">
      <c r="A20" s="59" t="s">
        <v>34</v>
      </c>
      <c r="B20" s="59"/>
      <c r="C20" s="5"/>
      <c r="D20" s="2" t="s">
        <v>35</v>
      </c>
    </row>
    <row r="21" spans="1:4" x14ac:dyDescent="0.55000000000000004">
      <c r="A21" s="58"/>
      <c r="B21" s="58"/>
      <c r="C21" s="5" t="s">
        <v>36</v>
      </c>
      <c r="D21" s="2" t="s">
        <v>20</v>
      </c>
    </row>
    <row r="22" spans="1:4" x14ac:dyDescent="0.55000000000000004">
      <c r="A22" s="58"/>
      <c r="B22" s="58"/>
      <c r="C22" s="5" t="s">
        <v>37</v>
      </c>
      <c r="D22" s="2">
        <v>113</v>
      </c>
    </row>
    <row r="23" spans="1:4" x14ac:dyDescent="0.55000000000000004">
      <c r="A23" s="58"/>
      <c r="B23" s="58"/>
      <c r="C23" s="5" t="s">
        <v>38</v>
      </c>
      <c r="D23" s="2">
        <v>90</v>
      </c>
    </row>
    <row r="24" spans="1:4" x14ac:dyDescent="0.55000000000000004">
      <c r="A24" s="58"/>
      <c r="B24" s="58"/>
      <c r="C24" s="5" t="s">
        <v>39</v>
      </c>
      <c r="D24" s="2">
        <v>23</v>
      </c>
    </row>
    <row r="25" spans="1:4" x14ac:dyDescent="0.55000000000000004">
      <c r="A25" s="58"/>
      <c r="B25" s="58"/>
      <c r="C25" s="5" t="s">
        <v>40</v>
      </c>
      <c r="D25" s="7">
        <f>47/113</f>
        <v>0.41592920353982299</v>
      </c>
    </row>
    <row r="26" spans="1:4" x14ac:dyDescent="0.55000000000000004">
      <c r="A26" s="58"/>
      <c r="B26" s="58"/>
      <c r="C26" s="5" t="s">
        <v>41</v>
      </c>
      <c r="D26" s="2">
        <v>63.1</v>
      </c>
    </row>
    <row r="27" spans="1:4" x14ac:dyDescent="0.55000000000000004">
      <c r="A27" s="58"/>
      <c r="B27" s="58"/>
      <c r="C27" s="5" t="s">
        <v>42</v>
      </c>
      <c r="D27" s="7">
        <f>0.6*SQRT(D22)</f>
        <v>6.3780874876407898</v>
      </c>
    </row>
    <row r="28" spans="1:4" x14ac:dyDescent="0.55000000000000004">
      <c r="A28" s="58"/>
      <c r="B28" s="58"/>
      <c r="C28" s="5" t="s">
        <v>43</v>
      </c>
      <c r="D28" s="2" t="s">
        <v>20</v>
      </c>
    </row>
    <row r="29" spans="1:4" x14ac:dyDescent="0.55000000000000004">
      <c r="A29" s="58"/>
      <c r="B29" s="58"/>
      <c r="C29" s="5" t="s">
        <v>44</v>
      </c>
      <c r="D29" s="2">
        <v>2</v>
      </c>
    </row>
    <row r="30" spans="1:4" x14ac:dyDescent="0.55000000000000004">
      <c r="A30" s="58"/>
      <c r="B30" s="58"/>
      <c r="C30" s="5" t="s">
        <v>45</v>
      </c>
      <c r="D30" s="2" t="s">
        <v>20</v>
      </c>
    </row>
    <row r="31" spans="1:4" x14ac:dyDescent="0.55000000000000004">
      <c r="A31" s="58"/>
      <c r="B31" s="58"/>
      <c r="C31" s="5" t="s">
        <v>46</v>
      </c>
      <c r="D31" s="2" t="s">
        <v>20</v>
      </c>
    </row>
    <row r="32" spans="1:4" x14ac:dyDescent="0.55000000000000004">
      <c r="A32" s="59" t="s">
        <v>47</v>
      </c>
      <c r="B32" s="59"/>
      <c r="C32" s="5"/>
    </row>
    <row r="33" spans="1:11" ht="26.1" x14ac:dyDescent="0.55000000000000004">
      <c r="A33" s="58"/>
      <c r="B33" s="58"/>
      <c r="C33" s="5" t="s">
        <v>48</v>
      </c>
      <c r="D33" s="2" t="s">
        <v>1306</v>
      </c>
    </row>
    <row r="34" spans="1:11" x14ac:dyDescent="0.55000000000000004">
      <c r="A34" s="59" t="s">
        <v>50</v>
      </c>
      <c r="B34" s="59"/>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9"/>
      <c r="B36" s="5" t="s">
        <v>59</v>
      </c>
      <c r="C36" s="5"/>
    </row>
    <row r="37" spans="1:11" x14ac:dyDescent="0.55000000000000004">
      <c r="A37" s="59"/>
      <c r="B37" s="5"/>
    </row>
    <row r="38" spans="1:11" x14ac:dyDescent="0.55000000000000004">
      <c r="A38" s="59"/>
      <c r="B38" s="5"/>
    </row>
    <row r="39" spans="1:11" x14ac:dyDescent="0.55000000000000004">
      <c r="A39" s="59"/>
      <c r="B39" s="5"/>
    </row>
    <row r="40" spans="1:11" x14ac:dyDescent="0.55000000000000004">
      <c r="A40" s="59"/>
      <c r="B40" s="5"/>
    </row>
    <row r="41" spans="1:11" x14ac:dyDescent="0.55000000000000004">
      <c r="A41" s="59"/>
      <c r="B41" s="5"/>
      <c r="C41" s="5"/>
    </row>
    <row r="42" spans="1:11" x14ac:dyDescent="0.55000000000000004">
      <c r="A42" s="59"/>
      <c r="B42" s="5"/>
      <c r="C42" s="5"/>
    </row>
    <row r="43" spans="1:11" x14ac:dyDescent="0.55000000000000004">
      <c r="A43" s="59"/>
      <c r="B43" s="5"/>
      <c r="C43" s="5"/>
    </row>
    <row r="44" spans="1:11" x14ac:dyDescent="0.55000000000000004">
      <c r="A44" s="59"/>
      <c r="B44" s="5"/>
      <c r="C44" s="5"/>
    </row>
    <row r="45" spans="1:11" x14ac:dyDescent="0.55000000000000004">
      <c r="A45" s="59"/>
      <c r="B45" s="5" t="s">
        <v>61</v>
      </c>
      <c r="C45" s="5"/>
    </row>
    <row r="46" spans="1:11" x14ac:dyDescent="0.55000000000000004">
      <c r="A46" s="59"/>
      <c r="B46" s="5"/>
      <c r="C46" s="5" t="s">
        <v>1307</v>
      </c>
      <c r="D46" s="7">
        <v>2.9</v>
      </c>
      <c r="E46" s="10">
        <f>0.1*SQRT(90)</f>
        <v>0.94868329805051388</v>
      </c>
      <c r="F46" s="1">
        <v>0.1</v>
      </c>
    </row>
    <row r="47" spans="1:11" x14ac:dyDescent="0.55000000000000004">
      <c r="A47" s="59"/>
      <c r="B47" s="5"/>
      <c r="C47" s="5" t="s">
        <v>1308</v>
      </c>
      <c r="D47" s="7">
        <v>2.1</v>
      </c>
      <c r="E47" s="10">
        <f>0.1*SQRT(90)</f>
        <v>0.94868329805051388</v>
      </c>
      <c r="F47" s="1">
        <v>0.1</v>
      </c>
    </row>
    <row r="48" spans="1:11" x14ac:dyDescent="0.55000000000000004">
      <c r="A48" s="59"/>
      <c r="B48" s="5"/>
    </row>
    <row r="49" spans="1:3" x14ac:dyDescent="0.55000000000000004">
      <c r="A49" s="59"/>
      <c r="B49" s="5"/>
    </row>
    <row r="50" spans="1:3" x14ac:dyDescent="0.55000000000000004">
      <c r="A50" s="59"/>
      <c r="B50" s="5"/>
    </row>
    <row r="51" spans="1:3" x14ac:dyDescent="0.55000000000000004">
      <c r="A51" s="59"/>
      <c r="B51" s="5"/>
    </row>
    <row r="52" spans="1:3" x14ac:dyDescent="0.55000000000000004">
      <c r="A52" s="59"/>
      <c r="B52" s="5"/>
      <c r="C52" s="5"/>
    </row>
    <row r="53" spans="1:3" x14ac:dyDescent="0.55000000000000004">
      <c r="A53" s="59"/>
      <c r="B53" s="5"/>
      <c r="C53" s="5"/>
    </row>
    <row r="54" spans="1:3" x14ac:dyDescent="0.55000000000000004">
      <c r="A54" s="59"/>
      <c r="B54" s="5"/>
      <c r="C54" s="5"/>
    </row>
    <row r="55" spans="1:3" x14ac:dyDescent="0.55000000000000004">
      <c r="A55" s="59"/>
      <c r="B55" s="5"/>
      <c r="C55" s="5"/>
    </row>
    <row r="56" spans="1:3" x14ac:dyDescent="0.55000000000000004">
      <c r="A56" s="59"/>
      <c r="B56" s="5"/>
      <c r="C56" s="5"/>
    </row>
    <row r="57" spans="1:3" x14ac:dyDescent="0.55000000000000004">
      <c r="A57" s="59"/>
      <c r="B57" s="5"/>
      <c r="C57" s="5"/>
    </row>
    <row r="58" spans="1:3" x14ac:dyDescent="0.55000000000000004">
      <c r="A58" s="59"/>
      <c r="B58" s="5"/>
      <c r="C58" s="5"/>
    </row>
    <row r="59" spans="1:3" x14ac:dyDescent="0.55000000000000004">
      <c r="A59" s="59"/>
      <c r="B59" s="5"/>
      <c r="C59" s="5"/>
    </row>
    <row r="60" spans="1:3" x14ac:dyDescent="0.55000000000000004">
      <c r="A60" s="59"/>
      <c r="B60" s="5"/>
      <c r="C60" s="5"/>
    </row>
    <row r="61" spans="1:3" x14ac:dyDescent="0.55000000000000004">
      <c r="A61" s="59"/>
      <c r="B61" s="5"/>
      <c r="C61" s="5"/>
    </row>
    <row r="62" spans="1:3" x14ac:dyDescent="0.55000000000000004">
      <c r="A62" s="59"/>
      <c r="B62" s="5"/>
      <c r="C62" s="5"/>
    </row>
    <row r="63" spans="1:3" x14ac:dyDescent="0.55000000000000004">
      <c r="A63" s="59"/>
      <c r="B63" s="5"/>
      <c r="C63" s="5"/>
    </row>
    <row r="64" spans="1:3" x14ac:dyDescent="0.55000000000000004">
      <c r="A64" s="59"/>
      <c r="B64" s="5"/>
      <c r="C64" s="5"/>
    </row>
    <row r="65" spans="1:11" x14ac:dyDescent="0.55000000000000004">
      <c r="A65" s="59"/>
      <c r="B65" s="5" t="s">
        <v>62</v>
      </c>
      <c r="C65" s="5"/>
      <c r="D65" s="2">
        <v>90</v>
      </c>
    </row>
    <row r="66" spans="1:11" ht="39" x14ac:dyDescent="0.55000000000000004">
      <c r="A66" s="59"/>
      <c r="B66" s="5" t="s">
        <v>63</v>
      </c>
      <c r="C66" s="5"/>
      <c r="D66" s="2" t="s">
        <v>1309</v>
      </c>
      <c r="E66" s="2" t="s">
        <v>1310</v>
      </c>
    </row>
    <row r="67" spans="1:11" x14ac:dyDescent="0.55000000000000004">
      <c r="A67" s="59" t="s">
        <v>65</v>
      </c>
      <c r="B67" s="59"/>
      <c r="C67" s="5"/>
      <c r="D67" s="2" t="s">
        <v>1311</v>
      </c>
    </row>
    <row r="68" spans="1:11" x14ac:dyDescent="0.55000000000000004">
      <c r="A68" s="3" t="s">
        <v>67</v>
      </c>
    </row>
    <row r="69" spans="1:11" x14ac:dyDescent="0.55000000000000004">
      <c r="A69" s="1" t="s">
        <v>68</v>
      </c>
      <c r="C69" s="1">
        <v>16</v>
      </c>
      <c r="D69" s="2">
        <v>18</v>
      </c>
      <c r="E69" s="1">
        <v>13</v>
      </c>
      <c r="F69" s="1">
        <v>22</v>
      </c>
    </row>
    <row r="70" spans="1:11" x14ac:dyDescent="0.55000000000000004">
      <c r="B70" s="1" t="s">
        <v>94</v>
      </c>
    </row>
    <row r="71" spans="1:11" x14ac:dyDescent="0.55000000000000004">
      <c r="C71" s="5" t="s">
        <v>1312</v>
      </c>
      <c r="D71" s="7">
        <v>1.7</v>
      </c>
      <c r="E71" s="10">
        <f t="shared" ref="E71:E76" si="0">0.1*SQRT(90)</f>
        <v>0.94868329805051388</v>
      </c>
    </row>
    <row r="72" spans="1:11" x14ac:dyDescent="0.55000000000000004">
      <c r="C72" s="5" t="s">
        <v>1313</v>
      </c>
      <c r="D72" s="7">
        <v>1</v>
      </c>
      <c r="E72" s="10">
        <f t="shared" si="0"/>
        <v>0.94868329805051388</v>
      </c>
    </row>
    <row r="73" spans="1:11" x14ac:dyDescent="0.55000000000000004">
      <c r="C73" s="5" t="s">
        <v>1307</v>
      </c>
      <c r="D73" s="7">
        <v>2.9</v>
      </c>
      <c r="E73" s="10">
        <f t="shared" si="0"/>
        <v>0.94868329805051388</v>
      </c>
      <c r="F73" s="1">
        <v>0.1</v>
      </c>
    </row>
    <row r="74" spans="1:11" x14ac:dyDescent="0.55000000000000004">
      <c r="C74" s="5" t="s">
        <v>1308</v>
      </c>
      <c r="D74" s="7">
        <v>2.1</v>
      </c>
      <c r="E74" s="10">
        <f t="shared" si="0"/>
        <v>0.94868329805051388</v>
      </c>
      <c r="F74" s="1">
        <v>0.1</v>
      </c>
    </row>
    <row r="75" spans="1:11" x14ac:dyDescent="0.55000000000000004">
      <c r="C75" s="5" t="s">
        <v>1314</v>
      </c>
      <c r="D75" s="7">
        <v>2.2000000000000002</v>
      </c>
      <c r="E75" s="10">
        <f t="shared" si="0"/>
        <v>0.94868329805051388</v>
      </c>
      <c r="F75" s="1">
        <v>0.1</v>
      </c>
    </row>
    <row r="76" spans="1:11" x14ac:dyDescent="0.55000000000000004">
      <c r="C76" s="5" t="s">
        <v>1315</v>
      </c>
      <c r="D76" s="7">
        <v>1.5</v>
      </c>
      <c r="E76" s="10">
        <f t="shared" si="0"/>
        <v>0.94868329805051388</v>
      </c>
      <c r="F76" s="1">
        <v>0.1</v>
      </c>
    </row>
    <row r="77" spans="1:11" x14ac:dyDescent="0.55000000000000004">
      <c r="C77" s="5" t="s">
        <v>1316</v>
      </c>
      <c r="D77" s="7">
        <f>D73+D75</f>
        <v>5.0999999999999996</v>
      </c>
      <c r="E77" s="10">
        <f>SQRT(($D$23*(E73+(D73-AVERAGE(D73,D75))^2) + $D$23*(E75+(D75-AVERAGE(D73,D75))^2))/($D$23+$D$23))</f>
        <v>1.0349798539346136</v>
      </c>
      <c r="K77" s="10">
        <f>SQRT(((($D$23-1)*E73^2)+(($D$23-1)*E75^2))/($D$23+$D$23-2))</f>
        <v>0.94868329805051388</v>
      </c>
    </row>
    <row r="78" spans="1:11" x14ac:dyDescent="0.55000000000000004">
      <c r="C78" s="5" t="s">
        <v>1317</v>
      </c>
      <c r="D78" s="7">
        <f>D74+D76</f>
        <v>3.6</v>
      </c>
      <c r="E78" s="10">
        <f>SQRT(($D$23*(E74+(D74-AVERAGE(D74,D76))^2) + $D$23*(E76+(D76-AVERAGE(D74,D76))^2))/($D$23+$D$23))</f>
        <v>1.0191581320141216</v>
      </c>
      <c r="K78" s="10">
        <f>SQRT(((($D$23-1)*E74^2)+(($D$23-1)*E76^2))/($D$23+$D$23-2))</f>
        <v>0.94868329805051388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AMJ69"/>
  <sheetViews>
    <sheetView zoomScale="90" zoomScaleNormal="90" workbookViewId="0">
      <selection activeCell="D16" sqref="D16"/>
    </sheetView>
  </sheetViews>
  <sheetFormatPr baseColWidth="10" defaultColWidth="11.41796875" defaultRowHeight="14.4" x14ac:dyDescent="0.55000000000000004"/>
  <cols>
    <col min="1" max="1" width="8.83984375" style="1" customWidth="1"/>
    <col min="2" max="2" width="15.41796875" style="1" customWidth="1"/>
    <col min="3" max="3" width="45.41796875" style="1" customWidth="1"/>
    <col min="4" max="4" width="35" style="2" customWidth="1"/>
    <col min="5" max="5" width="13.578125" style="1" customWidth="1"/>
    <col min="6" max="6" width="10.41796875" style="1" customWidth="1"/>
    <col min="7" max="7" width="4.578125" style="1" customWidth="1"/>
    <col min="8" max="8" width="4.41796875" style="1" customWidth="1"/>
    <col min="9" max="1024" width="11.41796875" style="1"/>
  </cols>
  <sheetData>
    <row r="1" spans="1:5" x14ac:dyDescent="0.55000000000000004">
      <c r="A1" s="3" t="s">
        <v>0</v>
      </c>
      <c r="D1" s="2" t="s">
        <v>269</v>
      </c>
    </row>
    <row r="2" spans="1:5" ht="26.1" x14ac:dyDescent="0.55000000000000004">
      <c r="A2" s="58" t="s">
        <v>2</v>
      </c>
      <c r="B2" s="58"/>
      <c r="D2" s="2" t="s">
        <v>1318</v>
      </c>
    </row>
    <row r="3" spans="1:5" x14ac:dyDescent="0.55000000000000004">
      <c r="A3" s="58"/>
      <c r="B3" s="58"/>
      <c r="C3" s="5" t="s">
        <v>4</v>
      </c>
      <c r="D3" s="1" t="s">
        <v>1319</v>
      </c>
    </row>
    <row r="4" spans="1:5" x14ac:dyDescent="0.55000000000000004">
      <c r="A4" s="58"/>
      <c r="B4" s="58"/>
      <c r="C4" s="5" t="s">
        <v>6</v>
      </c>
      <c r="D4" s="2">
        <v>2005</v>
      </c>
    </row>
    <row r="5" spans="1:5" x14ac:dyDescent="0.55000000000000004">
      <c r="A5" s="58"/>
      <c r="B5" s="58"/>
      <c r="C5" s="5" t="s">
        <v>7</v>
      </c>
      <c r="D5" s="2" t="s">
        <v>1320</v>
      </c>
    </row>
    <row r="6" spans="1:5" x14ac:dyDescent="0.55000000000000004">
      <c r="A6" s="58"/>
      <c r="B6" s="58"/>
      <c r="C6" s="5" t="s">
        <v>9</v>
      </c>
      <c r="D6" s="1" t="s">
        <v>1321</v>
      </c>
    </row>
    <row r="7" spans="1:5" x14ac:dyDescent="0.55000000000000004">
      <c r="A7" s="58"/>
      <c r="B7" s="58"/>
      <c r="C7" s="5" t="s">
        <v>11</v>
      </c>
      <c r="D7" s="2" t="s">
        <v>12</v>
      </c>
    </row>
    <row r="8" spans="1:5" x14ac:dyDescent="0.55000000000000004">
      <c r="A8" s="59" t="s">
        <v>13</v>
      </c>
      <c r="B8" s="59"/>
      <c r="C8" s="5"/>
    </row>
    <row r="9" spans="1:5" ht="26.1" x14ac:dyDescent="0.55000000000000004">
      <c r="A9" s="58"/>
      <c r="B9" s="58"/>
      <c r="C9" s="5" t="s">
        <v>14</v>
      </c>
      <c r="D9" s="2" t="s">
        <v>1322</v>
      </c>
    </row>
    <row r="10" spans="1:5" x14ac:dyDescent="0.55000000000000004">
      <c r="A10" s="58"/>
      <c r="B10" s="58"/>
      <c r="C10" s="5" t="s">
        <v>16</v>
      </c>
      <c r="D10" s="2" t="s">
        <v>17</v>
      </c>
      <c r="E10" s="1" t="s">
        <v>18</v>
      </c>
    </row>
    <row r="11" spans="1:5" x14ac:dyDescent="0.55000000000000004">
      <c r="A11" s="58"/>
      <c r="B11" s="58"/>
      <c r="C11" s="5" t="s">
        <v>19</v>
      </c>
      <c r="D11" s="21">
        <v>38078</v>
      </c>
    </row>
    <row r="12" spans="1:5" x14ac:dyDescent="0.55000000000000004">
      <c r="A12" s="58"/>
      <c r="B12" s="58"/>
      <c r="C12" s="5" t="s">
        <v>21</v>
      </c>
      <c r="D12" s="21">
        <v>38139</v>
      </c>
    </row>
    <row r="13" spans="1:5" x14ac:dyDescent="0.55000000000000004">
      <c r="A13" s="58"/>
      <c r="B13" s="58"/>
      <c r="C13" s="5" t="s">
        <v>22</v>
      </c>
      <c r="D13" s="2" t="s">
        <v>1323</v>
      </c>
    </row>
    <row r="14" spans="1:5" x14ac:dyDescent="0.55000000000000004">
      <c r="A14" s="59" t="s">
        <v>24</v>
      </c>
      <c r="B14" s="59"/>
      <c r="C14" s="5"/>
    </row>
    <row r="15" spans="1:5" x14ac:dyDescent="0.55000000000000004">
      <c r="A15" s="58"/>
      <c r="B15" s="58"/>
      <c r="C15" s="5" t="s">
        <v>25</v>
      </c>
      <c r="D15" s="2" t="s">
        <v>1324</v>
      </c>
    </row>
    <row r="16" spans="1:5" ht="26.1" x14ac:dyDescent="0.55000000000000004">
      <c r="A16" s="58"/>
      <c r="B16" s="58"/>
      <c r="C16" s="5" t="s">
        <v>27</v>
      </c>
      <c r="D16" s="2" t="s">
        <v>1325</v>
      </c>
    </row>
    <row r="17" spans="1:4" x14ac:dyDescent="0.55000000000000004">
      <c r="A17" s="59" t="s">
        <v>29</v>
      </c>
      <c r="B17" s="59"/>
      <c r="C17" s="5"/>
    </row>
    <row r="18" spans="1:4" x14ac:dyDescent="0.55000000000000004">
      <c r="A18" s="58"/>
      <c r="B18" s="58"/>
      <c r="C18" s="5" t="s">
        <v>30</v>
      </c>
      <c r="D18" s="2" t="s">
        <v>31</v>
      </c>
    </row>
    <row r="19" spans="1:4" x14ac:dyDescent="0.55000000000000004">
      <c r="A19" s="58"/>
      <c r="B19" s="58"/>
      <c r="C19" s="5" t="s">
        <v>32</v>
      </c>
      <c r="D19" s="2" t="s">
        <v>20</v>
      </c>
    </row>
    <row r="20" spans="1:4" x14ac:dyDescent="0.55000000000000004">
      <c r="A20" s="59" t="s">
        <v>34</v>
      </c>
      <c r="B20" s="59"/>
      <c r="C20" s="5"/>
      <c r="D20" s="2" t="s">
        <v>35</v>
      </c>
    </row>
    <row r="21" spans="1:4" x14ac:dyDescent="0.55000000000000004">
      <c r="A21" s="58"/>
      <c r="B21" s="58"/>
      <c r="C21" s="5" t="s">
        <v>36</v>
      </c>
      <c r="D21" s="2">
        <v>30</v>
      </c>
    </row>
    <row r="22" spans="1:4" x14ac:dyDescent="0.55000000000000004">
      <c r="A22" s="58"/>
      <c r="B22" s="58"/>
      <c r="C22" s="5" t="s">
        <v>37</v>
      </c>
      <c r="D22" s="2">
        <v>24</v>
      </c>
    </row>
    <row r="23" spans="1:4" x14ac:dyDescent="0.55000000000000004">
      <c r="A23" s="58"/>
      <c r="B23" s="58"/>
      <c r="C23" s="5" t="s">
        <v>38</v>
      </c>
      <c r="D23" s="2">
        <v>24</v>
      </c>
    </row>
    <row r="24" spans="1:4" x14ac:dyDescent="0.55000000000000004">
      <c r="A24" s="58"/>
      <c r="B24" s="58"/>
      <c r="C24" s="5" t="s">
        <v>39</v>
      </c>
      <c r="D24" s="2">
        <v>6</v>
      </c>
    </row>
    <row r="25" spans="1:4" x14ac:dyDescent="0.55000000000000004">
      <c r="A25" s="58"/>
      <c r="B25" s="58"/>
      <c r="C25" s="5" t="s">
        <v>40</v>
      </c>
      <c r="D25" s="7">
        <f>11/23</f>
        <v>0.47826086956521741</v>
      </c>
    </row>
    <row r="26" spans="1:4" x14ac:dyDescent="0.55000000000000004">
      <c r="A26" s="58"/>
      <c r="B26" s="58"/>
      <c r="C26" s="5" t="s">
        <v>41</v>
      </c>
      <c r="D26" s="7">
        <v>63.260869565217398</v>
      </c>
    </row>
    <row r="27" spans="1:4" x14ac:dyDescent="0.55000000000000004">
      <c r="A27" s="58"/>
      <c r="B27" s="58"/>
      <c r="C27" s="5" t="s">
        <v>42</v>
      </c>
      <c r="D27" s="7">
        <v>12.396413896959301</v>
      </c>
    </row>
    <row r="28" spans="1:4" x14ac:dyDescent="0.55000000000000004">
      <c r="A28" s="58"/>
      <c r="B28" s="58"/>
      <c r="C28" s="5" t="s">
        <v>43</v>
      </c>
    </row>
    <row r="29" spans="1:4" x14ac:dyDescent="0.55000000000000004">
      <c r="A29" s="58"/>
      <c r="B29" s="58"/>
      <c r="C29" s="5" t="s">
        <v>44</v>
      </c>
      <c r="D29" s="2">
        <v>2</v>
      </c>
    </row>
    <row r="30" spans="1:4" x14ac:dyDescent="0.55000000000000004">
      <c r="A30" s="58"/>
      <c r="B30" s="58"/>
      <c r="C30" s="5" t="s">
        <v>45</v>
      </c>
      <c r="D30" s="7">
        <v>49.047619047619101</v>
      </c>
    </row>
    <row r="31" spans="1:4" x14ac:dyDescent="0.55000000000000004">
      <c r="A31" s="58"/>
      <c r="B31" s="58"/>
      <c r="C31" s="5" t="s">
        <v>46</v>
      </c>
      <c r="D31" s="7">
        <v>19.8049445256582</v>
      </c>
    </row>
    <row r="32" spans="1:4" x14ac:dyDescent="0.55000000000000004">
      <c r="A32" s="59" t="s">
        <v>47</v>
      </c>
      <c r="B32" s="59"/>
      <c r="C32" s="5"/>
    </row>
    <row r="33" spans="1:10" x14ac:dyDescent="0.55000000000000004">
      <c r="A33" s="58"/>
      <c r="B33" s="58"/>
      <c r="C33" s="5" t="s">
        <v>48</v>
      </c>
    </row>
    <row r="34" spans="1:10" x14ac:dyDescent="0.55000000000000004">
      <c r="A34" s="59" t="s">
        <v>50</v>
      </c>
      <c r="B34" s="59"/>
      <c r="C34" s="5"/>
    </row>
    <row r="35" spans="1:10" x14ac:dyDescent="0.55000000000000004">
      <c r="A35" s="8"/>
      <c r="B35" s="8"/>
      <c r="C35" s="5"/>
    </row>
    <row r="36" spans="1:10" x14ac:dyDescent="0.55000000000000004">
      <c r="A36" s="59"/>
      <c r="B36" s="5" t="s">
        <v>59</v>
      </c>
      <c r="C36" s="5"/>
      <c r="D36" s="2" t="s">
        <v>51</v>
      </c>
      <c r="E36" s="1" t="s">
        <v>52</v>
      </c>
      <c r="F36" s="1" t="s">
        <v>53</v>
      </c>
      <c r="G36" s="1" t="s">
        <v>54</v>
      </c>
      <c r="H36" s="1" t="s">
        <v>55</v>
      </c>
      <c r="I36" s="1" t="s">
        <v>56</v>
      </c>
      <c r="J36" s="1" t="s">
        <v>57</v>
      </c>
    </row>
    <row r="37" spans="1:10" x14ac:dyDescent="0.55000000000000004">
      <c r="A37" s="59"/>
    </row>
    <row r="38" spans="1:10" x14ac:dyDescent="0.55000000000000004">
      <c r="A38" s="59"/>
    </row>
    <row r="39" spans="1:10" x14ac:dyDescent="0.55000000000000004">
      <c r="A39" s="59"/>
      <c r="B39" s="5"/>
      <c r="C39" s="5"/>
    </row>
    <row r="40" spans="1:10" x14ac:dyDescent="0.55000000000000004">
      <c r="A40" s="59"/>
      <c r="B40" s="5"/>
      <c r="C40" s="5"/>
    </row>
    <row r="41" spans="1:10" x14ac:dyDescent="0.55000000000000004">
      <c r="A41" s="59"/>
      <c r="B41" s="5"/>
      <c r="C41" s="5"/>
    </row>
    <row r="42" spans="1:10" x14ac:dyDescent="0.55000000000000004">
      <c r="A42" s="59"/>
      <c r="B42" s="5"/>
      <c r="C42" s="5"/>
    </row>
    <row r="43" spans="1:10" x14ac:dyDescent="0.55000000000000004">
      <c r="A43" s="59"/>
      <c r="B43" s="5"/>
    </row>
    <row r="44" spans="1:10" x14ac:dyDescent="0.55000000000000004">
      <c r="A44" s="59"/>
      <c r="B44" s="5"/>
    </row>
    <row r="45" spans="1:10" x14ac:dyDescent="0.55000000000000004">
      <c r="A45" s="59"/>
      <c r="B45" s="5" t="s">
        <v>61</v>
      </c>
      <c r="C45" s="5"/>
    </row>
    <row r="46" spans="1:10" x14ac:dyDescent="0.55000000000000004">
      <c r="A46" s="59"/>
      <c r="B46" s="5"/>
      <c r="C46" s="5" t="s">
        <v>1326</v>
      </c>
      <c r="D46" s="7">
        <v>304.04347826087002</v>
      </c>
      <c r="E46" s="10">
        <v>265.413455682765</v>
      </c>
    </row>
    <row r="47" spans="1:10" x14ac:dyDescent="0.55000000000000004">
      <c r="A47" s="59"/>
      <c r="B47" s="5"/>
      <c r="C47" s="5" t="s">
        <v>1327</v>
      </c>
      <c r="D47" s="7">
        <v>138.04347826086999</v>
      </c>
      <c r="E47" s="10">
        <v>164.164943104256</v>
      </c>
    </row>
    <row r="48" spans="1:10" x14ac:dyDescent="0.55000000000000004">
      <c r="A48" s="59"/>
      <c r="B48" s="5"/>
      <c r="C48" s="5" t="s">
        <v>79</v>
      </c>
      <c r="D48" s="2">
        <v>1</v>
      </c>
    </row>
    <row r="49" spans="1:3" x14ac:dyDescent="0.55000000000000004">
      <c r="A49" s="59"/>
      <c r="B49" s="5"/>
      <c r="C49" s="5"/>
    </row>
    <row r="50" spans="1:3" x14ac:dyDescent="0.55000000000000004">
      <c r="A50" s="59"/>
      <c r="B50" s="5"/>
      <c r="C50" s="5"/>
    </row>
    <row r="51" spans="1:3" x14ac:dyDescent="0.55000000000000004">
      <c r="A51" s="59"/>
      <c r="B51" s="5"/>
      <c r="C51" s="5"/>
    </row>
    <row r="52" spans="1:3" x14ac:dyDescent="0.55000000000000004">
      <c r="A52" s="59"/>
      <c r="B52" s="5"/>
      <c r="C52" s="5"/>
    </row>
    <row r="53" spans="1:3" x14ac:dyDescent="0.55000000000000004">
      <c r="A53" s="59"/>
      <c r="B53" s="5"/>
      <c r="C53" s="5"/>
    </row>
    <row r="54" spans="1:3" x14ac:dyDescent="0.55000000000000004">
      <c r="A54" s="59"/>
      <c r="B54" s="5"/>
      <c r="C54" s="5"/>
    </row>
    <row r="55" spans="1:3" x14ac:dyDescent="0.55000000000000004">
      <c r="A55" s="59"/>
      <c r="B55" s="5"/>
      <c r="C55" s="5"/>
    </row>
    <row r="56" spans="1:3" x14ac:dyDescent="0.55000000000000004">
      <c r="A56" s="59"/>
      <c r="B56" s="5"/>
      <c r="C56" s="5"/>
    </row>
    <row r="57" spans="1:3" x14ac:dyDescent="0.55000000000000004">
      <c r="A57" s="59"/>
      <c r="B57" s="5"/>
      <c r="C57" s="5"/>
    </row>
    <row r="58" spans="1:3" x14ac:dyDescent="0.55000000000000004">
      <c r="A58" s="59"/>
      <c r="B58" s="5"/>
      <c r="C58" s="5"/>
    </row>
    <row r="59" spans="1:3" x14ac:dyDescent="0.55000000000000004">
      <c r="A59" s="59"/>
      <c r="B59" s="5"/>
      <c r="C59" s="5"/>
    </row>
    <row r="60" spans="1:3" x14ac:dyDescent="0.55000000000000004">
      <c r="A60" s="59"/>
      <c r="B60" s="5"/>
      <c r="C60" s="5"/>
    </row>
    <row r="61" spans="1:3" x14ac:dyDescent="0.55000000000000004">
      <c r="A61" s="59"/>
      <c r="B61" s="5"/>
      <c r="C61" s="5"/>
    </row>
    <row r="62" spans="1:3" x14ac:dyDescent="0.55000000000000004">
      <c r="A62" s="59"/>
      <c r="B62" s="5"/>
      <c r="C62" s="5"/>
    </row>
    <row r="63" spans="1:3" x14ac:dyDescent="0.55000000000000004">
      <c r="A63" s="59"/>
      <c r="B63" s="5"/>
      <c r="C63" s="5"/>
    </row>
    <row r="64" spans="1:3" x14ac:dyDescent="0.55000000000000004">
      <c r="A64" s="59"/>
      <c r="B64" s="5"/>
      <c r="C64" s="5"/>
    </row>
    <row r="65" spans="1:4" x14ac:dyDescent="0.55000000000000004">
      <c r="A65" s="59"/>
      <c r="B65" s="5" t="s">
        <v>62</v>
      </c>
      <c r="D65" s="5" t="s">
        <v>20</v>
      </c>
    </row>
    <row r="66" spans="1:4" x14ac:dyDescent="0.55000000000000004">
      <c r="A66" s="59"/>
      <c r="B66" s="5" t="s">
        <v>63</v>
      </c>
      <c r="C66" s="5"/>
      <c r="D66" s="2" t="s">
        <v>64</v>
      </c>
    </row>
    <row r="67" spans="1:4" x14ac:dyDescent="0.55000000000000004">
      <c r="A67" s="59" t="s">
        <v>65</v>
      </c>
      <c r="B67" s="59"/>
      <c r="C67" s="5"/>
    </row>
    <row r="68" spans="1:4" x14ac:dyDescent="0.55000000000000004">
      <c r="A68" s="3" t="s">
        <v>67</v>
      </c>
    </row>
    <row r="69" spans="1:4" x14ac:dyDescent="0.55000000000000004">
      <c r="A69" s="1" t="s">
        <v>68</v>
      </c>
      <c r="C69" s="1">
        <v>8</v>
      </c>
      <c r="D69" s="2">
        <v>22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11023622047" footer="0.511811023622047"/>
  <pageSetup paperSize="9" orientation="portrait" horizontalDpi="300" verticalDpi="300"/>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AMJ69"/>
  <sheetViews>
    <sheetView topLeftCell="A19" zoomScale="90" zoomScaleNormal="90" workbookViewId="0">
      <selection activeCell="D2" sqref="D2"/>
    </sheetView>
  </sheetViews>
  <sheetFormatPr baseColWidth="10" defaultColWidth="11.41796875" defaultRowHeight="14.4" x14ac:dyDescent="0.55000000000000004"/>
  <cols>
    <col min="1" max="1" width="29.83984375" style="1" customWidth="1"/>
    <col min="2" max="2" width="18.83984375" style="1" customWidth="1"/>
    <col min="3" max="3" width="44.15625" style="1" customWidth="1"/>
    <col min="4" max="4" width="56.15625" style="2" customWidth="1"/>
    <col min="5" max="5" width="5.15625" style="1" customWidth="1"/>
    <col min="6" max="6" width="9.83984375" style="1" customWidth="1"/>
    <col min="7" max="7" width="5.15625" style="1" customWidth="1"/>
    <col min="8" max="8" width="18.83984375" style="1" customWidth="1"/>
    <col min="9" max="1024" width="11.41796875" style="1"/>
  </cols>
  <sheetData>
    <row r="1" spans="1:5" x14ac:dyDescent="0.55000000000000004">
      <c r="A1" s="3" t="s">
        <v>0</v>
      </c>
      <c r="D1" s="2" t="s">
        <v>1328</v>
      </c>
    </row>
    <row r="2" spans="1:5" ht="26.1" x14ac:dyDescent="0.55000000000000004">
      <c r="A2" s="5" t="s">
        <v>2</v>
      </c>
      <c r="B2" s="5"/>
      <c r="D2" s="2" t="s">
        <v>1329</v>
      </c>
    </row>
    <row r="3" spans="1:5" x14ac:dyDescent="0.55000000000000004">
      <c r="A3" s="5"/>
      <c r="B3" s="5"/>
      <c r="C3" s="5" t="s">
        <v>4</v>
      </c>
      <c r="D3" s="2" t="s">
        <v>1330</v>
      </c>
    </row>
    <row r="4" spans="1:5" x14ac:dyDescent="0.55000000000000004">
      <c r="A4" s="5"/>
      <c r="B4" s="5"/>
      <c r="C4" s="5" t="s">
        <v>6</v>
      </c>
      <c r="D4" s="2">
        <v>2020</v>
      </c>
    </row>
    <row r="5" spans="1:5" ht="26.1" x14ac:dyDescent="0.55000000000000004">
      <c r="A5" s="5"/>
      <c r="B5" s="5"/>
      <c r="C5" s="5" t="s">
        <v>7</v>
      </c>
      <c r="D5" s="2" t="s">
        <v>1331</v>
      </c>
    </row>
    <row r="6" spans="1:5" x14ac:dyDescent="0.55000000000000004">
      <c r="A6" s="5"/>
      <c r="B6" s="5"/>
      <c r="C6" s="5" t="s">
        <v>9</v>
      </c>
      <c r="D6" s="2" t="s">
        <v>1332</v>
      </c>
    </row>
    <row r="7" spans="1:5" x14ac:dyDescent="0.55000000000000004">
      <c r="A7" s="5"/>
      <c r="B7" s="5"/>
      <c r="C7" s="5" t="s">
        <v>11</v>
      </c>
      <c r="D7" s="2" t="s">
        <v>12</v>
      </c>
    </row>
    <row r="8" spans="1:5" x14ac:dyDescent="0.55000000000000004">
      <c r="A8" s="8" t="s">
        <v>13</v>
      </c>
      <c r="B8" s="8"/>
      <c r="C8" s="5"/>
    </row>
    <row r="9" spans="1:5" ht="26.1" x14ac:dyDescent="0.55000000000000004">
      <c r="A9" s="5"/>
      <c r="B9" s="5"/>
      <c r="C9" s="5" t="s">
        <v>14</v>
      </c>
      <c r="D9" s="2" t="s">
        <v>1333</v>
      </c>
    </row>
    <row r="10" spans="1:5" x14ac:dyDescent="0.55000000000000004">
      <c r="A10" s="5"/>
      <c r="B10" s="5"/>
      <c r="C10" s="5" t="s">
        <v>16</v>
      </c>
      <c r="D10" s="12" t="s">
        <v>86</v>
      </c>
      <c r="E10" s="1" t="s">
        <v>1334</v>
      </c>
    </row>
    <row r="11" spans="1:5" x14ac:dyDescent="0.55000000000000004">
      <c r="A11" s="5"/>
      <c r="B11" s="5"/>
      <c r="C11" s="5" t="s">
        <v>19</v>
      </c>
      <c r="D11" s="2" t="s">
        <v>20</v>
      </c>
    </row>
    <row r="12" spans="1:5" x14ac:dyDescent="0.55000000000000004">
      <c r="A12" s="5"/>
      <c r="B12" s="5"/>
      <c r="C12" s="5" t="s">
        <v>21</v>
      </c>
      <c r="D12" s="2" t="s">
        <v>20</v>
      </c>
    </row>
    <row r="13" spans="1:5" x14ac:dyDescent="0.55000000000000004">
      <c r="A13" s="5"/>
      <c r="B13" s="5"/>
      <c r="C13" s="5" t="s">
        <v>22</v>
      </c>
      <c r="D13" s="2" t="s">
        <v>1335</v>
      </c>
    </row>
    <row r="14" spans="1:5" x14ac:dyDescent="0.55000000000000004">
      <c r="A14" s="8" t="s">
        <v>24</v>
      </c>
      <c r="B14" s="8"/>
      <c r="C14" s="5"/>
    </row>
    <row r="15" spans="1:5" x14ac:dyDescent="0.55000000000000004">
      <c r="A15" s="5"/>
      <c r="B15" s="5"/>
      <c r="C15" s="5" t="s">
        <v>25</v>
      </c>
      <c r="D15" s="2" t="s">
        <v>1336</v>
      </c>
    </row>
    <row r="16" spans="1:5" x14ac:dyDescent="0.55000000000000004">
      <c r="A16" s="5"/>
      <c r="B16" s="5"/>
      <c r="C16" s="5" t="s">
        <v>27</v>
      </c>
      <c r="D16" s="2" t="s">
        <v>1337</v>
      </c>
    </row>
    <row r="17" spans="1:5" x14ac:dyDescent="0.55000000000000004">
      <c r="A17" s="8" t="s">
        <v>29</v>
      </c>
      <c r="B17" s="8"/>
      <c r="C17" s="5"/>
    </row>
    <row r="18" spans="1:5" ht="26.1" x14ac:dyDescent="0.55000000000000004">
      <c r="A18" s="5"/>
      <c r="B18" s="5"/>
      <c r="C18" s="5" t="s">
        <v>30</v>
      </c>
      <c r="D18" s="2" t="s">
        <v>1338</v>
      </c>
    </row>
    <row r="19" spans="1:5" x14ac:dyDescent="0.55000000000000004">
      <c r="A19" s="5"/>
      <c r="B19" s="5"/>
      <c r="C19" s="5" t="s">
        <v>32</v>
      </c>
      <c r="D19" s="2" t="s">
        <v>1339</v>
      </c>
    </row>
    <row r="20" spans="1:5" x14ac:dyDescent="0.55000000000000004">
      <c r="A20" s="8" t="s">
        <v>34</v>
      </c>
      <c r="B20" s="8"/>
      <c r="C20" s="5"/>
      <c r="D20" s="2" t="s">
        <v>35</v>
      </c>
    </row>
    <row r="21" spans="1:5" x14ac:dyDescent="0.55000000000000004">
      <c r="A21" s="5"/>
      <c r="B21" s="5"/>
      <c r="C21" s="5" t="s">
        <v>36</v>
      </c>
      <c r="D21" s="2" t="s">
        <v>20</v>
      </c>
    </row>
    <row r="22" spans="1:5" x14ac:dyDescent="0.55000000000000004">
      <c r="A22" s="5"/>
      <c r="B22" s="5"/>
      <c r="C22" s="5" t="s">
        <v>37</v>
      </c>
      <c r="D22" s="2">
        <v>20</v>
      </c>
    </row>
    <row r="23" spans="1:5" x14ac:dyDescent="0.55000000000000004">
      <c r="A23" s="5"/>
      <c r="B23" s="5"/>
      <c r="C23" s="5" t="s">
        <v>38</v>
      </c>
      <c r="D23" s="2">
        <v>20</v>
      </c>
    </row>
    <row r="24" spans="1:5" x14ac:dyDescent="0.55000000000000004">
      <c r="A24" s="5"/>
      <c r="B24" s="5"/>
      <c r="C24" s="5" t="s">
        <v>39</v>
      </c>
      <c r="D24" s="2">
        <v>0</v>
      </c>
    </row>
    <row r="25" spans="1:5" x14ac:dyDescent="0.55000000000000004">
      <c r="A25" s="5"/>
      <c r="B25" s="5"/>
      <c r="C25" s="5" t="s">
        <v>40</v>
      </c>
      <c r="D25" s="2">
        <f>4/20*100</f>
        <v>20</v>
      </c>
    </row>
    <row r="26" spans="1:5" x14ac:dyDescent="0.55000000000000004">
      <c r="A26" s="5"/>
      <c r="B26" s="5"/>
      <c r="C26" s="5" t="s">
        <v>41</v>
      </c>
      <c r="D26" s="7">
        <v>57.9</v>
      </c>
    </row>
    <row r="27" spans="1:5" x14ac:dyDescent="0.55000000000000004">
      <c r="A27" s="5"/>
      <c r="B27" s="5"/>
      <c r="C27" s="5" t="s">
        <v>42</v>
      </c>
      <c r="D27" s="7">
        <v>7.8</v>
      </c>
    </row>
    <row r="28" spans="1:5" x14ac:dyDescent="0.55000000000000004">
      <c r="A28" s="5"/>
      <c r="B28" s="5"/>
      <c r="C28" s="5" t="s">
        <v>43</v>
      </c>
      <c r="D28" s="2" t="s">
        <v>20</v>
      </c>
    </row>
    <row r="29" spans="1:5" x14ac:dyDescent="0.55000000000000004">
      <c r="A29" s="5"/>
      <c r="B29" s="5"/>
      <c r="C29" s="5" t="s">
        <v>44</v>
      </c>
      <c r="D29" s="2" t="s">
        <v>20</v>
      </c>
    </row>
    <row r="30" spans="1:5" x14ac:dyDescent="0.55000000000000004">
      <c r="A30" s="5"/>
      <c r="B30" s="5"/>
      <c r="C30" s="5" t="s">
        <v>45</v>
      </c>
      <c r="D30" s="2">
        <v>28.5</v>
      </c>
      <c r="E30" s="1" t="s">
        <v>1340</v>
      </c>
    </row>
    <row r="31" spans="1:5" x14ac:dyDescent="0.55000000000000004">
      <c r="A31" s="5"/>
      <c r="B31" s="5"/>
      <c r="C31" s="5" t="s">
        <v>46</v>
      </c>
      <c r="D31" s="7">
        <v>9.9</v>
      </c>
    </row>
    <row r="32" spans="1:5" x14ac:dyDescent="0.55000000000000004">
      <c r="A32" s="8" t="s">
        <v>47</v>
      </c>
      <c r="B32" s="8"/>
      <c r="C32" s="5"/>
    </row>
    <row r="33" spans="1:10" ht="39" x14ac:dyDescent="0.55000000000000004">
      <c r="A33" s="5"/>
      <c r="B33" s="5"/>
      <c r="C33" s="5" t="s">
        <v>48</v>
      </c>
      <c r="D33" s="2" t="s">
        <v>1341</v>
      </c>
    </row>
    <row r="34" spans="1:10" x14ac:dyDescent="0.55000000000000004">
      <c r="A34" s="8" t="s">
        <v>50</v>
      </c>
      <c r="B34" s="8"/>
      <c r="C34" s="5"/>
    </row>
    <row r="35" spans="1:10" x14ac:dyDescent="0.55000000000000004">
      <c r="A35" s="8"/>
      <c r="B35" s="8"/>
      <c r="C35" s="5"/>
    </row>
    <row r="36" spans="1:10" x14ac:dyDescent="0.55000000000000004">
      <c r="A36" s="8"/>
      <c r="B36" s="5" t="s">
        <v>59</v>
      </c>
      <c r="C36" s="5"/>
      <c r="D36" s="2" t="s">
        <v>51</v>
      </c>
      <c r="E36" s="1" t="s">
        <v>52</v>
      </c>
      <c r="F36" s="1" t="s">
        <v>53</v>
      </c>
      <c r="G36" s="1" t="s">
        <v>54</v>
      </c>
      <c r="H36" s="1" t="s">
        <v>55</v>
      </c>
      <c r="I36" s="1" t="s">
        <v>56</v>
      </c>
      <c r="J36" s="1" t="s">
        <v>57</v>
      </c>
    </row>
    <row r="37" spans="1:10" x14ac:dyDescent="0.55000000000000004">
      <c r="A37" s="8"/>
      <c r="B37" s="5"/>
      <c r="C37" s="5" t="s">
        <v>1342</v>
      </c>
      <c r="D37" s="7">
        <v>8.1</v>
      </c>
      <c r="E37" s="10">
        <v>4</v>
      </c>
    </row>
    <row r="38" spans="1:10" x14ac:dyDescent="0.55000000000000004">
      <c r="A38" s="8"/>
      <c r="B38" s="5"/>
      <c r="C38" s="5" t="s">
        <v>1343</v>
      </c>
      <c r="D38" s="7">
        <v>5.2</v>
      </c>
      <c r="E38" s="10">
        <v>3.7</v>
      </c>
    </row>
    <row r="39" spans="1:10" x14ac:dyDescent="0.55000000000000004">
      <c r="A39" s="8"/>
      <c r="B39" s="5"/>
      <c r="C39" s="5" t="s">
        <v>695</v>
      </c>
      <c r="D39" s="7">
        <v>8.1</v>
      </c>
      <c r="E39" s="10">
        <v>4</v>
      </c>
    </row>
    <row r="40" spans="1:10" x14ac:dyDescent="0.55000000000000004">
      <c r="A40" s="8"/>
      <c r="B40" s="5"/>
      <c r="C40" s="5" t="s">
        <v>696</v>
      </c>
      <c r="D40" s="7">
        <v>2.7</v>
      </c>
      <c r="E40" s="10">
        <v>2.4</v>
      </c>
    </row>
    <row r="41" spans="1:10" x14ac:dyDescent="0.55000000000000004">
      <c r="A41" s="8"/>
      <c r="B41" s="5"/>
      <c r="D41" s="40"/>
      <c r="F41" s="41"/>
    </row>
    <row r="42" spans="1:10" x14ac:dyDescent="0.55000000000000004">
      <c r="A42" s="8"/>
      <c r="B42" s="5"/>
    </row>
    <row r="43" spans="1:10" x14ac:dyDescent="0.55000000000000004">
      <c r="A43" s="8"/>
      <c r="B43" s="5"/>
    </row>
    <row r="44" spans="1:10" x14ac:dyDescent="0.55000000000000004">
      <c r="A44" s="8"/>
      <c r="B44" s="5"/>
    </row>
    <row r="45" spans="1:10" x14ac:dyDescent="0.55000000000000004">
      <c r="A45" s="8"/>
      <c r="B45" s="5" t="s">
        <v>61</v>
      </c>
      <c r="C45" s="5"/>
    </row>
    <row r="46" spans="1:10" x14ac:dyDescent="0.55000000000000004">
      <c r="A46" s="8"/>
      <c r="B46" s="5"/>
      <c r="C46" s="5" t="s">
        <v>79</v>
      </c>
      <c r="D46" s="2">
        <v>1</v>
      </c>
    </row>
    <row r="47" spans="1:10" x14ac:dyDescent="0.55000000000000004">
      <c r="A47" s="8"/>
      <c r="B47" s="5"/>
      <c r="C47" s="5"/>
    </row>
    <row r="48" spans="1:10" x14ac:dyDescent="0.55000000000000004">
      <c r="A48" s="8"/>
      <c r="B48" s="5"/>
    </row>
    <row r="49" spans="1:3" x14ac:dyDescent="0.55000000000000004">
      <c r="A49" s="8"/>
      <c r="B49" s="5"/>
      <c r="C49" s="5"/>
    </row>
    <row r="50" spans="1:3" x14ac:dyDescent="0.55000000000000004">
      <c r="A50" s="8"/>
      <c r="B50" s="5"/>
      <c r="C50" s="5"/>
    </row>
    <row r="51" spans="1:3" x14ac:dyDescent="0.55000000000000004">
      <c r="A51" s="8"/>
      <c r="B51" s="5"/>
      <c r="C51" s="5"/>
    </row>
    <row r="52" spans="1:3" x14ac:dyDescent="0.55000000000000004">
      <c r="A52" s="8"/>
      <c r="B52" s="5"/>
      <c r="C52" s="5"/>
    </row>
    <row r="53" spans="1:3" x14ac:dyDescent="0.55000000000000004">
      <c r="A53" s="8"/>
      <c r="B53" s="5"/>
      <c r="C53" s="5"/>
    </row>
    <row r="54" spans="1:3" x14ac:dyDescent="0.55000000000000004">
      <c r="A54" s="8"/>
      <c r="B54" s="5"/>
      <c r="C54" s="5"/>
    </row>
    <row r="55" spans="1:3" x14ac:dyDescent="0.55000000000000004">
      <c r="A55" s="8"/>
      <c r="B55" s="5"/>
      <c r="C55" s="5"/>
    </row>
    <row r="56" spans="1:3" x14ac:dyDescent="0.55000000000000004">
      <c r="A56" s="8"/>
      <c r="B56" s="5"/>
      <c r="C56" s="5"/>
    </row>
    <row r="57" spans="1:3" x14ac:dyDescent="0.55000000000000004">
      <c r="A57" s="8"/>
      <c r="B57" s="5"/>
      <c r="C57" s="5"/>
    </row>
    <row r="65" spans="1:4" x14ac:dyDescent="0.55000000000000004">
      <c r="A65" s="8"/>
      <c r="B65" s="5" t="s">
        <v>62</v>
      </c>
      <c r="C65" s="5"/>
      <c r="D65" s="2">
        <f>1/1440*60</f>
        <v>4.1666666666666671E-2</v>
      </c>
    </row>
    <row r="66" spans="1:4" x14ac:dyDescent="0.55000000000000004">
      <c r="A66" s="8"/>
      <c r="B66" s="5" t="s">
        <v>63</v>
      </c>
      <c r="C66" s="5"/>
      <c r="D66" s="2" t="s">
        <v>1344</v>
      </c>
    </row>
    <row r="67" spans="1:4" x14ac:dyDescent="0.55000000000000004">
      <c r="A67" s="8" t="s">
        <v>65</v>
      </c>
      <c r="B67" s="8"/>
      <c r="C67" s="5"/>
      <c r="D67" s="2">
        <v>11</v>
      </c>
    </row>
    <row r="68" spans="1:4" x14ac:dyDescent="0.55000000000000004">
      <c r="A68" s="3" t="s">
        <v>67</v>
      </c>
    </row>
    <row r="69" spans="1:4" x14ac:dyDescent="0.55000000000000004">
      <c r="A69" s="1" t="s">
        <v>68</v>
      </c>
      <c r="C69" s="1">
        <v>11</v>
      </c>
      <c r="D69" s="2">
        <v>28</v>
      </c>
    </row>
  </sheetData>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80"/>
  <sheetViews>
    <sheetView topLeftCell="A34" zoomScaleNormal="100" workbookViewId="0">
      <selection activeCell="E39" sqref="E39"/>
    </sheetView>
  </sheetViews>
  <sheetFormatPr baseColWidth="10" defaultColWidth="11.41796875" defaultRowHeight="14.4" x14ac:dyDescent="0.55000000000000004"/>
  <cols>
    <col min="1" max="1" width="17.68359375" style="1" customWidth="1"/>
    <col min="2" max="2" width="14.15625" style="1" customWidth="1"/>
    <col min="3" max="3" width="57.578125" style="1" customWidth="1"/>
    <col min="4" max="4" width="56.15625" style="2" customWidth="1"/>
    <col min="5" max="5" width="22.15625" style="1" customWidth="1"/>
    <col min="6" max="6" width="15.15625" style="1" customWidth="1"/>
    <col min="7" max="7" width="5.15625" style="1" customWidth="1"/>
    <col min="8" max="8" width="5.83984375" style="1" customWidth="1"/>
    <col min="9" max="1024" width="11.41796875" style="1"/>
  </cols>
  <sheetData>
    <row r="1" spans="1:4" x14ac:dyDescent="0.55000000000000004">
      <c r="A1" s="19"/>
      <c r="D1" s="2" t="s">
        <v>193</v>
      </c>
    </row>
    <row r="2" spans="1:4" x14ac:dyDescent="0.55000000000000004">
      <c r="A2" s="58" t="s">
        <v>2</v>
      </c>
      <c r="B2" s="58"/>
      <c r="D2" s="1" t="s">
        <v>194</v>
      </c>
    </row>
    <row r="3" spans="1:4" x14ac:dyDescent="0.55000000000000004">
      <c r="A3" s="58"/>
      <c r="B3" s="58"/>
      <c r="C3" s="5" t="s">
        <v>4</v>
      </c>
      <c r="D3" s="2" t="s">
        <v>195</v>
      </c>
    </row>
    <row r="4" spans="1:4" x14ac:dyDescent="0.55000000000000004">
      <c r="A4" s="58"/>
      <c r="B4" s="58"/>
      <c r="C4" s="5" t="s">
        <v>6</v>
      </c>
      <c r="D4" s="2">
        <v>1998</v>
      </c>
    </row>
    <row r="5" spans="1:4" ht="26.1" x14ac:dyDescent="0.55000000000000004">
      <c r="A5" s="58"/>
      <c r="B5" s="58"/>
      <c r="C5" s="5" t="s">
        <v>7</v>
      </c>
      <c r="D5" s="2" t="s">
        <v>196</v>
      </c>
    </row>
    <row r="6" spans="1:4" x14ac:dyDescent="0.55000000000000004">
      <c r="A6" s="58"/>
      <c r="B6" s="58"/>
      <c r="C6" s="5" t="s">
        <v>9</v>
      </c>
      <c r="D6" s="2" t="s">
        <v>197</v>
      </c>
    </row>
    <row r="7" spans="1:4" x14ac:dyDescent="0.55000000000000004">
      <c r="A7" s="58"/>
      <c r="B7" s="58"/>
      <c r="C7" s="5" t="s">
        <v>11</v>
      </c>
      <c r="D7" s="2" t="s">
        <v>12</v>
      </c>
    </row>
    <row r="8" spans="1:4" x14ac:dyDescent="0.55000000000000004">
      <c r="A8" s="59" t="s">
        <v>13</v>
      </c>
      <c r="B8" s="59"/>
      <c r="C8" s="5"/>
    </row>
    <row r="9" spans="1:4" x14ac:dyDescent="0.55000000000000004">
      <c r="A9" s="58"/>
      <c r="B9" s="58"/>
      <c r="C9" s="5" t="s">
        <v>14</v>
      </c>
      <c r="D9" s="2" t="s">
        <v>198</v>
      </c>
    </row>
    <row r="10" spans="1:4" x14ac:dyDescent="0.55000000000000004">
      <c r="A10" s="58"/>
      <c r="B10" s="58"/>
      <c r="C10" s="5" t="s">
        <v>16</v>
      </c>
      <c r="D10" s="2" t="s">
        <v>165</v>
      </c>
    </row>
    <row r="11" spans="1:4" x14ac:dyDescent="0.55000000000000004">
      <c r="A11" s="58"/>
      <c r="B11" s="58"/>
      <c r="C11" s="5" t="s">
        <v>19</v>
      </c>
      <c r="D11" s="2" t="s">
        <v>20</v>
      </c>
    </row>
    <row r="12" spans="1:4" x14ac:dyDescent="0.55000000000000004">
      <c r="A12" s="58"/>
      <c r="B12" s="58"/>
      <c r="C12" s="5" t="s">
        <v>21</v>
      </c>
      <c r="D12" s="2" t="s">
        <v>20</v>
      </c>
    </row>
    <row r="13" spans="1:4" x14ac:dyDescent="0.55000000000000004">
      <c r="A13" s="58"/>
      <c r="B13" s="58"/>
      <c r="C13" s="5" t="s">
        <v>22</v>
      </c>
      <c r="D13" s="2" t="s">
        <v>20</v>
      </c>
    </row>
    <row r="14" spans="1:4" x14ac:dyDescent="0.55000000000000004">
      <c r="A14" s="59" t="s">
        <v>24</v>
      </c>
      <c r="B14" s="59"/>
      <c r="C14" s="5"/>
    </row>
    <row r="15" spans="1:4" x14ac:dyDescent="0.55000000000000004">
      <c r="A15" s="58"/>
      <c r="B15" s="58"/>
      <c r="C15" s="5" t="s">
        <v>25</v>
      </c>
      <c r="D15" s="2" t="s">
        <v>199</v>
      </c>
    </row>
    <row r="16" spans="1:4" x14ac:dyDescent="0.55000000000000004">
      <c r="A16" s="58"/>
      <c r="B16" s="58"/>
      <c r="C16" s="5" t="s">
        <v>27</v>
      </c>
      <c r="D16" s="2" t="s">
        <v>200</v>
      </c>
    </row>
    <row r="17" spans="1:6" x14ac:dyDescent="0.55000000000000004">
      <c r="A17" s="59" t="s">
        <v>29</v>
      </c>
      <c r="B17" s="59"/>
      <c r="C17" s="5"/>
    </row>
    <row r="18" spans="1:6" ht="26.1" x14ac:dyDescent="0.55000000000000004">
      <c r="A18" s="58"/>
      <c r="B18" s="58"/>
      <c r="C18" s="5" t="s">
        <v>30</v>
      </c>
      <c r="D18" s="2" t="s">
        <v>201</v>
      </c>
    </row>
    <row r="19" spans="1:6" ht="39" x14ac:dyDescent="0.55000000000000004">
      <c r="A19" s="58"/>
      <c r="B19" s="58"/>
      <c r="C19" s="5" t="s">
        <v>32</v>
      </c>
      <c r="D19" s="2" t="s">
        <v>202</v>
      </c>
    </row>
    <row r="20" spans="1:6" x14ac:dyDescent="0.55000000000000004">
      <c r="A20" s="59" t="s">
        <v>34</v>
      </c>
      <c r="B20" s="59"/>
      <c r="C20" s="5"/>
      <c r="D20" s="2" t="s">
        <v>193</v>
      </c>
      <c r="E20" s="1" t="s">
        <v>109</v>
      </c>
      <c r="F20" s="1" t="s">
        <v>35</v>
      </c>
    </row>
    <row r="21" spans="1:6" x14ac:dyDescent="0.55000000000000004">
      <c r="A21" s="58"/>
      <c r="B21" s="58"/>
      <c r="C21" s="5" t="s">
        <v>36</v>
      </c>
      <c r="D21" s="2" t="s">
        <v>20</v>
      </c>
      <c r="E21" s="1" t="s">
        <v>20</v>
      </c>
      <c r="F21" s="1">
        <v>63</v>
      </c>
    </row>
    <row r="22" spans="1:6" x14ac:dyDescent="0.55000000000000004">
      <c r="A22" s="58"/>
      <c r="B22" s="58"/>
      <c r="C22" s="5" t="s">
        <v>37</v>
      </c>
      <c r="D22" s="2">
        <v>41</v>
      </c>
      <c r="E22" s="1">
        <v>22</v>
      </c>
      <c r="F22" s="1">
        <f>SUM(D22:E22)</f>
        <v>63</v>
      </c>
    </row>
    <row r="23" spans="1:6" x14ac:dyDescent="0.55000000000000004">
      <c r="A23" s="58"/>
      <c r="B23" s="58"/>
      <c r="C23" s="5" t="s">
        <v>38</v>
      </c>
      <c r="D23" s="2">
        <v>34</v>
      </c>
      <c r="E23" s="1">
        <v>19</v>
      </c>
      <c r="F23" s="1">
        <f>SUM(D23:E23)</f>
        <v>53</v>
      </c>
    </row>
    <row r="24" spans="1:6" x14ac:dyDescent="0.55000000000000004">
      <c r="A24" s="58"/>
      <c r="B24" s="58"/>
      <c r="C24" s="5" t="s">
        <v>39</v>
      </c>
      <c r="D24" s="2">
        <f>D22-D23</f>
        <v>7</v>
      </c>
      <c r="E24" s="1">
        <f>E22-E23</f>
        <v>3</v>
      </c>
      <c r="F24" s="1">
        <f>F22-F23</f>
        <v>10</v>
      </c>
    </row>
    <row r="25" spans="1:6" x14ac:dyDescent="0.55000000000000004">
      <c r="A25" s="58"/>
      <c r="B25" s="58"/>
      <c r="C25" s="5" t="s">
        <v>40</v>
      </c>
      <c r="D25" s="7">
        <v>0.56000000000000005</v>
      </c>
      <c r="E25" s="10">
        <v>0.36</v>
      </c>
      <c r="F25" s="10">
        <f>(D25*D$22+E25*E$22)/SUM(D$22:E$22)</f>
        <v>0.49015873015873018</v>
      </c>
    </row>
    <row r="26" spans="1:6" x14ac:dyDescent="0.55000000000000004">
      <c r="A26" s="58"/>
      <c r="B26" s="58"/>
      <c r="C26" s="5" t="s">
        <v>41</v>
      </c>
      <c r="D26" s="7">
        <v>59</v>
      </c>
      <c r="E26" s="10">
        <v>57</v>
      </c>
      <c r="F26" s="10">
        <f>(D26*D22+E26*E22)/SUM(D22:E22)</f>
        <v>58.301587301587304</v>
      </c>
    </row>
    <row r="27" spans="1:6" x14ac:dyDescent="0.55000000000000004">
      <c r="A27" s="58"/>
      <c r="B27" s="58"/>
      <c r="C27" s="5" t="s">
        <v>42</v>
      </c>
      <c r="D27" s="7" t="s">
        <v>20</v>
      </c>
      <c r="E27" s="10" t="s">
        <v>20</v>
      </c>
      <c r="F27" s="10" t="s">
        <v>20</v>
      </c>
    </row>
    <row r="28" spans="1:6" x14ac:dyDescent="0.55000000000000004">
      <c r="A28" s="58"/>
      <c r="B28" s="58"/>
      <c r="C28" s="5" t="s">
        <v>43</v>
      </c>
      <c r="D28" s="2" t="s">
        <v>20</v>
      </c>
      <c r="E28" s="1" t="s">
        <v>20</v>
      </c>
      <c r="F28" s="1" t="s">
        <v>20</v>
      </c>
    </row>
    <row r="29" spans="1:6" x14ac:dyDescent="0.55000000000000004">
      <c r="A29" s="58"/>
      <c r="B29" s="58"/>
      <c r="C29" s="5" t="s">
        <v>44</v>
      </c>
      <c r="D29" s="2">
        <v>2</v>
      </c>
      <c r="E29" s="1">
        <v>2</v>
      </c>
      <c r="F29" s="1">
        <v>2</v>
      </c>
    </row>
    <row r="30" spans="1:6" x14ac:dyDescent="0.55000000000000004">
      <c r="A30" s="58"/>
      <c r="B30" s="58"/>
      <c r="C30" s="5" t="s">
        <v>45</v>
      </c>
      <c r="D30" s="7" t="s">
        <v>20</v>
      </c>
      <c r="E30" s="10" t="s">
        <v>20</v>
      </c>
      <c r="F30" s="10" t="s">
        <v>20</v>
      </c>
    </row>
    <row r="31" spans="1:6" x14ac:dyDescent="0.55000000000000004">
      <c r="A31" s="58"/>
      <c r="B31" s="58"/>
      <c r="C31" s="5" t="s">
        <v>46</v>
      </c>
      <c r="D31" s="7" t="s">
        <v>20</v>
      </c>
      <c r="E31" s="10" t="s">
        <v>20</v>
      </c>
      <c r="F31" s="10" t="s">
        <v>20</v>
      </c>
    </row>
    <row r="32" spans="1:6" x14ac:dyDescent="0.55000000000000004">
      <c r="A32" s="59" t="s">
        <v>47</v>
      </c>
      <c r="B32" s="59"/>
      <c r="C32" s="5"/>
    </row>
    <row r="33" spans="1:11" ht="51.9" x14ac:dyDescent="0.55000000000000004">
      <c r="A33" s="58"/>
      <c r="B33" s="58"/>
      <c r="C33" s="5" t="s">
        <v>48</v>
      </c>
      <c r="D33" s="2" t="s">
        <v>203</v>
      </c>
    </row>
    <row r="34" spans="1:11" x14ac:dyDescent="0.55000000000000004">
      <c r="A34" s="59" t="s">
        <v>50</v>
      </c>
      <c r="B34" s="59"/>
      <c r="C34" s="5"/>
    </row>
    <row r="35" spans="1:11" x14ac:dyDescent="0.55000000000000004">
      <c r="A35" s="8"/>
      <c r="B35" s="8"/>
      <c r="C35" s="5"/>
    </row>
    <row r="36" spans="1:11" x14ac:dyDescent="0.55000000000000004">
      <c r="A36" s="59"/>
      <c r="B36" s="5" t="s">
        <v>59</v>
      </c>
      <c r="C36" s="5"/>
      <c r="D36" s="2" t="s">
        <v>51</v>
      </c>
      <c r="E36" s="1" t="s">
        <v>52</v>
      </c>
      <c r="F36" s="1" t="s">
        <v>53</v>
      </c>
      <c r="G36" s="1" t="s">
        <v>54</v>
      </c>
      <c r="H36" s="1" t="s">
        <v>55</v>
      </c>
      <c r="I36" s="1" t="s">
        <v>56</v>
      </c>
      <c r="J36" s="1" t="s">
        <v>57</v>
      </c>
      <c r="K36" s="1" t="s">
        <v>58</v>
      </c>
    </row>
    <row r="37" spans="1:11" x14ac:dyDescent="0.55000000000000004">
      <c r="A37" s="59"/>
      <c r="B37" s="5"/>
      <c r="C37" s="5" t="s">
        <v>204</v>
      </c>
      <c r="D37" s="2">
        <v>-0.75</v>
      </c>
      <c r="E37" s="1">
        <v>1.48</v>
      </c>
      <c r="J37" s="1">
        <v>3.04</v>
      </c>
    </row>
    <row r="38" spans="1:11" x14ac:dyDescent="0.55000000000000004">
      <c r="A38" s="59"/>
      <c r="B38" s="5"/>
      <c r="C38" s="5" t="s">
        <v>205</v>
      </c>
      <c r="D38" s="2">
        <v>-0.18</v>
      </c>
      <c r="E38" s="1">
        <v>1.33</v>
      </c>
      <c r="J38" s="1">
        <v>1.56</v>
      </c>
    </row>
    <row r="39" spans="1:11" x14ac:dyDescent="0.55000000000000004">
      <c r="A39" s="59"/>
      <c r="B39" s="5"/>
    </row>
    <row r="40" spans="1:11" x14ac:dyDescent="0.55000000000000004">
      <c r="A40" s="59"/>
      <c r="B40" s="5"/>
    </row>
    <row r="41" spans="1:11" x14ac:dyDescent="0.55000000000000004">
      <c r="A41" s="59"/>
      <c r="B41" s="5"/>
      <c r="C41" s="5"/>
      <c r="D41" s="7"/>
      <c r="E41" s="10"/>
    </row>
    <row r="42" spans="1:11" x14ac:dyDescent="0.55000000000000004">
      <c r="A42" s="59"/>
      <c r="B42" s="5"/>
      <c r="C42" s="5"/>
      <c r="D42" s="7"/>
      <c r="E42" s="10"/>
    </row>
    <row r="43" spans="1:11" x14ac:dyDescent="0.55000000000000004">
      <c r="A43" s="59"/>
      <c r="B43" s="5"/>
      <c r="C43" s="5"/>
      <c r="D43" s="7"/>
      <c r="E43" s="10"/>
    </row>
    <row r="44" spans="1:11" x14ac:dyDescent="0.55000000000000004">
      <c r="A44" s="59"/>
      <c r="B44" s="5"/>
      <c r="C44" s="5"/>
      <c r="D44" s="7"/>
      <c r="E44" s="10"/>
    </row>
    <row r="45" spans="1:11" x14ac:dyDescent="0.55000000000000004">
      <c r="A45" s="59"/>
      <c r="B45" s="5"/>
      <c r="C45" s="5"/>
    </row>
    <row r="46" spans="1:11" x14ac:dyDescent="0.55000000000000004">
      <c r="A46" s="59"/>
      <c r="B46" s="5"/>
      <c r="C46" s="5"/>
    </row>
    <row r="47" spans="1:11" x14ac:dyDescent="0.55000000000000004">
      <c r="A47" s="59"/>
      <c r="B47" s="5"/>
      <c r="C47" s="5"/>
    </row>
    <row r="48" spans="1:11" x14ac:dyDescent="0.55000000000000004">
      <c r="A48" s="59"/>
      <c r="B48" s="5"/>
      <c r="C48" s="5"/>
    </row>
    <row r="49" spans="1:4" x14ac:dyDescent="0.55000000000000004">
      <c r="A49" s="59"/>
      <c r="B49" s="5"/>
      <c r="C49" s="5"/>
    </row>
    <row r="50" spans="1:4" x14ac:dyDescent="0.55000000000000004">
      <c r="A50" s="59"/>
      <c r="B50" s="5" t="s">
        <v>61</v>
      </c>
      <c r="C50" s="5"/>
    </row>
    <row r="51" spans="1:4" x14ac:dyDescent="0.55000000000000004">
      <c r="A51" s="59"/>
      <c r="B51" s="5"/>
      <c r="C51" s="5" t="s">
        <v>206</v>
      </c>
      <c r="D51" s="2">
        <v>1</v>
      </c>
    </row>
    <row r="52" spans="1:4" x14ac:dyDescent="0.55000000000000004">
      <c r="A52" s="59"/>
      <c r="B52" s="5"/>
      <c r="C52" s="5"/>
    </row>
    <row r="53" spans="1:4" x14ac:dyDescent="0.55000000000000004">
      <c r="A53" s="59"/>
      <c r="B53" s="5"/>
      <c r="C53" s="5"/>
    </row>
    <row r="54" spans="1:4" x14ac:dyDescent="0.55000000000000004">
      <c r="A54" s="59"/>
      <c r="B54" s="5"/>
      <c r="C54" s="5"/>
    </row>
    <row r="55" spans="1:4" x14ac:dyDescent="0.55000000000000004">
      <c r="A55" s="59"/>
      <c r="B55" s="5"/>
      <c r="C55" s="5"/>
    </row>
    <row r="56" spans="1:4" x14ac:dyDescent="0.55000000000000004">
      <c r="A56" s="59"/>
      <c r="B56" s="5"/>
      <c r="C56" s="5"/>
    </row>
    <row r="57" spans="1:4" x14ac:dyDescent="0.55000000000000004">
      <c r="A57" s="59"/>
      <c r="B57" s="5"/>
      <c r="C57" s="5"/>
    </row>
    <row r="58" spans="1:4" x14ac:dyDescent="0.55000000000000004">
      <c r="A58" s="59"/>
      <c r="B58" s="5"/>
      <c r="C58" s="5"/>
    </row>
    <row r="59" spans="1:4" x14ac:dyDescent="0.55000000000000004">
      <c r="A59" s="59"/>
      <c r="B59" s="5"/>
      <c r="C59" s="5"/>
    </row>
    <row r="60" spans="1:4" x14ac:dyDescent="0.55000000000000004">
      <c r="A60" s="59"/>
      <c r="B60" s="5"/>
      <c r="C60" s="5"/>
    </row>
    <row r="61" spans="1:4" x14ac:dyDescent="0.55000000000000004">
      <c r="A61" s="59"/>
      <c r="B61" s="5"/>
      <c r="C61" s="5"/>
    </row>
    <row r="62" spans="1:4" x14ac:dyDescent="0.55000000000000004">
      <c r="A62" s="59"/>
      <c r="B62" s="5"/>
      <c r="C62" s="5"/>
    </row>
    <row r="63" spans="1:4" x14ac:dyDescent="0.55000000000000004">
      <c r="A63" s="59"/>
      <c r="B63" s="5"/>
      <c r="C63" s="5"/>
    </row>
    <row r="64" spans="1:4" x14ac:dyDescent="0.55000000000000004">
      <c r="A64" s="59"/>
      <c r="B64" s="5"/>
      <c r="C64" s="5"/>
    </row>
    <row r="65" spans="1:11" x14ac:dyDescent="0.55000000000000004">
      <c r="A65" s="59"/>
      <c r="B65" s="5" t="s">
        <v>62</v>
      </c>
      <c r="C65" s="5"/>
      <c r="D65" s="2">
        <f>12*7</f>
        <v>84</v>
      </c>
    </row>
    <row r="66" spans="1:11" x14ac:dyDescent="0.55000000000000004">
      <c r="A66" s="59"/>
      <c r="B66" s="5" t="s">
        <v>63</v>
      </c>
      <c r="C66" s="5"/>
      <c r="D66" s="2" t="s">
        <v>207</v>
      </c>
      <c r="E66" s="20"/>
    </row>
    <row r="67" spans="1:11" x14ac:dyDescent="0.55000000000000004">
      <c r="A67" s="59" t="s">
        <v>65</v>
      </c>
      <c r="B67" s="59"/>
      <c r="C67" s="5"/>
      <c r="D67" s="2" t="s">
        <v>208</v>
      </c>
    </row>
    <row r="68" spans="1:11" x14ac:dyDescent="0.55000000000000004">
      <c r="A68" s="3" t="s">
        <v>67</v>
      </c>
    </row>
    <row r="69" spans="1:11" x14ac:dyDescent="0.55000000000000004">
      <c r="A69" s="1" t="s">
        <v>68</v>
      </c>
      <c r="C69" s="1">
        <v>18</v>
      </c>
      <c r="D69" s="2">
        <v>28</v>
      </c>
    </row>
    <row r="70" spans="1:11" x14ac:dyDescent="0.55000000000000004">
      <c r="B70" s="1" t="s">
        <v>94</v>
      </c>
      <c r="I70" s="1" t="s">
        <v>56</v>
      </c>
    </row>
    <row r="71" spans="1:11" x14ac:dyDescent="0.55000000000000004">
      <c r="C71" s="5"/>
    </row>
    <row r="72" spans="1:11" x14ac:dyDescent="0.55000000000000004">
      <c r="C72" s="5"/>
    </row>
    <row r="73" spans="1:11" x14ac:dyDescent="0.55000000000000004">
      <c r="C73" s="5"/>
      <c r="D73" s="7"/>
      <c r="E73" s="10"/>
    </row>
    <row r="74" spans="1:11" x14ac:dyDescent="0.55000000000000004">
      <c r="C74" s="5"/>
      <c r="D74" s="7"/>
      <c r="E74" s="10"/>
    </row>
    <row r="75" spans="1:11" x14ac:dyDescent="0.55000000000000004">
      <c r="C75" s="5"/>
    </row>
    <row r="76" spans="1:11" x14ac:dyDescent="0.55000000000000004">
      <c r="C76" s="5"/>
    </row>
    <row r="77" spans="1:11" x14ac:dyDescent="0.55000000000000004">
      <c r="C77" s="5"/>
    </row>
    <row r="78" spans="1:11" x14ac:dyDescent="0.55000000000000004">
      <c r="C78" s="5"/>
    </row>
    <row r="79" spans="1:11" x14ac:dyDescent="0.55000000000000004">
      <c r="C79" s="5"/>
      <c r="D79" s="7"/>
      <c r="J79" s="10"/>
      <c r="K79" s="10"/>
    </row>
    <row r="80" spans="1:11" x14ac:dyDescent="0.55000000000000004">
      <c r="C80" s="5"/>
      <c r="D80" s="7"/>
      <c r="J80" s="10"/>
      <c r="K80" s="10"/>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AMJ84"/>
  <sheetViews>
    <sheetView topLeftCell="A28" zoomScale="90" zoomScaleNormal="90" workbookViewId="0">
      <selection activeCell="C41" sqref="C41"/>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1.15625" style="1" customWidth="1"/>
    <col min="6" max="6" width="3.41796875" style="1" customWidth="1"/>
    <col min="7" max="1024" width="11.41796875" style="1"/>
  </cols>
  <sheetData>
    <row r="1" spans="1:5" x14ac:dyDescent="0.55000000000000004">
      <c r="A1" s="3" t="s">
        <v>0</v>
      </c>
      <c r="D1" s="2" t="s">
        <v>1345</v>
      </c>
    </row>
    <row r="2" spans="1:5" x14ac:dyDescent="0.55000000000000004">
      <c r="A2" s="58" t="s">
        <v>2</v>
      </c>
      <c r="B2" s="58"/>
      <c r="D2" s="2" t="s">
        <v>1346</v>
      </c>
    </row>
    <row r="3" spans="1:5" x14ac:dyDescent="0.55000000000000004">
      <c r="A3" s="58"/>
      <c r="B3" s="58"/>
      <c r="C3" s="5" t="s">
        <v>4</v>
      </c>
      <c r="D3" s="2" t="s">
        <v>1347</v>
      </c>
    </row>
    <row r="4" spans="1:5" x14ac:dyDescent="0.55000000000000004">
      <c r="A4" s="58"/>
      <c r="B4" s="58"/>
      <c r="C4" s="5" t="s">
        <v>6</v>
      </c>
      <c r="D4" s="2">
        <v>2017</v>
      </c>
    </row>
    <row r="5" spans="1:5" ht="26.1" x14ac:dyDescent="0.55000000000000004">
      <c r="A5" s="58"/>
      <c r="B5" s="58"/>
      <c r="C5" s="5" t="s">
        <v>7</v>
      </c>
      <c r="D5" s="2" t="s">
        <v>1348</v>
      </c>
    </row>
    <row r="6" spans="1:5" x14ac:dyDescent="0.55000000000000004">
      <c r="A6" s="58"/>
      <c r="B6" s="58"/>
      <c r="C6" s="5" t="s">
        <v>9</v>
      </c>
      <c r="D6" s="2" t="s">
        <v>1349</v>
      </c>
    </row>
    <row r="7" spans="1:5" x14ac:dyDescent="0.55000000000000004">
      <c r="A7" s="58"/>
      <c r="B7" s="58"/>
      <c r="C7" s="5" t="s">
        <v>11</v>
      </c>
      <c r="D7" s="2" t="s">
        <v>12</v>
      </c>
    </row>
    <row r="8" spans="1:5" x14ac:dyDescent="0.55000000000000004">
      <c r="A8" s="59" t="s">
        <v>13</v>
      </c>
      <c r="B8" s="59"/>
      <c r="C8" s="5"/>
    </row>
    <row r="9" spans="1:5" ht="26.1" x14ac:dyDescent="0.55000000000000004">
      <c r="A9" s="58"/>
      <c r="B9" s="58"/>
      <c r="C9" s="5" t="s">
        <v>14</v>
      </c>
      <c r="D9" s="2" t="s">
        <v>1350</v>
      </c>
    </row>
    <row r="10" spans="1:5" x14ac:dyDescent="0.55000000000000004">
      <c r="A10" s="58"/>
      <c r="B10" s="58"/>
      <c r="C10" s="5" t="s">
        <v>16</v>
      </c>
      <c r="D10" s="2" t="s">
        <v>17</v>
      </c>
      <c r="E10" s="1" t="s">
        <v>18</v>
      </c>
    </row>
    <row r="11" spans="1:5" x14ac:dyDescent="0.55000000000000004">
      <c r="A11" s="58"/>
      <c r="B11" s="58"/>
      <c r="C11" s="5" t="s">
        <v>19</v>
      </c>
      <c r="D11" s="31">
        <v>41000</v>
      </c>
    </row>
    <row r="12" spans="1:5" x14ac:dyDescent="0.55000000000000004">
      <c r="A12" s="58"/>
      <c r="B12" s="58"/>
      <c r="C12" s="5" t="s">
        <v>21</v>
      </c>
      <c r="D12" s="31">
        <v>42125</v>
      </c>
    </row>
    <row r="13" spans="1:5" x14ac:dyDescent="0.55000000000000004">
      <c r="A13" s="58"/>
      <c r="B13" s="58"/>
      <c r="C13" s="5" t="s">
        <v>22</v>
      </c>
      <c r="D13" s="2" t="s">
        <v>1335</v>
      </c>
    </row>
    <row r="14" spans="1:5" x14ac:dyDescent="0.55000000000000004">
      <c r="A14" s="59" t="s">
        <v>24</v>
      </c>
      <c r="B14" s="59"/>
      <c r="C14" s="5"/>
    </row>
    <row r="15" spans="1:5" x14ac:dyDescent="0.55000000000000004">
      <c r="A15" s="58"/>
      <c r="B15" s="58"/>
      <c r="C15" s="5" t="s">
        <v>25</v>
      </c>
      <c r="D15" s="2" t="s">
        <v>26</v>
      </c>
    </row>
    <row r="16" spans="1:5" x14ac:dyDescent="0.55000000000000004">
      <c r="A16" s="58"/>
      <c r="B16" s="58"/>
      <c r="C16" s="5" t="s">
        <v>27</v>
      </c>
      <c r="D16" s="2" t="s">
        <v>1218</v>
      </c>
    </row>
    <row r="17" spans="1:6" x14ac:dyDescent="0.55000000000000004">
      <c r="A17" s="59" t="s">
        <v>29</v>
      </c>
      <c r="B17" s="59"/>
      <c r="C17" s="5"/>
    </row>
    <row r="18" spans="1:6" ht="39" x14ac:dyDescent="0.55000000000000004">
      <c r="A18" s="58"/>
      <c r="B18" s="58"/>
      <c r="C18" s="5" t="s">
        <v>30</v>
      </c>
      <c r="D18" s="2" t="s">
        <v>1351</v>
      </c>
    </row>
    <row r="19" spans="1:6" ht="51.9" x14ac:dyDescent="0.55000000000000004">
      <c r="A19" s="58"/>
      <c r="B19" s="58"/>
      <c r="C19" s="5" t="s">
        <v>32</v>
      </c>
      <c r="D19" s="2" t="s">
        <v>1352</v>
      </c>
    </row>
    <row r="20" spans="1:6" x14ac:dyDescent="0.55000000000000004">
      <c r="A20" s="59" t="s">
        <v>34</v>
      </c>
      <c r="B20" s="59"/>
      <c r="C20" s="5"/>
      <c r="D20" s="2" t="s">
        <v>1353</v>
      </c>
      <c r="E20" s="1" t="s">
        <v>1354</v>
      </c>
      <c r="F20" s="1" t="s">
        <v>35</v>
      </c>
    </row>
    <row r="21" spans="1:6" x14ac:dyDescent="0.55000000000000004">
      <c r="A21" s="58"/>
      <c r="B21" s="58"/>
      <c r="C21" s="5" t="s">
        <v>36</v>
      </c>
      <c r="D21" s="2">
        <v>28</v>
      </c>
      <c r="E21" s="1">
        <f>F21-D21</f>
        <v>24</v>
      </c>
      <c r="F21" s="1">
        <v>52</v>
      </c>
    </row>
    <row r="22" spans="1:6" x14ac:dyDescent="0.55000000000000004">
      <c r="A22" s="58"/>
      <c r="B22" s="58"/>
      <c r="C22" s="5" t="s">
        <v>37</v>
      </c>
      <c r="D22" s="2">
        <v>28</v>
      </c>
      <c r="E22" s="1">
        <f>F22-D22</f>
        <v>24</v>
      </c>
      <c r="F22" s="2">
        <v>52</v>
      </c>
    </row>
    <row r="23" spans="1:6" x14ac:dyDescent="0.55000000000000004">
      <c r="A23" s="58"/>
      <c r="B23" s="58"/>
      <c r="C23" s="5" t="s">
        <v>38</v>
      </c>
      <c r="D23" s="2">
        <v>23</v>
      </c>
      <c r="E23" s="1">
        <f>F23-D23</f>
        <v>24</v>
      </c>
      <c r="F23" s="2">
        <v>47</v>
      </c>
    </row>
    <row r="24" spans="1:6" x14ac:dyDescent="0.55000000000000004">
      <c r="A24" s="58"/>
      <c r="B24" s="58"/>
      <c r="C24" s="5" t="s">
        <v>39</v>
      </c>
      <c r="D24" s="2">
        <v>8</v>
      </c>
      <c r="E24" s="1">
        <f>F24-D24</f>
        <v>5</v>
      </c>
      <c r="F24" s="2">
        <v>13</v>
      </c>
    </row>
    <row r="25" spans="1:6" x14ac:dyDescent="0.55000000000000004">
      <c r="A25" s="58"/>
      <c r="B25" s="58"/>
      <c r="C25" s="5" t="s">
        <v>40</v>
      </c>
      <c r="D25" s="2">
        <v>25</v>
      </c>
    </row>
    <row r="26" spans="1:6" x14ac:dyDescent="0.55000000000000004">
      <c r="A26" s="58"/>
      <c r="B26" s="58"/>
      <c r="C26" s="5" t="s">
        <v>41</v>
      </c>
      <c r="D26" s="7">
        <v>65.5</v>
      </c>
    </row>
    <row r="27" spans="1:6" x14ac:dyDescent="0.55000000000000004">
      <c r="A27" s="58"/>
      <c r="B27" s="58"/>
      <c r="C27" s="5" t="s">
        <v>42</v>
      </c>
      <c r="D27" s="7">
        <v>11.5</v>
      </c>
    </row>
    <row r="28" spans="1:6" x14ac:dyDescent="0.55000000000000004">
      <c r="A28" s="58"/>
      <c r="B28" s="58"/>
      <c r="C28" s="5" t="s">
        <v>43</v>
      </c>
      <c r="D28" s="2" t="s">
        <v>20</v>
      </c>
    </row>
    <row r="29" spans="1:6" x14ac:dyDescent="0.55000000000000004">
      <c r="A29" s="58"/>
      <c r="B29" s="58"/>
      <c r="C29" s="5" t="s">
        <v>44</v>
      </c>
      <c r="D29" s="2" t="s">
        <v>20</v>
      </c>
    </row>
    <row r="30" spans="1:6" x14ac:dyDescent="0.55000000000000004">
      <c r="A30" s="58"/>
      <c r="B30" s="58"/>
      <c r="C30" s="5" t="s">
        <v>45</v>
      </c>
      <c r="D30" s="2" t="s">
        <v>20</v>
      </c>
    </row>
    <row r="31" spans="1:6" x14ac:dyDescent="0.55000000000000004">
      <c r="A31" s="58"/>
      <c r="B31" s="58"/>
      <c r="C31" s="5" t="s">
        <v>46</v>
      </c>
      <c r="D31" s="2" t="s">
        <v>20</v>
      </c>
    </row>
    <row r="32" spans="1:6" x14ac:dyDescent="0.55000000000000004">
      <c r="A32" s="59" t="s">
        <v>47</v>
      </c>
      <c r="B32" s="59"/>
      <c r="C32" s="5"/>
    </row>
    <row r="33" spans="1:11" ht="39" x14ac:dyDescent="0.55000000000000004">
      <c r="A33" s="58"/>
      <c r="B33" s="58"/>
      <c r="C33" s="5" t="s">
        <v>48</v>
      </c>
      <c r="D33" s="2" t="s">
        <v>1355</v>
      </c>
    </row>
    <row r="34" spans="1:11" x14ac:dyDescent="0.55000000000000004">
      <c r="A34" s="59" t="s">
        <v>50</v>
      </c>
      <c r="B34" s="59"/>
      <c r="C34" s="5"/>
    </row>
    <row r="35" spans="1:11" x14ac:dyDescent="0.55000000000000004">
      <c r="A35" s="8"/>
      <c r="B35" s="8"/>
      <c r="C35" s="5"/>
    </row>
    <row r="36" spans="1:11" x14ac:dyDescent="0.55000000000000004">
      <c r="A36" s="59"/>
      <c r="B36" s="5" t="s">
        <v>59</v>
      </c>
      <c r="C36" s="5"/>
      <c r="D36" s="2" t="s">
        <v>51</v>
      </c>
      <c r="E36" s="1" t="s">
        <v>52</v>
      </c>
      <c r="F36" s="1" t="s">
        <v>53</v>
      </c>
      <c r="G36" s="1" t="s">
        <v>54</v>
      </c>
      <c r="H36" s="1" t="s">
        <v>55</v>
      </c>
      <c r="I36" s="1" t="s">
        <v>56</v>
      </c>
      <c r="J36" s="1" t="s">
        <v>57</v>
      </c>
      <c r="K36" s="1" t="s">
        <v>58</v>
      </c>
    </row>
    <row r="37" spans="1:11" x14ac:dyDescent="0.55000000000000004">
      <c r="A37" s="59"/>
      <c r="B37" s="5"/>
      <c r="C37" s="5" t="s">
        <v>1356</v>
      </c>
      <c r="D37" s="7">
        <v>2.7</v>
      </c>
      <c r="E37" s="10">
        <v>0.6</v>
      </c>
    </row>
    <row r="38" spans="1:11" x14ac:dyDescent="0.55000000000000004">
      <c r="A38" s="59"/>
      <c r="B38" s="5"/>
      <c r="C38" s="5" t="s">
        <v>1357</v>
      </c>
      <c r="D38" s="7">
        <v>1.3</v>
      </c>
      <c r="E38" s="10">
        <v>0.9</v>
      </c>
    </row>
    <row r="39" spans="1:11" x14ac:dyDescent="0.55000000000000004">
      <c r="A39" s="59"/>
      <c r="B39" s="5"/>
    </row>
    <row r="40" spans="1:11" x14ac:dyDescent="0.55000000000000004">
      <c r="A40" s="59"/>
      <c r="B40" s="5"/>
    </row>
    <row r="41" spans="1:11" x14ac:dyDescent="0.55000000000000004">
      <c r="A41" s="59"/>
      <c r="B41" s="5"/>
      <c r="D41" s="7"/>
      <c r="E41" s="10"/>
    </row>
    <row r="42" spans="1:11" x14ac:dyDescent="0.55000000000000004">
      <c r="A42" s="59"/>
      <c r="B42" s="5"/>
      <c r="D42" s="7"/>
      <c r="E42" s="10"/>
    </row>
    <row r="43" spans="1:11" x14ac:dyDescent="0.55000000000000004">
      <c r="A43" s="59"/>
      <c r="B43" s="5"/>
      <c r="D43" s="7"/>
      <c r="E43" s="10"/>
    </row>
    <row r="44" spans="1:11" x14ac:dyDescent="0.55000000000000004">
      <c r="A44" s="59"/>
      <c r="B44" s="5"/>
      <c r="D44" s="7"/>
      <c r="E44" s="10"/>
    </row>
    <row r="45" spans="1:11" x14ac:dyDescent="0.55000000000000004">
      <c r="A45" s="59"/>
      <c r="B45" s="5" t="s">
        <v>61</v>
      </c>
      <c r="D45" s="7"/>
      <c r="E45" s="10"/>
    </row>
    <row r="46" spans="1:11" x14ac:dyDescent="0.55000000000000004">
      <c r="A46" s="59"/>
      <c r="B46" s="5"/>
    </row>
    <row r="47" spans="1:11" x14ac:dyDescent="0.55000000000000004">
      <c r="A47" s="59"/>
      <c r="B47" s="5"/>
    </row>
    <row r="48" spans="1:11" x14ac:dyDescent="0.55000000000000004">
      <c r="A48" s="59"/>
      <c r="B48" s="5"/>
    </row>
    <row r="49" spans="1:3" x14ac:dyDescent="0.55000000000000004">
      <c r="A49" s="59"/>
      <c r="B49" s="5"/>
    </row>
    <row r="50" spans="1:3" x14ac:dyDescent="0.55000000000000004">
      <c r="A50" s="59"/>
      <c r="B50" s="5"/>
    </row>
    <row r="51" spans="1:3" x14ac:dyDescent="0.55000000000000004">
      <c r="A51" s="59"/>
      <c r="B51" s="5"/>
    </row>
    <row r="52" spans="1:3" x14ac:dyDescent="0.55000000000000004">
      <c r="A52" s="59"/>
      <c r="B52" s="5"/>
    </row>
    <row r="53" spans="1:3" x14ac:dyDescent="0.55000000000000004">
      <c r="A53" s="59"/>
      <c r="B53" s="5"/>
    </row>
    <row r="54" spans="1:3" x14ac:dyDescent="0.55000000000000004">
      <c r="A54" s="59"/>
      <c r="B54" s="5"/>
      <c r="C54" s="5"/>
    </row>
    <row r="55" spans="1:3" x14ac:dyDescent="0.55000000000000004">
      <c r="A55" s="59"/>
      <c r="B55" s="5"/>
      <c r="C55" s="5"/>
    </row>
    <row r="56" spans="1:3" x14ac:dyDescent="0.55000000000000004">
      <c r="A56" s="59"/>
      <c r="B56" s="5"/>
      <c r="C56" s="5"/>
    </row>
    <row r="57" spans="1:3" x14ac:dyDescent="0.55000000000000004">
      <c r="A57" s="59"/>
      <c r="B57" s="5"/>
      <c r="C57" s="5"/>
    </row>
    <row r="58" spans="1:3" x14ac:dyDescent="0.55000000000000004">
      <c r="A58" s="59"/>
      <c r="B58" s="5"/>
      <c r="C58" s="5"/>
    </row>
    <row r="59" spans="1:3" x14ac:dyDescent="0.55000000000000004">
      <c r="A59" s="59"/>
      <c r="B59" s="5"/>
      <c r="C59" s="5"/>
    </row>
    <row r="60" spans="1:3" x14ac:dyDescent="0.55000000000000004">
      <c r="A60" s="59"/>
      <c r="B60" s="5"/>
      <c r="C60" s="5"/>
    </row>
    <row r="61" spans="1:3" x14ac:dyDescent="0.55000000000000004">
      <c r="A61" s="59"/>
      <c r="B61" s="5"/>
      <c r="C61" s="5"/>
    </row>
    <row r="62" spans="1:3" x14ac:dyDescent="0.55000000000000004">
      <c r="A62" s="59"/>
      <c r="B62" s="5"/>
      <c r="C62" s="5"/>
    </row>
    <row r="63" spans="1:3" x14ac:dyDescent="0.55000000000000004">
      <c r="A63" s="59"/>
      <c r="B63" s="5"/>
      <c r="C63" s="5"/>
    </row>
    <row r="64" spans="1:3" x14ac:dyDescent="0.55000000000000004">
      <c r="A64" s="59"/>
      <c r="B64" s="5"/>
      <c r="C64" s="5"/>
    </row>
    <row r="65" spans="1:5" x14ac:dyDescent="0.55000000000000004">
      <c r="A65" s="59"/>
      <c r="B65" s="5" t="s">
        <v>62</v>
      </c>
      <c r="C65" s="5"/>
      <c r="D65" s="2">
        <f>96*7</f>
        <v>672</v>
      </c>
    </row>
    <row r="66" spans="1:5" x14ac:dyDescent="0.55000000000000004">
      <c r="A66" s="59"/>
      <c r="B66" s="5" t="s">
        <v>63</v>
      </c>
      <c r="C66" s="5"/>
    </row>
    <row r="67" spans="1:5" ht="26.1" x14ac:dyDescent="0.55000000000000004">
      <c r="A67" s="59" t="s">
        <v>65</v>
      </c>
      <c r="B67" s="59"/>
      <c r="C67" s="5"/>
      <c r="D67" s="2" t="s">
        <v>1358</v>
      </c>
    </row>
    <row r="68" spans="1:5" x14ac:dyDescent="0.55000000000000004">
      <c r="A68" s="3" t="s">
        <v>67</v>
      </c>
    </row>
    <row r="69" spans="1:5" x14ac:dyDescent="0.55000000000000004">
      <c r="A69" s="1" t="s">
        <v>68</v>
      </c>
      <c r="C69" s="1">
        <v>13</v>
      </c>
      <c r="D69" s="2">
        <v>22</v>
      </c>
    </row>
    <row r="70" spans="1:5" x14ac:dyDescent="0.55000000000000004">
      <c r="B70" s="1" t="s">
        <v>94</v>
      </c>
    </row>
    <row r="71" spans="1:5" x14ac:dyDescent="0.55000000000000004">
      <c r="C71" s="5" t="s">
        <v>1359</v>
      </c>
      <c r="D71" s="7">
        <v>5.2</v>
      </c>
      <c r="E71" s="10">
        <v>2.1</v>
      </c>
    </row>
    <row r="72" spans="1:5" x14ac:dyDescent="0.55000000000000004">
      <c r="C72" s="5" t="s">
        <v>1360</v>
      </c>
      <c r="D72" s="7">
        <v>2.8</v>
      </c>
      <c r="E72" s="10">
        <v>1.7</v>
      </c>
    </row>
    <row r="73" spans="1:5" x14ac:dyDescent="0.55000000000000004">
      <c r="C73" s="5" t="s">
        <v>1361</v>
      </c>
      <c r="D73" s="7">
        <v>4.5999999999999996</v>
      </c>
      <c r="E73" s="10">
        <v>3.5</v>
      </c>
    </row>
    <row r="74" spans="1:5" x14ac:dyDescent="0.55000000000000004">
      <c r="C74" s="5" t="s">
        <v>1362</v>
      </c>
      <c r="D74" s="7">
        <v>3.5</v>
      </c>
      <c r="E74" s="10">
        <v>1.9</v>
      </c>
    </row>
    <row r="75" spans="1:5" x14ac:dyDescent="0.55000000000000004">
      <c r="C75" s="5" t="s">
        <v>1363</v>
      </c>
      <c r="D75" s="7">
        <v>9.6</v>
      </c>
      <c r="E75" s="10">
        <v>5.9</v>
      </c>
    </row>
    <row r="76" spans="1:5" x14ac:dyDescent="0.55000000000000004">
      <c r="C76" s="5" t="s">
        <v>1364</v>
      </c>
      <c r="D76" s="7">
        <v>8.6</v>
      </c>
      <c r="E76" s="10">
        <v>3.3</v>
      </c>
    </row>
    <row r="77" spans="1:5" x14ac:dyDescent="0.55000000000000004">
      <c r="C77" s="5" t="s">
        <v>1365</v>
      </c>
      <c r="D77" s="7">
        <v>0.4</v>
      </c>
      <c r="E77" s="10">
        <v>9.3000000000000007</v>
      </c>
    </row>
    <row r="78" spans="1:5" x14ac:dyDescent="0.55000000000000004">
      <c r="C78" s="5" t="s">
        <v>1366</v>
      </c>
      <c r="D78" s="7">
        <v>0.4</v>
      </c>
      <c r="E78" s="10">
        <v>9.8000000000000007</v>
      </c>
    </row>
    <row r="81" spans="3:11" x14ac:dyDescent="0.55000000000000004">
      <c r="C81" s="5" t="s">
        <v>1367</v>
      </c>
      <c r="D81" s="7">
        <v>1.6</v>
      </c>
      <c r="E81" s="10">
        <v>0.9</v>
      </c>
    </row>
    <row r="82" spans="3:11" x14ac:dyDescent="0.55000000000000004">
      <c r="C82" s="5" t="s">
        <v>1368</v>
      </c>
      <c r="D82" s="7">
        <v>0.8</v>
      </c>
      <c r="E82" s="10">
        <v>0.7</v>
      </c>
    </row>
    <row r="83" spans="3:11" x14ac:dyDescent="0.55000000000000004">
      <c r="C83" s="5" t="s">
        <v>1369</v>
      </c>
      <c r="D83" s="7">
        <f>D37+D81</f>
        <v>4.3000000000000007</v>
      </c>
      <c r="K83" s="10">
        <f>SQRT(((($D$23-1)*E37^2)+(($D$23-1)*E81^2))/($D$23+$D$23-2))</f>
        <v>0.76485292703891783</v>
      </c>
    </row>
    <row r="84" spans="3:11" x14ac:dyDescent="0.55000000000000004">
      <c r="C84" s="5" t="s">
        <v>1370</v>
      </c>
      <c r="D84" s="7">
        <f>D38+D82</f>
        <v>2.1</v>
      </c>
      <c r="K84" s="10">
        <f>SQRT(((($D$23-1)*E38^2)+(($D$23-1)*E82^2))/($D$23+$D$23-2))</f>
        <v>0.80622577482985502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AMJ78"/>
  <sheetViews>
    <sheetView topLeftCell="A24" zoomScale="78" zoomScaleNormal="90" workbookViewId="0">
      <selection activeCell="C47" sqref="C46:C47"/>
    </sheetView>
  </sheetViews>
  <sheetFormatPr baseColWidth="10" defaultColWidth="11.41796875" defaultRowHeight="14.4" x14ac:dyDescent="0.55000000000000004"/>
  <cols>
    <col min="1" max="1" width="10.83984375" style="1" customWidth="1"/>
    <col min="2" max="2" width="18.83984375" style="1" customWidth="1"/>
    <col min="3" max="3" width="62" style="1" customWidth="1"/>
    <col min="4" max="4" width="56.15625" style="2" customWidth="1"/>
    <col min="5" max="5" width="10.41796875" style="1" customWidth="1"/>
    <col min="6" max="6" width="6.15625" style="1" customWidth="1"/>
    <col min="7" max="1024" width="11.41796875" style="1"/>
  </cols>
  <sheetData>
    <row r="1" spans="1:5" x14ac:dyDescent="0.55000000000000004">
      <c r="A1" s="3" t="s">
        <v>0</v>
      </c>
      <c r="D1" s="2" t="s">
        <v>1345</v>
      </c>
    </row>
    <row r="2" spans="1:5" x14ac:dyDescent="0.55000000000000004">
      <c r="A2" s="58" t="s">
        <v>2</v>
      </c>
      <c r="B2" s="58"/>
      <c r="D2" s="1" t="s">
        <v>1371</v>
      </c>
    </row>
    <row r="3" spans="1:5" x14ac:dyDescent="0.55000000000000004">
      <c r="A3" s="58"/>
      <c r="B3" s="58"/>
      <c r="C3" s="5" t="s">
        <v>4</v>
      </c>
      <c r="D3" s="2" t="s">
        <v>1372</v>
      </c>
    </row>
    <row r="4" spans="1:5" x14ac:dyDescent="0.55000000000000004">
      <c r="A4" s="58"/>
      <c r="B4" s="58"/>
      <c r="C4" s="5" t="s">
        <v>6</v>
      </c>
      <c r="D4" s="2">
        <v>2020</v>
      </c>
    </row>
    <row r="5" spans="1:5" ht="26.1" x14ac:dyDescent="0.55000000000000004">
      <c r="A5" s="58"/>
      <c r="B5" s="58"/>
      <c r="C5" s="5" t="s">
        <v>7</v>
      </c>
      <c r="D5" s="2" t="s">
        <v>1373</v>
      </c>
    </row>
    <row r="6" spans="1:5" x14ac:dyDescent="0.55000000000000004">
      <c r="A6" s="58"/>
      <c r="B6" s="58"/>
      <c r="C6" s="5" t="s">
        <v>9</v>
      </c>
      <c r="D6" s="2" t="s">
        <v>1374</v>
      </c>
    </row>
    <row r="7" spans="1:5" x14ac:dyDescent="0.55000000000000004">
      <c r="A7" s="58"/>
      <c r="B7" s="58"/>
      <c r="C7" s="5" t="s">
        <v>11</v>
      </c>
      <c r="D7" s="2" t="s">
        <v>12</v>
      </c>
    </row>
    <row r="8" spans="1:5" x14ac:dyDescent="0.55000000000000004">
      <c r="A8" s="59" t="s">
        <v>13</v>
      </c>
      <c r="B8" s="59"/>
      <c r="C8" s="5"/>
    </row>
    <row r="9" spans="1:5" ht="26.1" x14ac:dyDescent="0.55000000000000004">
      <c r="A9" s="58"/>
      <c r="B9" s="58"/>
      <c r="C9" s="5" t="s">
        <v>14</v>
      </c>
      <c r="D9" s="2" t="s">
        <v>1375</v>
      </c>
    </row>
    <row r="10" spans="1:5" x14ac:dyDescent="0.55000000000000004">
      <c r="A10" s="58"/>
      <c r="B10" s="58"/>
      <c r="C10" s="5" t="s">
        <v>16</v>
      </c>
      <c r="D10" s="2" t="s">
        <v>17</v>
      </c>
      <c r="E10" s="1" t="s">
        <v>18</v>
      </c>
    </row>
    <row r="11" spans="1:5" x14ac:dyDescent="0.55000000000000004">
      <c r="A11" s="58"/>
      <c r="B11" s="58"/>
      <c r="C11" s="5" t="s">
        <v>19</v>
      </c>
      <c r="D11" s="2" t="s">
        <v>20</v>
      </c>
    </row>
    <row r="12" spans="1:5" x14ac:dyDescent="0.55000000000000004">
      <c r="A12" s="58"/>
      <c r="B12" s="58"/>
      <c r="C12" s="5" t="s">
        <v>21</v>
      </c>
      <c r="D12" s="2" t="s">
        <v>20</v>
      </c>
    </row>
    <row r="13" spans="1:5" x14ac:dyDescent="0.55000000000000004">
      <c r="A13" s="58"/>
      <c r="B13" s="58"/>
      <c r="C13" s="5" t="s">
        <v>22</v>
      </c>
      <c r="D13" s="2" t="s">
        <v>20</v>
      </c>
    </row>
    <row r="14" spans="1:5" x14ac:dyDescent="0.55000000000000004">
      <c r="A14" s="59" t="s">
        <v>24</v>
      </c>
      <c r="B14" s="59"/>
      <c r="C14" s="5"/>
    </row>
    <row r="15" spans="1:5" x14ac:dyDescent="0.55000000000000004">
      <c r="A15" s="58"/>
      <c r="B15" s="58"/>
      <c r="C15" s="5" t="s">
        <v>25</v>
      </c>
      <c r="D15" s="2" t="s">
        <v>26</v>
      </c>
    </row>
    <row r="16" spans="1:5" x14ac:dyDescent="0.55000000000000004">
      <c r="A16" s="58"/>
      <c r="B16" s="58"/>
      <c r="C16" s="5" t="s">
        <v>27</v>
      </c>
      <c r="D16" s="2" t="s">
        <v>1218</v>
      </c>
    </row>
    <row r="17" spans="1:6" x14ac:dyDescent="0.55000000000000004">
      <c r="A17" s="59" t="s">
        <v>29</v>
      </c>
      <c r="B17" s="59"/>
      <c r="C17" s="5"/>
    </row>
    <row r="18" spans="1:6" ht="26.1" x14ac:dyDescent="0.55000000000000004">
      <c r="A18" s="58"/>
      <c r="B18" s="58"/>
      <c r="C18" s="5" t="s">
        <v>30</v>
      </c>
      <c r="D18" s="2" t="s">
        <v>1376</v>
      </c>
    </row>
    <row r="19" spans="1:6" x14ac:dyDescent="0.55000000000000004">
      <c r="A19" s="58"/>
      <c r="B19" s="58"/>
      <c r="C19" s="5" t="s">
        <v>32</v>
      </c>
      <c r="D19" s="2" t="s">
        <v>1377</v>
      </c>
    </row>
    <row r="20" spans="1:6" x14ac:dyDescent="0.55000000000000004">
      <c r="A20" s="59" t="s">
        <v>34</v>
      </c>
      <c r="B20" s="59"/>
      <c r="C20" s="5"/>
      <c r="D20" s="2" t="s">
        <v>1378</v>
      </c>
      <c r="E20" s="1" t="s">
        <v>69</v>
      </c>
      <c r="F20" s="1" t="s">
        <v>35</v>
      </c>
    </row>
    <row r="21" spans="1:6" x14ac:dyDescent="0.55000000000000004">
      <c r="A21" s="58"/>
      <c r="B21" s="58"/>
      <c r="C21" s="5" t="s">
        <v>36</v>
      </c>
      <c r="D21" s="2">
        <v>48</v>
      </c>
      <c r="F21" s="1">
        <v>48</v>
      </c>
    </row>
    <row r="22" spans="1:6" x14ac:dyDescent="0.55000000000000004">
      <c r="A22" s="58"/>
      <c r="B22" s="58"/>
      <c r="C22" s="5" t="s">
        <v>37</v>
      </c>
      <c r="D22" s="2">
        <v>25</v>
      </c>
      <c r="E22" s="1">
        <v>22</v>
      </c>
      <c r="F22" s="1">
        <f>SUM(D22:E22)</f>
        <v>47</v>
      </c>
    </row>
    <row r="23" spans="1:6" x14ac:dyDescent="0.55000000000000004">
      <c r="A23" s="58"/>
      <c r="B23" s="58"/>
      <c r="C23" s="5" t="s">
        <v>38</v>
      </c>
      <c r="D23" s="2">
        <v>25</v>
      </c>
      <c r="E23" s="1">
        <v>22</v>
      </c>
      <c r="F23" s="1">
        <f>SUM(D23:E23)</f>
        <v>47</v>
      </c>
    </row>
    <row r="24" spans="1:6" x14ac:dyDescent="0.55000000000000004">
      <c r="A24" s="58"/>
      <c r="B24" s="58"/>
      <c r="C24" s="5" t="s">
        <v>39</v>
      </c>
      <c r="D24" s="2">
        <v>4</v>
      </c>
      <c r="E24" s="1">
        <v>4</v>
      </c>
      <c r="F24" s="1">
        <f>SUM(D24:E24)</f>
        <v>8</v>
      </c>
    </row>
    <row r="25" spans="1:6" x14ac:dyDescent="0.55000000000000004">
      <c r="A25" s="58"/>
      <c r="B25" s="58"/>
      <c r="C25" s="5" t="s">
        <v>40</v>
      </c>
      <c r="D25" s="7">
        <f>6/25</f>
        <v>0.24</v>
      </c>
      <c r="E25" s="10">
        <f>2/22</f>
        <v>9.0909090909090912E-2</v>
      </c>
      <c r="F25" s="10">
        <f>8/F23</f>
        <v>0.1702127659574468</v>
      </c>
    </row>
    <row r="26" spans="1:6" x14ac:dyDescent="0.55000000000000004">
      <c r="A26" s="58"/>
      <c r="B26" s="58"/>
      <c r="C26" s="5" t="s">
        <v>41</v>
      </c>
      <c r="D26" s="7">
        <v>71.2</v>
      </c>
      <c r="E26" s="10">
        <v>71.8</v>
      </c>
      <c r="F26" s="10">
        <f>(D26*$D$23 + E26*$E$23)/$F$23</f>
        <v>71.480851063829789</v>
      </c>
    </row>
    <row r="27" spans="1:6" x14ac:dyDescent="0.55000000000000004">
      <c r="A27" s="58"/>
      <c r="B27" s="58"/>
      <c r="C27" s="5" t="s">
        <v>42</v>
      </c>
      <c r="D27" s="7">
        <v>7.6</v>
      </c>
      <c r="E27" s="10">
        <v>7.7</v>
      </c>
      <c r="F27" s="10">
        <f>SQRT((D23*(D27^2+(D26-G$26)^2)+E23*(E27^2+(E26-G$26)^2))/(D23+E23))</f>
        <v>71.88934463702131</v>
      </c>
    </row>
    <row r="28" spans="1:6" x14ac:dyDescent="0.55000000000000004">
      <c r="A28" s="58"/>
      <c r="B28" s="58"/>
      <c r="C28" s="5" t="s">
        <v>43</v>
      </c>
      <c r="D28" s="2" t="s">
        <v>20</v>
      </c>
    </row>
    <row r="29" spans="1:6" x14ac:dyDescent="0.55000000000000004">
      <c r="A29" s="58"/>
      <c r="B29" s="58"/>
      <c r="C29" s="5" t="s">
        <v>44</v>
      </c>
      <c r="D29" s="2" t="s">
        <v>20</v>
      </c>
    </row>
    <row r="30" spans="1:6" x14ac:dyDescent="0.55000000000000004">
      <c r="A30" s="58"/>
      <c r="B30" s="58"/>
      <c r="C30" s="5" t="s">
        <v>45</v>
      </c>
      <c r="D30" s="2" t="s">
        <v>20</v>
      </c>
    </row>
    <row r="31" spans="1:6" x14ac:dyDescent="0.55000000000000004">
      <c r="A31" s="58"/>
      <c r="B31" s="58"/>
      <c r="C31" s="5" t="s">
        <v>46</v>
      </c>
      <c r="D31" s="2" t="s">
        <v>20</v>
      </c>
    </row>
    <row r="32" spans="1:6" x14ac:dyDescent="0.55000000000000004">
      <c r="A32" s="59" t="s">
        <v>47</v>
      </c>
      <c r="B32" s="59"/>
      <c r="C32" s="5"/>
    </row>
    <row r="33" spans="1:11" ht="39" x14ac:dyDescent="0.55000000000000004">
      <c r="A33" s="58"/>
      <c r="B33" s="58"/>
      <c r="C33" s="5" t="s">
        <v>48</v>
      </c>
      <c r="D33" s="2" t="s">
        <v>1379</v>
      </c>
    </row>
    <row r="34" spans="1:11" x14ac:dyDescent="0.55000000000000004">
      <c r="A34" s="59" t="s">
        <v>50</v>
      </c>
      <c r="B34" s="59"/>
      <c r="C34" s="5"/>
    </row>
    <row r="35" spans="1:11" x14ac:dyDescent="0.55000000000000004">
      <c r="A35" s="8"/>
      <c r="B35" s="8"/>
      <c r="C35" s="5"/>
      <c r="D35" s="12" t="s">
        <v>51</v>
      </c>
      <c r="E35" s="11" t="s">
        <v>52</v>
      </c>
      <c r="F35" s="11" t="s">
        <v>53</v>
      </c>
      <c r="G35" s="11" t="s">
        <v>54</v>
      </c>
      <c r="H35" s="11" t="s">
        <v>55</v>
      </c>
      <c r="I35" s="11" t="s">
        <v>56</v>
      </c>
      <c r="J35" s="11" t="s">
        <v>57</v>
      </c>
      <c r="K35" s="1" t="s">
        <v>58</v>
      </c>
    </row>
    <row r="36" spans="1:11" x14ac:dyDescent="0.55000000000000004">
      <c r="A36" s="59"/>
      <c r="B36" s="5" t="s">
        <v>59</v>
      </c>
      <c r="C36" s="5"/>
    </row>
    <row r="37" spans="1:11" x14ac:dyDescent="0.55000000000000004">
      <c r="A37" s="59"/>
      <c r="B37" s="5"/>
    </row>
    <row r="38" spans="1:11" x14ac:dyDescent="0.55000000000000004">
      <c r="A38" s="59"/>
      <c r="B38" s="5"/>
    </row>
    <row r="39" spans="1:11" x14ac:dyDescent="0.55000000000000004">
      <c r="A39" s="59"/>
      <c r="B39" s="5"/>
    </row>
    <row r="40" spans="1:11" x14ac:dyDescent="0.55000000000000004">
      <c r="A40" s="59"/>
      <c r="B40" s="5"/>
    </row>
    <row r="41" spans="1:11" x14ac:dyDescent="0.55000000000000004">
      <c r="A41" s="59"/>
      <c r="B41" s="5"/>
      <c r="D41" s="7"/>
      <c r="E41" s="10"/>
    </row>
    <row r="42" spans="1:11" x14ac:dyDescent="0.55000000000000004">
      <c r="A42" s="59"/>
      <c r="B42" s="5"/>
      <c r="D42" s="7"/>
      <c r="E42" s="10"/>
    </row>
    <row r="43" spans="1:11" x14ac:dyDescent="0.55000000000000004">
      <c r="A43" s="59"/>
      <c r="B43" s="5"/>
      <c r="D43" s="7"/>
      <c r="E43" s="10"/>
    </row>
    <row r="44" spans="1:11" x14ac:dyDescent="0.55000000000000004">
      <c r="A44" s="59"/>
      <c r="B44" s="5"/>
      <c r="C44" s="5"/>
      <c r="D44" s="7"/>
      <c r="E44" s="10"/>
    </row>
    <row r="45" spans="1:11" x14ac:dyDescent="0.55000000000000004">
      <c r="A45" s="59"/>
      <c r="B45" s="5" t="s">
        <v>61</v>
      </c>
      <c r="C45" s="5"/>
      <c r="D45" s="7"/>
      <c r="E45" s="10"/>
    </row>
    <row r="46" spans="1:11" x14ac:dyDescent="0.55000000000000004">
      <c r="A46" s="59"/>
      <c r="B46" s="5"/>
      <c r="C46" s="5" t="s">
        <v>1380</v>
      </c>
      <c r="D46" s="7">
        <f>((D23*D75)+(E23*D77))/(D23+E23) - ((D24*D76)+(E24*D78))/(D24+E24)</f>
        <v>1.5517026556148079</v>
      </c>
      <c r="E46" s="10"/>
      <c r="J46" s="1">
        <f>SQRT(($F$23*(J75+(D75-AVERAGE(D75,D77))^2)+$F$23*(J77+(D77-AVERAGE(D75,D77))^2))/($F$23+$F$23))</f>
        <v>1.3425721582097552</v>
      </c>
    </row>
    <row r="47" spans="1:11" x14ac:dyDescent="0.55000000000000004">
      <c r="A47" s="59"/>
      <c r="B47" s="5"/>
      <c r="C47" s="5" t="s">
        <v>1381</v>
      </c>
      <c r="D47" s="7"/>
      <c r="E47" s="10"/>
      <c r="J47" s="10"/>
    </row>
    <row r="48" spans="1:11" x14ac:dyDescent="0.55000000000000004">
      <c r="A48" s="59"/>
      <c r="B48" s="5"/>
      <c r="E48" s="10"/>
    </row>
    <row r="49" spans="1:5" x14ac:dyDescent="0.55000000000000004">
      <c r="A49" s="59"/>
      <c r="B49" s="5"/>
      <c r="E49" s="10"/>
    </row>
    <row r="50" spans="1:5" x14ac:dyDescent="0.55000000000000004">
      <c r="A50" s="59"/>
      <c r="B50" s="5"/>
      <c r="C50" s="5"/>
    </row>
    <row r="51" spans="1:5" x14ac:dyDescent="0.55000000000000004">
      <c r="A51" s="59"/>
      <c r="B51" s="5"/>
      <c r="C51" s="5"/>
    </row>
    <row r="52" spans="1:5" x14ac:dyDescent="0.55000000000000004">
      <c r="A52" s="59"/>
      <c r="B52" s="5"/>
      <c r="C52" s="5"/>
    </row>
    <row r="53" spans="1:5" x14ac:dyDescent="0.55000000000000004">
      <c r="A53" s="59"/>
      <c r="B53" s="5"/>
      <c r="C53" s="5"/>
    </row>
    <row r="54" spans="1:5" x14ac:dyDescent="0.55000000000000004">
      <c r="A54" s="59"/>
      <c r="B54" s="5"/>
      <c r="C54" s="5"/>
    </row>
    <row r="55" spans="1:5" x14ac:dyDescent="0.55000000000000004">
      <c r="A55" s="59"/>
      <c r="B55" s="5"/>
      <c r="C55" s="5"/>
    </row>
    <row r="56" spans="1:5" x14ac:dyDescent="0.55000000000000004">
      <c r="A56" s="59"/>
      <c r="B56" s="5"/>
      <c r="C56" s="5"/>
    </row>
    <row r="57" spans="1:5" x14ac:dyDescent="0.55000000000000004">
      <c r="A57" s="59"/>
      <c r="B57" s="5"/>
      <c r="C57" s="5"/>
      <c r="D57" s="40"/>
      <c r="E57" s="43"/>
    </row>
    <row r="58" spans="1:5" x14ac:dyDescent="0.55000000000000004">
      <c r="A58" s="59"/>
      <c r="B58" s="5"/>
      <c r="C58" s="5"/>
    </row>
    <row r="59" spans="1:5" x14ac:dyDescent="0.55000000000000004">
      <c r="A59" s="59"/>
      <c r="B59" s="5"/>
      <c r="C59" s="5"/>
      <c r="D59" s="40"/>
      <c r="E59" s="43"/>
    </row>
    <row r="60" spans="1:5" x14ac:dyDescent="0.55000000000000004">
      <c r="A60" s="59"/>
      <c r="B60" s="5"/>
      <c r="C60" s="5"/>
      <c r="D60" s="30"/>
      <c r="E60" s="43"/>
    </row>
    <row r="61" spans="1:5" x14ac:dyDescent="0.55000000000000004">
      <c r="A61" s="59"/>
      <c r="B61" s="5"/>
      <c r="C61" s="5"/>
    </row>
    <row r="62" spans="1:5" x14ac:dyDescent="0.55000000000000004">
      <c r="A62" s="59"/>
      <c r="B62" s="5"/>
      <c r="D62" s="40"/>
      <c r="E62" s="43"/>
    </row>
    <row r="63" spans="1:5" x14ac:dyDescent="0.55000000000000004">
      <c r="A63" s="59"/>
      <c r="B63" s="5"/>
      <c r="D63" s="40"/>
      <c r="E63" s="43"/>
    </row>
    <row r="64" spans="1:5" x14ac:dyDescent="0.55000000000000004">
      <c r="A64" s="59"/>
      <c r="B64" s="5"/>
      <c r="D64" s="40"/>
      <c r="E64" s="41"/>
    </row>
    <row r="65" spans="1:10" x14ac:dyDescent="0.55000000000000004">
      <c r="A65" s="59"/>
      <c r="B65" s="5" t="s">
        <v>62</v>
      </c>
      <c r="C65" s="5"/>
      <c r="D65" s="2">
        <f>42*7</f>
        <v>294</v>
      </c>
    </row>
    <row r="66" spans="1:10" x14ac:dyDescent="0.55000000000000004">
      <c r="A66" s="59"/>
      <c r="B66" s="5" t="s">
        <v>63</v>
      </c>
      <c r="C66" s="5"/>
      <c r="D66" s="2" t="s">
        <v>207</v>
      </c>
    </row>
    <row r="67" spans="1:10" ht="39" x14ac:dyDescent="0.55000000000000004">
      <c r="A67" s="59" t="s">
        <v>65</v>
      </c>
      <c r="B67" s="59"/>
      <c r="C67" s="5"/>
      <c r="D67" s="2" t="s">
        <v>1382</v>
      </c>
    </row>
    <row r="68" spans="1:10" x14ac:dyDescent="0.55000000000000004">
      <c r="A68" s="3" t="s">
        <v>67</v>
      </c>
    </row>
    <row r="69" spans="1:10" x14ac:dyDescent="0.55000000000000004">
      <c r="A69" s="1" t="s">
        <v>68</v>
      </c>
      <c r="C69" s="1">
        <v>11</v>
      </c>
      <c r="D69" s="2">
        <v>22</v>
      </c>
    </row>
    <row r="70" spans="1:10" x14ac:dyDescent="0.55000000000000004">
      <c r="B70" s="1" t="s">
        <v>94</v>
      </c>
    </row>
    <row r="71" spans="1:10" x14ac:dyDescent="0.55000000000000004">
      <c r="C71" s="5" t="s">
        <v>1383</v>
      </c>
      <c r="D71" s="7">
        <v>32.6</v>
      </c>
    </row>
    <row r="72" spans="1:10" x14ac:dyDescent="0.55000000000000004">
      <c r="C72" s="5" t="s">
        <v>1384</v>
      </c>
      <c r="D72" s="7">
        <v>38.5</v>
      </c>
    </row>
    <row r="73" spans="1:10" x14ac:dyDescent="0.55000000000000004">
      <c r="C73" s="5" t="s">
        <v>1385</v>
      </c>
      <c r="D73" s="7">
        <v>24.9</v>
      </c>
    </row>
    <row r="74" spans="1:10" x14ac:dyDescent="0.55000000000000004">
      <c r="C74" s="5" t="s">
        <v>1386</v>
      </c>
      <c r="D74" s="7">
        <v>28.8</v>
      </c>
    </row>
    <row r="75" spans="1:10" x14ac:dyDescent="0.55000000000000004">
      <c r="C75" s="5" t="s">
        <v>1387</v>
      </c>
      <c r="D75" s="7">
        <v>4.4000000000000004</v>
      </c>
      <c r="E75" s="10"/>
      <c r="J75" s="1">
        <v>1.9</v>
      </c>
    </row>
    <row r="76" spans="1:10" x14ac:dyDescent="0.55000000000000004">
      <c r="C76" s="5" t="s">
        <v>1388</v>
      </c>
      <c r="D76" s="7">
        <v>2.99503722084367</v>
      </c>
      <c r="E76" s="10"/>
    </row>
    <row r="77" spans="1:10" x14ac:dyDescent="0.55000000000000004">
      <c r="C77" s="5" t="s">
        <v>1389</v>
      </c>
      <c r="D77" s="7">
        <v>4.3</v>
      </c>
      <c r="E77" s="10"/>
      <c r="J77" s="1">
        <v>1.7</v>
      </c>
    </row>
    <row r="78" spans="1:10" x14ac:dyDescent="0.55000000000000004">
      <c r="C78" s="5" t="s">
        <v>1390</v>
      </c>
      <c r="D78" s="10">
        <v>2.6079404466501201</v>
      </c>
      <c r="E78" s="10"/>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AMJ72"/>
  <sheetViews>
    <sheetView topLeftCell="C33" zoomScale="90" zoomScaleNormal="90" workbookViewId="0">
      <selection activeCell="D68" sqref="D68"/>
    </sheetView>
  </sheetViews>
  <sheetFormatPr baseColWidth="10" defaultColWidth="11.41796875" defaultRowHeight="14.4" x14ac:dyDescent="0.55000000000000004"/>
  <cols>
    <col min="1" max="1" width="18.41796875" style="11" customWidth="1"/>
    <col min="2" max="2" width="18.83984375" style="11" customWidth="1"/>
    <col min="3" max="3" width="46.83984375" style="11" customWidth="1"/>
    <col min="4" max="4" width="56.15625" style="12" customWidth="1"/>
    <col min="5" max="5" width="7.41796875" style="11" customWidth="1"/>
    <col min="6" max="1024" width="11.41796875" style="11"/>
  </cols>
  <sheetData>
    <row r="1" spans="1:5" s="1" customFormat="1" ht="12.9" x14ac:dyDescent="0.5">
      <c r="A1" s="3" t="s">
        <v>0</v>
      </c>
      <c r="D1" s="2" t="s">
        <v>269</v>
      </c>
    </row>
    <row r="2" spans="1:5" x14ac:dyDescent="0.55000000000000004">
      <c r="A2" s="60" t="s">
        <v>2</v>
      </c>
      <c r="B2" s="60"/>
      <c r="D2" s="2" t="s">
        <v>1391</v>
      </c>
    </row>
    <row r="3" spans="1:5" ht="26.1" x14ac:dyDescent="0.55000000000000004">
      <c r="A3" s="61"/>
      <c r="B3" s="61"/>
      <c r="C3" s="14" t="s">
        <v>4</v>
      </c>
      <c r="D3" s="12" t="s">
        <v>1392</v>
      </c>
    </row>
    <row r="4" spans="1:5" x14ac:dyDescent="0.55000000000000004">
      <c r="A4" s="61"/>
      <c r="B4" s="61"/>
      <c r="C4" s="14" t="s">
        <v>6</v>
      </c>
      <c r="D4" s="12">
        <v>2009</v>
      </c>
    </row>
    <row r="5" spans="1:5" x14ac:dyDescent="0.55000000000000004">
      <c r="A5" s="61"/>
      <c r="B5" s="61"/>
      <c r="C5" s="14" t="s">
        <v>7</v>
      </c>
      <c r="D5" s="12" t="s">
        <v>1393</v>
      </c>
    </row>
    <row r="6" spans="1:5" x14ac:dyDescent="0.55000000000000004">
      <c r="A6" s="61"/>
      <c r="B6" s="61"/>
      <c r="C6" s="14" t="s">
        <v>9</v>
      </c>
      <c r="D6" s="1" t="s">
        <v>10</v>
      </c>
    </row>
    <row r="7" spans="1:5" x14ac:dyDescent="0.55000000000000004">
      <c r="A7" s="61"/>
      <c r="B7" s="61"/>
      <c r="C7" s="14" t="s">
        <v>11</v>
      </c>
      <c r="D7" s="12" t="s">
        <v>12</v>
      </c>
    </row>
    <row r="8" spans="1:5" x14ac:dyDescent="0.55000000000000004">
      <c r="A8" s="13" t="s">
        <v>13</v>
      </c>
      <c r="B8" s="13"/>
      <c r="C8" s="14"/>
    </row>
    <row r="9" spans="1:5" ht="26.1" x14ac:dyDescent="0.55000000000000004">
      <c r="A9" s="61"/>
      <c r="B9" s="61"/>
      <c r="C9" s="14" t="s">
        <v>14</v>
      </c>
      <c r="D9" s="12" t="s">
        <v>1394</v>
      </c>
    </row>
    <row r="10" spans="1:5" x14ac:dyDescent="0.55000000000000004">
      <c r="A10" s="61"/>
      <c r="B10" s="61"/>
      <c r="C10" s="14" t="s">
        <v>16</v>
      </c>
      <c r="D10" s="12" t="s">
        <v>17</v>
      </c>
      <c r="E10" s="11" t="s">
        <v>18</v>
      </c>
    </row>
    <row r="11" spans="1:5" x14ac:dyDescent="0.55000000000000004">
      <c r="A11" s="61"/>
      <c r="B11" s="61"/>
      <c r="C11" s="14" t="s">
        <v>19</v>
      </c>
      <c r="D11" s="12" t="s">
        <v>20</v>
      </c>
    </row>
    <row r="12" spans="1:5" x14ac:dyDescent="0.55000000000000004">
      <c r="A12" s="61"/>
      <c r="B12" s="61"/>
      <c r="C12" s="14" t="s">
        <v>21</v>
      </c>
      <c r="D12" s="12" t="s">
        <v>20</v>
      </c>
    </row>
    <row r="13" spans="1:5" x14ac:dyDescent="0.55000000000000004">
      <c r="A13" s="61"/>
      <c r="B13" s="61"/>
      <c r="C13" s="14" t="s">
        <v>22</v>
      </c>
      <c r="D13" s="12" t="s">
        <v>121</v>
      </c>
    </row>
    <row r="14" spans="1:5" x14ac:dyDescent="0.55000000000000004">
      <c r="A14" s="60" t="s">
        <v>24</v>
      </c>
      <c r="B14" s="60"/>
      <c r="C14" s="14"/>
    </row>
    <row r="15" spans="1:5" x14ac:dyDescent="0.55000000000000004">
      <c r="A15" s="61"/>
      <c r="B15" s="61"/>
      <c r="C15" s="14" t="s">
        <v>25</v>
      </c>
      <c r="D15" s="12" t="s">
        <v>1395</v>
      </c>
    </row>
    <row r="16" spans="1:5" ht="26.1" x14ac:dyDescent="0.55000000000000004">
      <c r="A16" s="61"/>
      <c r="B16" s="61"/>
      <c r="C16" s="14" t="s">
        <v>27</v>
      </c>
      <c r="D16" s="12" t="s">
        <v>1396</v>
      </c>
    </row>
    <row r="17" spans="1:5" x14ac:dyDescent="0.55000000000000004">
      <c r="A17" s="60" t="s">
        <v>29</v>
      </c>
      <c r="B17" s="60"/>
      <c r="C17" s="14"/>
    </row>
    <row r="18" spans="1:5" ht="26.1" x14ac:dyDescent="0.55000000000000004">
      <c r="A18" s="61"/>
      <c r="B18" s="61"/>
      <c r="C18" s="14" t="s">
        <v>30</v>
      </c>
      <c r="D18" s="12" t="s">
        <v>1397</v>
      </c>
    </row>
    <row r="19" spans="1:5" x14ac:dyDescent="0.55000000000000004">
      <c r="A19" s="61"/>
      <c r="B19" s="61"/>
      <c r="C19" s="14" t="s">
        <v>32</v>
      </c>
      <c r="D19" s="12" t="s">
        <v>1398</v>
      </c>
    </row>
    <row r="20" spans="1:5" x14ac:dyDescent="0.55000000000000004">
      <c r="A20" s="60" t="s">
        <v>34</v>
      </c>
      <c r="B20" s="60"/>
      <c r="C20" s="14"/>
      <c r="D20" s="12" t="s">
        <v>35</v>
      </c>
    </row>
    <row r="21" spans="1:5" x14ac:dyDescent="0.55000000000000004">
      <c r="A21" s="61"/>
      <c r="B21" s="61"/>
      <c r="C21" s="14" t="s">
        <v>36</v>
      </c>
    </row>
    <row r="22" spans="1:5" x14ac:dyDescent="0.55000000000000004">
      <c r="A22" s="61"/>
      <c r="B22" s="61"/>
      <c r="C22" s="14" t="s">
        <v>37</v>
      </c>
      <c r="D22" s="12">
        <v>20</v>
      </c>
    </row>
    <row r="23" spans="1:5" x14ac:dyDescent="0.55000000000000004">
      <c r="A23" s="61"/>
      <c r="B23" s="61"/>
      <c r="C23" s="54" t="s">
        <v>38</v>
      </c>
      <c r="D23" s="12">
        <v>20</v>
      </c>
    </row>
    <row r="24" spans="1:5" x14ac:dyDescent="0.55000000000000004">
      <c r="A24" s="61"/>
      <c r="B24" s="61"/>
      <c r="C24" s="54" t="s">
        <v>39</v>
      </c>
      <c r="D24" s="12">
        <v>0</v>
      </c>
    </row>
    <row r="25" spans="1:5" x14ac:dyDescent="0.55000000000000004">
      <c r="A25" s="61"/>
      <c r="B25" s="61"/>
      <c r="C25" s="14" t="s">
        <v>40</v>
      </c>
      <c r="D25" s="12">
        <f>13/D23</f>
        <v>0.65</v>
      </c>
    </row>
    <row r="26" spans="1:5" x14ac:dyDescent="0.55000000000000004">
      <c r="A26" s="61"/>
      <c r="B26" s="61"/>
      <c r="C26" s="14" t="s">
        <v>41</v>
      </c>
    </row>
    <row r="27" spans="1:5" x14ac:dyDescent="0.55000000000000004">
      <c r="A27" s="61"/>
      <c r="B27" s="61"/>
      <c r="C27" s="14" t="s">
        <v>42</v>
      </c>
    </row>
    <row r="28" spans="1:5" x14ac:dyDescent="0.55000000000000004">
      <c r="A28" s="61"/>
      <c r="B28" s="61"/>
      <c r="C28" s="14" t="s">
        <v>43</v>
      </c>
      <c r="D28" s="2">
        <v>61</v>
      </c>
      <c r="E28" s="1"/>
    </row>
    <row r="29" spans="1:5" x14ac:dyDescent="0.55000000000000004">
      <c r="A29" s="61"/>
      <c r="B29" s="61"/>
      <c r="C29" s="14" t="s">
        <v>44</v>
      </c>
      <c r="D29" s="2">
        <v>2.5</v>
      </c>
      <c r="E29" s="1"/>
    </row>
    <row r="30" spans="1:5" x14ac:dyDescent="0.55000000000000004">
      <c r="A30" s="61"/>
      <c r="B30" s="61"/>
      <c r="C30" s="14" t="s">
        <v>45</v>
      </c>
      <c r="D30" s="2">
        <v>24</v>
      </c>
      <c r="E30" s="1" t="s">
        <v>1399</v>
      </c>
    </row>
    <row r="31" spans="1:5" x14ac:dyDescent="0.55000000000000004">
      <c r="A31" s="61"/>
      <c r="B31" s="61"/>
      <c r="C31" s="14" t="s">
        <v>46</v>
      </c>
      <c r="D31" s="2">
        <v>6.52</v>
      </c>
      <c r="E31" s="1" t="s">
        <v>1400</v>
      </c>
    </row>
    <row r="32" spans="1:5" x14ac:dyDescent="0.55000000000000004">
      <c r="A32" s="60" t="s">
        <v>47</v>
      </c>
      <c r="B32" s="60"/>
      <c r="C32" s="14"/>
    </row>
    <row r="33" spans="1:10" ht="39" x14ac:dyDescent="0.55000000000000004">
      <c r="A33" s="61"/>
      <c r="B33" s="61"/>
      <c r="C33" s="14" t="s">
        <v>48</v>
      </c>
      <c r="D33" s="12" t="s">
        <v>1401</v>
      </c>
    </row>
    <row r="34" spans="1:10" x14ac:dyDescent="0.55000000000000004">
      <c r="A34" s="60"/>
      <c r="B34" s="60"/>
      <c r="C34" s="14"/>
    </row>
    <row r="35" spans="1:10" x14ac:dyDescent="0.55000000000000004">
      <c r="A35" s="60" t="s">
        <v>50</v>
      </c>
      <c r="B35" s="60"/>
      <c r="C35" s="14"/>
    </row>
    <row r="36" spans="1:10" x14ac:dyDescent="0.55000000000000004">
      <c r="A36" s="36"/>
      <c r="B36" s="36"/>
      <c r="C36" s="14"/>
    </row>
    <row r="37" spans="1:10" x14ac:dyDescent="0.55000000000000004">
      <c r="A37" s="60"/>
      <c r="B37" s="14" t="s">
        <v>59</v>
      </c>
      <c r="C37" s="14"/>
      <c r="D37" s="12" t="s">
        <v>51</v>
      </c>
      <c r="E37" s="11" t="s">
        <v>52</v>
      </c>
      <c r="F37" s="11" t="s">
        <v>53</v>
      </c>
      <c r="G37" s="11" t="s">
        <v>54</v>
      </c>
      <c r="H37" s="11" t="s">
        <v>55</v>
      </c>
      <c r="I37" s="11" t="s">
        <v>56</v>
      </c>
      <c r="J37" s="11" t="s">
        <v>57</v>
      </c>
    </row>
    <row r="38" spans="1:10" x14ac:dyDescent="0.55000000000000004">
      <c r="A38" s="60"/>
      <c r="B38" s="14"/>
      <c r="C38" s="14"/>
    </row>
    <row r="39" spans="1:10" x14ac:dyDescent="0.55000000000000004">
      <c r="A39" s="60"/>
      <c r="B39" s="14"/>
      <c r="C39" s="14"/>
    </row>
    <row r="40" spans="1:10" x14ac:dyDescent="0.55000000000000004">
      <c r="A40" s="60"/>
      <c r="B40" s="14"/>
      <c r="C40" s="14"/>
    </row>
    <row r="41" spans="1:10" x14ac:dyDescent="0.55000000000000004">
      <c r="A41" s="60"/>
      <c r="B41" s="14"/>
      <c r="C41" s="14"/>
    </row>
    <row r="42" spans="1:10" x14ac:dyDescent="0.55000000000000004">
      <c r="A42" s="60"/>
      <c r="B42" s="14"/>
      <c r="C42" s="14"/>
    </row>
    <row r="43" spans="1:10" x14ac:dyDescent="0.55000000000000004">
      <c r="A43" s="60"/>
      <c r="B43" s="14"/>
      <c r="C43" s="14"/>
    </row>
    <row r="44" spans="1:10" x14ac:dyDescent="0.55000000000000004">
      <c r="A44" s="60"/>
      <c r="B44" s="14"/>
      <c r="C44" s="14"/>
    </row>
    <row r="45" spans="1:10" x14ac:dyDescent="0.55000000000000004">
      <c r="A45" s="60"/>
      <c r="B45" s="14" t="s">
        <v>61</v>
      </c>
      <c r="C45" s="14"/>
    </row>
    <row r="46" spans="1:10" x14ac:dyDescent="0.55000000000000004">
      <c r="A46" s="60"/>
      <c r="B46" s="14"/>
      <c r="C46" s="14" t="s">
        <v>1402</v>
      </c>
      <c r="D46" s="16">
        <v>270.38</v>
      </c>
      <c r="E46" s="17">
        <v>85.82</v>
      </c>
    </row>
    <row r="47" spans="1:10" x14ac:dyDescent="0.55000000000000004">
      <c r="A47" s="60"/>
      <c r="B47" s="14"/>
      <c r="C47" s="14" t="s">
        <v>1403</v>
      </c>
      <c r="D47" s="16">
        <v>220.833333333333</v>
      </c>
      <c r="E47" s="17">
        <v>105.208333333333</v>
      </c>
    </row>
    <row r="48" spans="1:10" x14ac:dyDescent="0.55000000000000004">
      <c r="A48" s="60"/>
      <c r="B48" s="14"/>
      <c r="C48" s="14"/>
      <c r="D48" s="16"/>
      <c r="E48" s="17"/>
    </row>
    <row r="49" spans="1:5" x14ac:dyDescent="0.55000000000000004">
      <c r="A49" s="60"/>
      <c r="B49" s="14"/>
      <c r="C49" s="14"/>
      <c r="D49" s="16"/>
      <c r="E49" s="17"/>
    </row>
    <row r="50" spans="1:5" x14ac:dyDescent="0.55000000000000004">
      <c r="A50" s="60"/>
      <c r="B50" s="14"/>
    </row>
    <row r="51" spans="1:5" x14ac:dyDescent="0.55000000000000004">
      <c r="A51" s="60"/>
      <c r="B51" s="14"/>
    </row>
    <row r="52" spans="1:5" x14ac:dyDescent="0.55000000000000004">
      <c r="A52" s="60"/>
    </row>
    <row r="53" spans="1:5" x14ac:dyDescent="0.55000000000000004">
      <c r="A53" s="60"/>
      <c r="B53" s="14"/>
      <c r="C53" s="14"/>
      <c r="D53" s="16"/>
      <c r="E53" s="17"/>
    </row>
    <row r="54" spans="1:5" x14ac:dyDescent="0.55000000000000004">
      <c r="A54" s="60"/>
      <c r="B54" s="14"/>
      <c r="C54" s="14"/>
      <c r="D54" s="16"/>
      <c r="E54" s="17"/>
    </row>
    <row r="55" spans="1:5" x14ac:dyDescent="0.55000000000000004">
      <c r="A55" s="60"/>
      <c r="B55" s="14"/>
      <c r="C55" s="14"/>
      <c r="D55" s="16"/>
      <c r="E55" s="17"/>
    </row>
    <row r="56" spans="1:5" x14ac:dyDescent="0.55000000000000004">
      <c r="A56" s="60"/>
      <c r="B56" s="14"/>
      <c r="C56" s="14"/>
      <c r="D56" s="16"/>
      <c r="E56" s="17"/>
    </row>
    <row r="57" spans="1:5" x14ac:dyDescent="0.55000000000000004">
      <c r="A57" s="60"/>
      <c r="B57" s="14"/>
      <c r="C57" s="14"/>
      <c r="D57" s="16"/>
      <c r="E57" s="17"/>
    </row>
    <row r="58" spans="1:5" x14ac:dyDescent="0.55000000000000004">
      <c r="A58" s="60"/>
      <c r="B58" s="14"/>
      <c r="C58" s="14"/>
      <c r="D58" s="16"/>
      <c r="E58" s="17"/>
    </row>
    <row r="59" spans="1:5" x14ac:dyDescent="0.55000000000000004">
      <c r="A59" s="60"/>
      <c r="B59" s="14"/>
      <c r="C59" s="14"/>
      <c r="D59" s="16"/>
      <c r="E59" s="17"/>
    </row>
    <row r="60" spans="1:5" x14ac:dyDescent="0.55000000000000004">
      <c r="A60" s="60"/>
      <c r="B60" s="14"/>
      <c r="C60" s="14"/>
      <c r="D60" s="16"/>
      <c r="E60" s="17"/>
    </row>
    <row r="61" spans="1:5" x14ac:dyDescent="0.55000000000000004">
      <c r="A61" s="60"/>
      <c r="B61" s="14"/>
      <c r="C61" s="14"/>
      <c r="D61" s="16"/>
      <c r="E61" s="17"/>
    </row>
    <row r="62" spans="1:5" x14ac:dyDescent="0.55000000000000004">
      <c r="A62" s="60"/>
      <c r="B62" s="14"/>
      <c r="C62" s="14"/>
      <c r="D62" s="16"/>
      <c r="E62" s="17"/>
    </row>
    <row r="63" spans="1:5" x14ac:dyDescent="0.55000000000000004">
      <c r="A63" s="60"/>
      <c r="B63" s="14"/>
      <c r="C63" s="14"/>
    </row>
    <row r="64" spans="1:5" x14ac:dyDescent="0.55000000000000004">
      <c r="A64" s="60"/>
      <c r="B64" s="14"/>
      <c r="C64" s="14"/>
    </row>
    <row r="65" spans="1:6" x14ac:dyDescent="0.55000000000000004">
      <c r="A65" s="60"/>
      <c r="B65" s="14" t="s">
        <v>62</v>
      </c>
      <c r="D65" s="14">
        <f>1/1440*30</f>
        <v>2.0833333333333336E-2</v>
      </c>
    </row>
    <row r="66" spans="1:6" x14ac:dyDescent="0.55000000000000004">
      <c r="A66" s="60"/>
      <c r="B66" s="14" t="s">
        <v>63</v>
      </c>
      <c r="D66" s="14" t="s">
        <v>1404</v>
      </c>
      <c r="E66" s="11" t="s">
        <v>1405</v>
      </c>
    </row>
    <row r="67" spans="1:6" ht="39" x14ac:dyDescent="0.55000000000000004">
      <c r="A67" s="60" t="s">
        <v>65</v>
      </c>
      <c r="B67" s="60"/>
      <c r="D67" s="2" t="s">
        <v>1406</v>
      </c>
    </row>
    <row r="68" spans="1:6" x14ac:dyDescent="0.55000000000000004">
      <c r="A68" s="34" t="s">
        <v>67</v>
      </c>
    </row>
    <row r="69" spans="1:6" x14ac:dyDescent="0.55000000000000004">
      <c r="A69" s="11" t="s">
        <v>68</v>
      </c>
      <c r="C69" s="11">
        <v>12</v>
      </c>
      <c r="D69" s="12">
        <v>22</v>
      </c>
      <c r="E69" s="11">
        <v>17</v>
      </c>
      <c r="F69" s="11">
        <v>22</v>
      </c>
    </row>
    <row r="70" spans="1:6" x14ac:dyDescent="0.55000000000000004">
      <c r="B70" s="11" t="s">
        <v>952</v>
      </c>
    </row>
    <row r="71" spans="1:6" x14ac:dyDescent="0.55000000000000004">
      <c r="C71" s="14" t="s">
        <v>1407</v>
      </c>
      <c r="D71" s="16">
        <v>184.37499999999901</v>
      </c>
      <c r="E71" s="17">
        <v>66.666666666666998</v>
      </c>
    </row>
    <row r="72" spans="1:6" x14ac:dyDescent="0.55000000000000004">
      <c r="C72" s="14" t="s">
        <v>1408</v>
      </c>
      <c r="D72" s="16">
        <v>204.166666666666</v>
      </c>
      <c r="E72" s="17">
        <v>80.208333333333002</v>
      </c>
    </row>
  </sheetData>
  <mergeCells count="15">
    <mergeCell ref="A33:B33"/>
    <mergeCell ref="A34:B34"/>
    <mergeCell ref="A35:B35"/>
    <mergeCell ref="A37:A66"/>
    <mergeCell ref="A67:B67"/>
    <mergeCell ref="A17:B17"/>
    <mergeCell ref="A18:B19"/>
    <mergeCell ref="A20:B20"/>
    <mergeCell ref="A21:B31"/>
    <mergeCell ref="A32:B32"/>
    <mergeCell ref="A2:B2"/>
    <mergeCell ref="A3:B7"/>
    <mergeCell ref="A9:B13"/>
    <mergeCell ref="A14:B14"/>
    <mergeCell ref="A15:B16"/>
  </mergeCells>
  <pageMargins left="0.7" right="0.7" top="0.78749999999999998" bottom="0.78749999999999998" header="0.511811023622047" footer="0.511811023622047"/>
  <pageSetup paperSize="9" orientation="portrait" horizontalDpi="300" verticalDpi="300"/>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AMJ72"/>
  <sheetViews>
    <sheetView topLeftCell="C33" zoomScale="90" zoomScaleNormal="90" workbookViewId="0">
      <selection activeCell="D68" sqref="D68"/>
    </sheetView>
  </sheetViews>
  <sheetFormatPr baseColWidth="10" defaultColWidth="11.41796875" defaultRowHeight="14.4" x14ac:dyDescent="0.55000000000000004"/>
  <cols>
    <col min="1" max="1" width="18.41796875" style="11" customWidth="1"/>
    <col min="2" max="2" width="18.83984375" style="11" customWidth="1"/>
    <col min="3" max="3" width="46.83984375" style="11" customWidth="1"/>
    <col min="4" max="4" width="56.15625" style="12" customWidth="1"/>
    <col min="5" max="5" width="7.41796875" style="11" customWidth="1"/>
    <col min="6" max="1024" width="11.41796875" style="11"/>
  </cols>
  <sheetData>
    <row r="1" spans="1:5" s="1" customFormat="1" ht="12.9" x14ac:dyDescent="0.5">
      <c r="A1" s="3" t="s">
        <v>0</v>
      </c>
      <c r="D1" s="2" t="s">
        <v>269</v>
      </c>
    </row>
    <row r="2" spans="1:5" x14ac:dyDescent="0.55000000000000004">
      <c r="A2" s="60" t="s">
        <v>2</v>
      </c>
      <c r="B2" s="60"/>
      <c r="D2" s="2" t="s">
        <v>1391</v>
      </c>
    </row>
    <row r="3" spans="1:5" ht="26.1" x14ac:dyDescent="0.55000000000000004">
      <c r="A3" s="61"/>
      <c r="B3" s="61"/>
      <c r="C3" s="14" t="s">
        <v>4</v>
      </c>
      <c r="D3" s="12" t="s">
        <v>1392</v>
      </c>
    </row>
    <row r="4" spans="1:5" x14ac:dyDescent="0.55000000000000004">
      <c r="A4" s="61"/>
      <c r="B4" s="61"/>
      <c r="C4" s="14" t="s">
        <v>6</v>
      </c>
      <c r="D4" s="12">
        <v>2009</v>
      </c>
    </row>
    <row r="5" spans="1:5" x14ac:dyDescent="0.55000000000000004">
      <c r="A5" s="61"/>
      <c r="B5" s="61"/>
      <c r="C5" s="14" t="s">
        <v>7</v>
      </c>
      <c r="D5" s="12" t="s">
        <v>1393</v>
      </c>
    </row>
    <row r="6" spans="1:5" x14ac:dyDescent="0.55000000000000004">
      <c r="A6" s="61"/>
      <c r="B6" s="61"/>
      <c r="C6" s="14" t="s">
        <v>9</v>
      </c>
      <c r="D6" s="1" t="s">
        <v>10</v>
      </c>
    </row>
    <row r="7" spans="1:5" x14ac:dyDescent="0.55000000000000004">
      <c r="A7" s="61"/>
      <c r="B7" s="61"/>
      <c r="C7" s="14" t="s">
        <v>11</v>
      </c>
      <c r="D7" s="12" t="s">
        <v>12</v>
      </c>
    </row>
    <row r="8" spans="1:5" x14ac:dyDescent="0.55000000000000004">
      <c r="A8" s="13" t="s">
        <v>13</v>
      </c>
      <c r="B8" s="13"/>
      <c r="C8" s="14"/>
    </row>
    <row r="9" spans="1:5" ht="26.1" x14ac:dyDescent="0.55000000000000004">
      <c r="A9" s="61"/>
      <c r="B9" s="61"/>
      <c r="C9" s="14" t="s">
        <v>14</v>
      </c>
      <c r="D9" s="12" t="s">
        <v>1394</v>
      </c>
    </row>
    <row r="10" spans="1:5" x14ac:dyDescent="0.55000000000000004">
      <c r="A10" s="61"/>
      <c r="B10" s="61"/>
      <c r="C10" s="14" t="s">
        <v>16</v>
      </c>
      <c r="D10" s="12" t="s">
        <v>17</v>
      </c>
      <c r="E10" s="11" t="s">
        <v>18</v>
      </c>
    </row>
    <row r="11" spans="1:5" x14ac:dyDescent="0.55000000000000004">
      <c r="A11" s="61"/>
      <c r="B11" s="61"/>
      <c r="C11" s="14" t="s">
        <v>19</v>
      </c>
      <c r="D11" s="12" t="s">
        <v>20</v>
      </c>
    </row>
    <row r="12" spans="1:5" x14ac:dyDescent="0.55000000000000004">
      <c r="A12" s="61"/>
      <c r="B12" s="61"/>
      <c r="C12" s="14" t="s">
        <v>21</v>
      </c>
      <c r="D12" s="12" t="s">
        <v>20</v>
      </c>
    </row>
    <row r="13" spans="1:5" x14ac:dyDescent="0.55000000000000004">
      <c r="A13" s="61"/>
      <c r="B13" s="61"/>
      <c r="C13" s="14" t="s">
        <v>22</v>
      </c>
      <c r="D13" s="12" t="s">
        <v>121</v>
      </c>
    </row>
    <row r="14" spans="1:5" x14ac:dyDescent="0.55000000000000004">
      <c r="A14" s="60" t="s">
        <v>24</v>
      </c>
      <c r="B14" s="60"/>
      <c r="C14" s="14"/>
    </row>
    <row r="15" spans="1:5" x14ac:dyDescent="0.55000000000000004">
      <c r="A15" s="61"/>
      <c r="B15" s="61"/>
      <c r="C15" s="14" t="s">
        <v>25</v>
      </c>
      <c r="D15" s="12" t="s">
        <v>1395</v>
      </c>
    </row>
    <row r="16" spans="1:5" ht="26.1" x14ac:dyDescent="0.55000000000000004">
      <c r="A16" s="61"/>
      <c r="B16" s="61"/>
      <c r="C16" s="14" t="s">
        <v>27</v>
      </c>
      <c r="D16" s="12" t="s">
        <v>1396</v>
      </c>
    </row>
    <row r="17" spans="1:5" x14ac:dyDescent="0.55000000000000004">
      <c r="A17" s="60" t="s">
        <v>29</v>
      </c>
      <c r="B17" s="60"/>
      <c r="C17" s="14"/>
    </row>
    <row r="18" spans="1:5" ht="26.1" x14ac:dyDescent="0.55000000000000004">
      <c r="A18" s="61"/>
      <c r="B18" s="61"/>
      <c r="C18" s="14" t="s">
        <v>30</v>
      </c>
      <c r="D18" s="12" t="s">
        <v>1397</v>
      </c>
    </row>
    <row r="19" spans="1:5" x14ac:dyDescent="0.55000000000000004">
      <c r="A19" s="61"/>
      <c r="B19" s="61"/>
      <c r="C19" s="14" t="s">
        <v>32</v>
      </c>
      <c r="D19" s="12" t="s">
        <v>1398</v>
      </c>
    </row>
    <row r="20" spans="1:5" x14ac:dyDescent="0.55000000000000004">
      <c r="A20" s="60" t="s">
        <v>34</v>
      </c>
      <c r="B20" s="60"/>
      <c r="C20" s="14"/>
      <c r="D20" s="12" t="s">
        <v>35</v>
      </c>
    </row>
    <row r="21" spans="1:5" x14ac:dyDescent="0.55000000000000004">
      <c r="A21" s="61"/>
      <c r="B21" s="61"/>
      <c r="C21" s="14" t="s">
        <v>36</v>
      </c>
    </row>
    <row r="22" spans="1:5" x14ac:dyDescent="0.55000000000000004">
      <c r="A22" s="61"/>
      <c r="B22" s="61"/>
      <c r="C22" s="14" t="s">
        <v>37</v>
      </c>
      <c r="D22" s="12">
        <v>20</v>
      </c>
    </row>
    <row r="23" spans="1:5" x14ac:dyDescent="0.55000000000000004">
      <c r="A23" s="61"/>
      <c r="B23" s="61"/>
      <c r="C23" s="54" t="s">
        <v>38</v>
      </c>
      <c r="D23" s="12">
        <v>20</v>
      </c>
    </row>
    <row r="24" spans="1:5" x14ac:dyDescent="0.55000000000000004">
      <c r="A24" s="61"/>
      <c r="B24" s="61"/>
      <c r="C24" s="54" t="s">
        <v>39</v>
      </c>
      <c r="D24" s="12">
        <v>0</v>
      </c>
    </row>
    <row r="25" spans="1:5" x14ac:dyDescent="0.55000000000000004">
      <c r="A25" s="61"/>
      <c r="B25" s="61"/>
      <c r="C25" s="14" t="s">
        <v>40</v>
      </c>
      <c r="D25" s="12">
        <f>13/D23</f>
        <v>0.65</v>
      </c>
    </row>
    <row r="26" spans="1:5" x14ac:dyDescent="0.55000000000000004">
      <c r="A26" s="61"/>
      <c r="B26" s="61"/>
      <c r="C26" s="14" t="s">
        <v>41</v>
      </c>
    </row>
    <row r="27" spans="1:5" x14ac:dyDescent="0.55000000000000004">
      <c r="A27" s="61"/>
      <c r="B27" s="61"/>
      <c r="C27" s="14" t="s">
        <v>42</v>
      </c>
    </row>
    <row r="28" spans="1:5" x14ac:dyDescent="0.55000000000000004">
      <c r="A28" s="61"/>
      <c r="B28" s="61"/>
      <c r="C28" s="14" t="s">
        <v>43</v>
      </c>
      <c r="D28" s="2">
        <v>61</v>
      </c>
      <c r="E28" s="1"/>
    </row>
    <row r="29" spans="1:5" x14ac:dyDescent="0.55000000000000004">
      <c r="A29" s="61"/>
      <c r="B29" s="61"/>
      <c r="C29" s="14" t="s">
        <v>44</v>
      </c>
      <c r="D29" s="2">
        <v>2.5</v>
      </c>
      <c r="E29" s="1"/>
    </row>
    <row r="30" spans="1:5" x14ac:dyDescent="0.55000000000000004">
      <c r="A30" s="61"/>
      <c r="B30" s="61"/>
      <c r="C30" s="14" t="s">
        <v>45</v>
      </c>
      <c r="D30" s="2">
        <v>24</v>
      </c>
      <c r="E30" s="1" t="s">
        <v>1399</v>
      </c>
    </row>
    <row r="31" spans="1:5" x14ac:dyDescent="0.55000000000000004">
      <c r="A31" s="61"/>
      <c r="B31" s="61"/>
      <c r="C31" s="14" t="s">
        <v>46</v>
      </c>
      <c r="D31" s="2">
        <v>6.52</v>
      </c>
      <c r="E31" s="1" t="s">
        <v>1400</v>
      </c>
    </row>
    <row r="32" spans="1:5" x14ac:dyDescent="0.55000000000000004">
      <c r="A32" s="60" t="s">
        <v>47</v>
      </c>
      <c r="B32" s="60"/>
      <c r="C32" s="14"/>
    </row>
    <row r="33" spans="1:10" ht="39" x14ac:dyDescent="0.55000000000000004">
      <c r="A33" s="61"/>
      <c r="B33" s="61"/>
      <c r="C33" s="14" t="s">
        <v>48</v>
      </c>
      <c r="D33" s="12" t="s">
        <v>1401</v>
      </c>
    </row>
    <row r="34" spans="1:10" x14ac:dyDescent="0.55000000000000004">
      <c r="A34" s="60"/>
      <c r="B34" s="60"/>
      <c r="C34" s="14"/>
    </row>
    <row r="35" spans="1:10" x14ac:dyDescent="0.55000000000000004">
      <c r="A35" s="60" t="s">
        <v>50</v>
      </c>
      <c r="B35" s="60"/>
      <c r="C35" s="14"/>
    </row>
    <row r="36" spans="1:10" x14ac:dyDescent="0.55000000000000004">
      <c r="A36" s="36"/>
      <c r="B36" s="36"/>
      <c r="C36" s="14"/>
    </row>
    <row r="37" spans="1:10" x14ac:dyDescent="0.55000000000000004">
      <c r="A37" s="60"/>
      <c r="B37" s="14" t="s">
        <v>59</v>
      </c>
      <c r="C37" s="14"/>
      <c r="D37" s="12" t="s">
        <v>51</v>
      </c>
      <c r="E37" s="11" t="s">
        <v>52</v>
      </c>
      <c r="F37" s="11" t="s">
        <v>53</v>
      </c>
      <c r="G37" s="11" t="s">
        <v>54</v>
      </c>
      <c r="H37" s="11" t="s">
        <v>55</v>
      </c>
      <c r="I37" s="11" t="s">
        <v>56</v>
      </c>
      <c r="J37" s="11" t="s">
        <v>57</v>
      </c>
    </row>
    <row r="38" spans="1:10" x14ac:dyDescent="0.55000000000000004">
      <c r="A38" s="60"/>
      <c r="B38" s="14"/>
      <c r="C38" s="14"/>
    </row>
    <row r="39" spans="1:10" x14ac:dyDescent="0.55000000000000004">
      <c r="A39" s="60"/>
      <c r="B39" s="14"/>
      <c r="C39" s="14"/>
    </row>
    <row r="40" spans="1:10" x14ac:dyDescent="0.55000000000000004">
      <c r="A40" s="60"/>
      <c r="B40" s="14"/>
      <c r="C40" s="14"/>
    </row>
    <row r="41" spans="1:10" x14ac:dyDescent="0.55000000000000004">
      <c r="A41" s="60"/>
      <c r="B41" s="14"/>
      <c r="C41" s="14"/>
    </row>
    <row r="42" spans="1:10" x14ac:dyDescent="0.55000000000000004">
      <c r="A42" s="60"/>
      <c r="B42" s="14"/>
      <c r="C42" s="14"/>
    </row>
    <row r="43" spans="1:10" x14ac:dyDescent="0.55000000000000004">
      <c r="A43" s="60"/>
      <c r="B43" s="14"/>
      <c r="C43" s="14"/>
    </row>
    <row r="44" spans="1:10" x14ac:dyDescent="0.55000000000000004">
      <c r="A44" s="60"/>
      <c r="B44" s="14"/>
      <c r="C44" s="14"/>
    </row>
    <row r="45" spans="1:10" x14ac:dyDescent="0.55000000000000004">
      <c r="A45" s="60"/>
      <c r="B45" s="14" t="s">
        <v>61</v>
      </c>
      <c r="C45" s="14"/>
    </row>
    <row r="46" spans="1:10" x14ac:dyDescent="0.55000000000000004">
      <c r="A46" s="60"/>
      <c r="B46" s="14"/>
      <c r="C46" s="14" t="s">
        <v>1409</v>
      </c>
      <c r="D46" s="16">
        <v>270.38</v>
      </c>
      <c r="E46" s="17">
        <v>85.82</v>
      </c>
    </row>
    <row r="47" spans="1:10" x14ac:dyDescent="0.55000000000000004">
      <c r="A47" s="60"/>
      <c r="B47" s="14"/>
      <c r="C47" s="14" t="s">
        <v>1410</v>
      </c>
      <c r="D47" s="16">
        <v>237.5</v>
      </c>
      <c r="E47" s="17">
        <v>105.208333333333</v>
      </c>
    </row>
    <row r="48" spans="1:10" x14ac:dyDescent="0.55000000000000004">
      <c r="A48" s="60"/>
      <c r="B48" s="14"/>
    </row>
    <row r="49" spans="1:5" x14ac:dyDescent="0.55000000000000004">
      <c r="A49" s="60"/>
      <c r="B49" s="14"/>
      <c r="C49" s="14"/>
      <c r="D49" s="16"/>
      <c r="E49" s="17"/>
    </row>
    <row r="50" spans="1:5" x14ac:dyDescent="0.55000000000000004">
      <c r="A50" s="60"/>
      <c r="B50" s="14"/>
    </row>
    <row r="51" spans="1:5" x14ac:dyDescent="0.55000000000000004">
      <c r="A51" s="60"/>
      <c r="B51" s="14"/>
    </row>
    <row r="52" spans="1:5" x14ac:dyDescent="0.55000000000000004">
      <c r="A52" s="60"/>
    </row>
    <row r="53" spans="1:5" x14ac:dyDescent="0.55000000000000004">
      <c r="A53" s="60"/>
      <c r="B53" s="14"/>
      <c r="C53" s="14"/>
      <c r="D53" s="16"/>
      <c r="E53" s="17"/>
    </row>
    <row r="54" spans="1:5" x14ac:dyDescent="0.55000000000000004">
      <c r="A54" s="60"/>
      <c r="B54" s="14"/>
      <c r="C54" s="14"/>
      <c r="D54" s="16"/>
      <c r="E54" s="17"/>
    </row>
    <row r="55" spans="1:5" x14ac:dyDescent="0.55000000000000004">
      <c r="A55" s="60"/>
      <c r="B55" s="14"/>
      <c r="C55" s="14"/>
      <c r="D55" s="16"/>
      <c r="E55" s="17"/>
    </row>
    <row r="56" spans="1:5" x14ac:dyDescent="0.55000000000000004">
      <c r="A56" s="60"/>
      <c r="B56" s="14"/>
      <c r="C56" s="14"/>
      <c r="D56" s="16"/>
      <c r="E56" s="17"/>
    </row>
    <row r="57" spans="1:5" x14ac:dyDescent="0.55000000000000004">
      <c r="A57" s="60"/>
      <c r="B57" s="14"/>
      <c r="C57" s="14"/>
      <c r="D57" s="16"/>
      <c r="E57" s="17"/>
    </row>
    <row r="58" spans="1:5" x14ac:dyDescent="0.55000000000000004">
      <c r="A58" s="60"/>
      <c r="B58" s="14"/>
      <c r="C58" s="14"/>
      <c r="D58" s="16"/>
      <c r="E58" s="17"/>
    </row>
    <row r="59" spans="1:5" x14ac:dyDescent="0.55000000000000004">
      <c r="A59" s="60"/>
      <c r="B59" s="14"/>
      <c r="C59" s="14"/>
      <c r="D59" s="16"/>
      <c r="E59" s="17"/>
    </row>
    <row r="60" spans="1:5" x14ac:dyDescent="0.55000000000000004">
      <c r="A60" s="60"/>
      <c r="B60" s="14"/>
      <c r="C60" s="14"/>
      <c r="D60" s="16"/>
      <c r="E60" s="17"/>
    </row>
    <row r="61" spans="1:5" x14ac:dyDescent="0.55000000000000004">
      <c r="A61" s="60"/>
      <c r="B61" s="14"/>
      <c r="C61" s="14"/>
      <c r="D61" s="16"/>
      <c r="E61" s="17"/>
    </row>
    <row r="62" spans="1:5" x14ac:dyDescent="0.55000000000000004">
      <c r="A62" s="60"/>
      <c r="B62" s="14"/>
      <c r="C62" s="14"/>
      <c r="D62" s="16"/>
      <c r="E62" s="17"/>
    </row>
    <row r="63" spans="1:5" x14ac:dyDescent="0.55000000000000004">
      <c r="A63" s="60"/>
      <c r="B63" s="14"/>
      <c r="C63" s="14"/>
    </row>
    <row r="64" spans="1:5" x14ac:dyDescent="0.55000000000000004">
      <c r="A64" s="60"/>
      <c r="B64" s="14"/>
      <c r="C64" s="14"/>
    </row>
    <row r="65" spans="1:6" x14ac:dyDescent="0.55000000000000004">
      <c r="A65" s="60"/>
      <c r="B65" s="14" t="s">
        <v>62</v>
      </c>
      <c r="D65" s="14">
        <f>1/1440*30</f>
        <v>2.0833333333333336E-2</v>
      </c>
    </row>
    <row r="66" spans="1:6" x14ac:dyDescent="0.55000000000000004">
      <c r="A66" s="60"/>
      <c r="B66" s="14" t="s">
        <v>63</v>
      </c>
      <c r="D66" s="14" t="s">
        <v>1404</v>
      </c>
      <c r="E66" s="11" t="s">
        <v>1405</v>
      </c>
    </row>
    <row r="67" spans="1:6" ht="39" x14ac:dyDescent="0.55000000000000004">
      <c r="A67" s="60" t="s">
        <v>65</v>
      </c>
      <c r="B67" s="60"/>
      <c r="D67" s="2" t="s">
        <v>1406</v>
      </c>
    </row>
    <row r="68" spans="1:6" x14ac:dyDescent="0.55000000000000004">
      <c r="A68" s="34" t="s">
        <v>67</v>
      </c>
    </row>
    <row r="69" spans="1:6" x14ac:dyDescent="0.55000000000000004">
      <c r="A69" s="11" t="s">
        <v>68</v>
      </c>
      <c r="C69" s="11">
        <v>12</v>
      </c>
      <c r="D69" s="12">
        <v>22</v>
      </c>
      <c r="E69" s="11">
        <v>17</v>
      </c>
      <c r="F69" s="11">
        <v>22</v>
      </c>
    </row>
    <row r="70" spans="1:6" x14ac:dyDescent="0.55000000000000004">
      <c r="B70" s="11" t="s">
        <v>952</v>
      </c>
    </row>
    <row r="71" spans="1:6" x14ac:dyDescent="0.55000000000000004">
      <c r="C71" s="14" t="s">
        <v>1407</v>
      </c>
      <c r="D71" s="16">
        <v>184.37499999999901</v>
      </c>
      <c r="E71" s="17">
        <v>66.666666666666998</v>
      </c>
    </row>
    <row r="72" spans="1:6" x14ac:dyDescent="0.55000000000000004">
      <c r="C72" s="14" t="s">
        <v>1408</v>
      </c>
      <c r="D72" s="16">
        <v>204.166666666666</v>
      </c>
      <c r="E72" s="17">
        <v>80.208333333333002</v>
      </c>
    </row>
  </sheetData>
  <mergeCells count="15">
    <mergeCell ref="A33:B33"/>
    <mergeCell ref="A34:B34"/>
    <mergeCell ref="A35:B35"/>
    <mergeCell ref="A37:A66"/>
    <mergeCell ref="A67:B67"/>
    <mergeCell ref="A17:B17"/>
    <mergeCell ref="A18:B19"/>
    <mergeCell ref="A20:B20"/>
    <mergeCell ref="A21:B31"/>
    <mergeCell ref="A32:B32"/>
    <mergeCell ref="A2:B2"/>
    <mergeCell ref="A3:B7"/>
    <mergeCell ref="A9:B13"/>
    <mergeCell ref="A14:B14"/>
    <mergeCell ref="A15:B16"/>
  </mergeCells>
  <pageMargins left="0.7" right="0.7" top="0.78749999999999998" bottom="0.78749999999999998" header="0.511811023622047" footer="0.511811023622047"/>
  <pageSetup paperSize="9" orientation="portrait" horizontalDpi="300" verticalDpi="300"/>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AMJ72"/>
  <sheetViews>
    <sheetView topLeftCell="A17" zoomScale="90" zoomScaleNormal="90" workbookViewId="0">
      <selection activeCell="C17" sqref="C17"/>
    </sheetView>
  </sheetViews>
  <sheetFormatPr baseColWidth="10" defaultColWidth="11.41796875" defaultRowHeight="14.4" x14ac:dyDescent="0.55000000000000004"/>
  <cols>
    <col min="1" max="1" width="18.41796875" style="11" customWidth="1"/>
    <col min="2" max="2" width="18.83984375" style="11" customWidth="1"/>
    <col min="3" max="3" width="46.83984375" style="11" customWidth="1"/>
    <col min="4" max="4" width="56.15625" style="12" customWidth="1"/>
    <col min="5" max="5" width="7.41796875" style="11" customWidth="1"/>
    <col min="6" max="1024" width="11.41796875" style="11"/>
  </cols>
  <sheetData>
    <row r="1" spans="1:5" s="1" customFormat="1" ht="12.9" x14ac:dyDescent="0.5">
      <c r="A1" s="3" t="s">
        <v>0</v>
      </c>
      <c r="D1" s="2" t="s">
        <v>269</v>
      </c>
    </row>
    <row r="2" spans="1:5" x14ac:dyDescent="0.55000000000000004">
      <c r="A2" s="60" t="s">
        <v>2</v>
      </c>
      <c r="B2" s="60"/>
      <c r="D2" s="2" t="s">
        <v>1391</v>
      </c>
    </row>
    <row r="3" spans="1:5" ht="26.1" x14ac:dyDescent="0.55000000000000004">
      <c r="A3" s="61"/>
      <c r="B3" s="61"/>
      <c r="C3" s="14" t="s">
        <v>4</v>
      </c>
      <c r="D3" s="12" t="s">
        <v>1392</v>
      </c>
    </row>
    <row r="4" spans="1:5" x14ac:dyDescent="0.55000000000000004">
      <c r="A4" s="61"/>
      <c r="B4" s="61"/>
      <c r="C4" s="14" t="s">
        <v>6</v>
      </c>
      <c r="D4" s="12">
        <v>2009</v>
      </c>
    </row>
    <row r="5" spans="1:5" x14ac:dyDescent="0.55000000000000004">
      <c r="A5" s="61"/>
      <c r="B5" s="61"/>
      <c r="C5" s="14" t="s">
        <v>7</v>
      </c>
      <c r="D5" s="12" t="s">
        <v>1393</v>
      </c>
    </row>
    <row r="6" spans="1:5" x14ac:dyDescent="0.55000000000000004">
      <c r="A6" s="61"/>
      <c r="B6" s="61"/>
      <c r="C6" s="14" t="s">
        <v>9</v>
      </c>
      <c r="D6" s="1" t="s">
        <v>10</v>
      </c>
    </row>
    <row r="7" spans="1:5" x14ac:dyDescent="0.55000000000000004">
      <c r="A7" s="61"/>
      <c r="B7" s="61"/>
      <c r="C7" s="14" t="s">
        <v>11</v>
      </c>
      <c r="D7" s="12" t="s">
        <v>12</v>
      </c>
    </row>
    <row r="8" spans="1:5" x14ac:dyDescent="0.55000000000000004">
      <c r="A8" s="13" t="s">
        <v>13</v>
      </c>
      <c r="B8" s="13"/>
      <c r="C8" s="14"/>
    </row>
    <row r="9" spans="1:5" ht="26.1" x14ac:dyDescent="0.55000000000000004">
      <c r="A9" s="61"/>
      <c r="B9" s="61"/>
      <c r="C9" s="14" t="s">
        <v>14</v>
      </c>
      <c r="D9" s="12" t="s">
        <v>1394</v>
      </c>
    </row>
    <row r="10" spans="1:5" x14ac:dyDescent="0.55000000000000004">
      <c r="A10" s="61"/>
      <c r="B10" s="61"/>
      <c r="C10" s="14" t="s">
        <v>16</v>
      </c>
      <c r="D10" s="12" t="s">
        <v>17</v>
      </c>
      <c r="E10" s="11" t="s">
        <v>18</v>
      </c>
    </row>
    <row r="11" spans="1:5" x14ac:dyDescent="0.55000000000000004">
      <c r="A11" s="61"/>
      <c r="B11" s="61"/>
      <c r="C11" s="14" t="s">
        <v>19</v>
      </c>
      <c r="D11" s="12" t="s">
        <v>20</v>
      </c>
    </row>
    <row r="12" spans="1:5" x14ac:dyDescent="0.55000000000000004">
      <c r="A12" s="61"/>
      <c r="B12" s="61"/>
      <c r="C12" s="14" t="s">
        <v>21</v>
      </c>
      <c r="D12" s="12" t="s">
        <v>20</v>
      </c>
    </row>
    <row r="13" spans="1:5" x14ac:dyDescent="0.55000000000000004">
      <c r="A13" s="61"/>
      <c r="B13" s="61"/>
      <c r="C13" s="14" t="s">
        <v>22</v>
      </c>
      <c r="D13" s="12" t="s">
        <v>121</v>
      </c>
    </row>
    <row r="14" spans="1:5" x14ac:dyDescent="0.55000000000000004">
      <c r="A14" s="60" t="s">
        <v>24</v>
      </c>
      <c r="B14" s="60"/>
      <c r="C14" s="14"/>
    </row>
    <row r="15" spans="1:5" x14ac:dyDescent="0.55000000000000004">
      <c r="A15" s="61"/>
      <c r="B15" s="61"/>
      <c r="C15" s="14" t="s">
        <v>25</v>
      </c>
      <c r="D15" s="12" t="s">
        <v>1395</v>
      </c>
    </row>
    <row r="16" spans="1:5" ht="26.1" x14ac:dyDescent="0.55000000000000004">
      <c r="A16" s="61"/>
      <c r="B16" s="61"/>
      <c r="C16" s="14" t="s">
        <v>27</v>
      </c>
      <c r="D16" s="12" t="s">
        <v>1396</v>
      </c>
    </row>
    <row r="17" spans="1:5" x14ac:dyDescent="0.55000000000000004">
      <c r="A17" s="60" t="s">
        <v>29</v>
      </c>
      <c r="B17" s="60"/>
      <c r="C17" s="14"/>
    </row>
    <row r="18" spans="1:5" ht="26.1" x14ac:dyDescent="0.55000000000000004">
      <c r="A18" s="61"/>
      <c r="B18" s="61"/>
      <c r="C18" s="14" t="s">
        <v>30</v>
      </c>
      <c r="D18" s="12" t="s">
        <v>1397</v>
      </c>
    </row>
    <row r="19" spans="1:5" x14ac:dyDescent="0.55000000000000004">
      <c r="A19" s="61"/>
      <c r="B19" s="61"/>
      <c r="C19" s="14" t="s">
        <v>32</v>
      </c>
      <c r="D19" s="12" t="s">
        <v>1398</v>
      </c>
    </row>
    <row r="20" spans="1:5" x14ac:dyDescent="0.55000000000000004">
      <c r="A20" s="60" t="s">
        <v>34</v>
      </c>
      <c r="B20" s="60"/>
      <c r="C20" s="14"/>
      <c r="D20" s="12" t="s">
        <v>35</v>
      </c>
    </row>
    <row r="21" spans="1:5" x14ac:dyDescent="0.55000000000000004">
      <c r="A21" s="61"/>
      <c r="B21" s="61"/>
      <c r="C21" s="14" t="s">
        <v>36</v>
      </c>
    </row>
    <row r="22" spans="1:5" x14ac:dyDescent="0.55000000000000004">
      <c r="A22" s="61"/>
      <c r="B22" s="61"/>
      <c r="C22" s="14" t="s">
        <v>37</v>
      </c>
      <c r="D22" s="12">
        <v>20</v>
      </c>
    </row>
    <row r="23" spans="1:5" x14ac:dyDescent="0.55000000000000004">
      <c r="A23" s="61"/>
      <c r="B23" s="61"/>
      <c r="C23" s="54" t="s">
        <v>38</v>
      </c>
      <c r="D23" s="12">
        <v>20</v>
      </c>
    </row>
    <row r="24" spans="1:5" x14ac:dyDescent="0.55000000000000004">
      <c r="A24" s="61"/>
      <c r="B24" s="61"/>
      <c r="C24" s="54" t="s">
        <v>39</v>
      </c>
      <c r="D24" s="12">
        <v>0</v>
      </c>
    </row>
    <row r="25" spans="1:5" x14ac:dyDescent="0.55000000000000004">
      <c r="A25" s="61"/>
      <c r="B25" s="61"/>
      <c r="C25" s="14" t="s">
        <v>40</v>
      </c>
      <c r="D25" s="12">
        <f>13/D23</f>
        <v>0.65</v>
      </c>
    </row>
    <row r="26" spans="1:5" x14ac:dyDescent="0.55000000000000004">
      <c r="A26" s="61"/>
      <c r="B26" s="61"/>
      <c r="C26" s="14" t="s">
        <v>41</v>
      </c>
    </row>
    <row r="27" spans="1:5" x14ac:dyDescent="0.55000000000000004">
      <c r="A27" s="61"/>
      <c r="B27" s="61"/>
      <c r="C27" s="14" t="s">
        <v>42</v>
      </c>
    </row>
    <row r="28" spans="1:5" x14ac:dyDescent="0.55000000000000004">
      <c r="A28" s="61"/>
      <c r="B28" s="61"/>
      <c r="C28" s="14" t="s">
        <v>43</v>
      </c>
      <c r="D28" s="2">
        <v>61</v>
      </c>
      <c r="E28" s="1"/>
    </row>
    <row r="29" spans="1:5" x14ac:dyDescent="0.55000000000000004">
      <c r="A29" s="61"/>
      <c r="B29" s="61"/>
      <c r="C29" s="14" t="s">
        <v>44</v>
      </c>
      <c r="D29" s="2">
        <v>2.5</v>
      </c>
      <c r="E29" s="1"/>
    </row>
    <row r="30" spans="1:5" x14ac:dyDescent="0.55000000000000004">
      <c r="A30" s="61"/>
      <c r="B30" s="61"/>
      <c r="C30" s="14" t="s">
        <v>45</v>
      </c>
      <c r="D30" s="2">
        <v>24</v>
      </c>
      <c r="E30" s="1" t="s">
        <v>1399</v>
      </c>
    </row>
    <row r="31" spans="1:5" x14ac:dyDescent="0.55000000000000004">
      <c r="A31" s="61"/>
      <c r="B31" s="61"/>
      <c r="C31" s="14" t="s">
        <v>46</v>
      </c>
      <c r="D31" s="2">
        <v>6.52</v>
      </c>
      <c r="E31" s="1" t="s">
        <v>1400</v>
      </c>
    </row>
    <row r="32" spans="1:5" x14ac:dyDescent="0.55000000000000004">
      <c r="A32" s="60" t="s">
        <v>47</v>
      </c>
      <c r="B32" s="60"/>
      <c r="C32" s="14"/>
    </row>
    <row r="33" spans="1:10" ht="39" x14ac:dyDescent="0.55000000000000004">
      <c r="A33" s="61"/>
      <c r="B33" s="61"/>
      <c r="C33" s="14" t="s">
        <v>48</v>
      </c>
      <c r="D33" s="12" t="s">
        <v>1401</v>
      </c>
    </row>
    <row r="34" spans="1:10" x14ac:dyDescent="0.55000000000000004">
      <c r="A34" s="60"/>
      <c r="B34" s="60"/>
      <c r="C34" s="14"/>
    </row>
    <row r="35" spans="1:10" x14ac:dyDescent="0.55000000000000004">
      <c r="A35" s="60" t="s">
        <v>50</v>
      </c>
      <c r="B35" s="60"/>
      <c r="C35" s="14"/>
    </row>
    <row r="36" spans="1:10" x14ac:dyDescent="0.55000000000000004">
      <c r="A36" s="36"/>
      <c r="B36" s="36"/>
      <c r="C36" s="14"/>
    </row>
    <row r="37" spans="1:10" x14ac:dyDescent="0.55000000000000004">
      <c r="A37" s="60"/>
      <c r="B37" s="14" t="s">
        <v>59</v>
      </c>
      <c r="C37" s="14"/>
      <c r="D37" s="12" t="s">
        <v>51</v>
      </c>
      <c r="E37" s="11" t="s">
        <v>52</v>
      </c>
      <c r="F37" s="11" t="s">
        <v>53</v>
      </c>
      <c r="G37" s="11" t="s">
        <v>54</v>
      </c>
      <c r="H37" s="11" t="s">
        <v>55</v>
      </c>
      <c r="I37" s="11" t="s">
        <v>56</v>
      </c>
      <c r="J37" s="11" t="s">
        <v>57</v>
      </c>
    </row>
    <row r="38" spans="1:10" x14ac:dyDescent="0.55000000000000004">
      <c r="A38" s="60"/>
      <c r="B38" s="14"/>
      <c r="C38" s="14"/>
    </row>
    <row r="39" spans="1:10" x14ac:dyDescent="0.55000000000000004">
      <c r="A39" s="60"/>
      <c r="B39" s="14"/>
      <c r="C39" s="14"/>
    </row>
    <row r="40" spans="1:10" x14ac:dyDescent="0.55000000000000004">
      <c r="A40" s="60"/>
      <c r="B40" s="14"/>
      <c r="C40" s="14"/>
    </row>
    <row r="41" spans="1:10" x14ac:dyDescent="0.55000000000000004">
      <c r="A41" s="60"/>
      <c r="B41" s="14"/>
      <c r="C41" s="14"/>
    </row>
    <row r="42" spans="1:10" x14ac:dyDescent="0.55000000000000004">
      <c r="A42" s="60"/>
      <c r="B42" s="14"/>
      <c r="C42" s="14"/>
    </row>
    <row r="43" spans="1:10" x14ac:dyDescent="0.55000000000000004">
      <c r="A43" s="60"/>
      <c r="B43" s="14"/>
      <c r="C43" s="14"/>
    </row>
    <row r="44" spans="1:10" x14ac:dyDescent="0.55000000000000004">
      <c r="A44" s="60"/>
      <c r="B44" s="14"/>
      <c r="C44" s="14"/>
    </row>
    <row r="45" spans="1:10" x14ac:dyDescent="0.55000000000000004">
      <c r="A45" s="60"/>
      <c r="B45" s="14" t="s">
        <v>61</v>
      </c>
      <c r="C45" s="14"/>
    </row>
    <row r="46" spans="1:10" x14ac:dyDescent="0.55000000000000004">
      <c r="A46" s="60"/>
      <c r="B46" s="14"/>
      <c r="C46" s="14" t="s">
        <v>1411</v>
      </c>
      <c r="D46" s="16">
        <v>270.38</v>
      </c>
      <c r="E46" s="17">
        <v>85.82</v>
      </c>
    </row>
    <row r="47" spans="1:10" x14ac:dyDescent="0.55000000000000004">
      <c r="A47" s="60"/>
      <c r="B47" s="14"/>
      <c r="C47" s="14" t="s">
        <v>1412</v>
      </c>
      <c r="D47" s="16">
        <v>35.57</v>
      </c>
      <c r="E47" s="17">
        <v>43.9</v>
      </c>
    </row>
    <row r="48" spans="1:10" x14ac:dyDescent="0.55000000000000004">
      <c r="A48" s="60"/>
      <c r="B48" s="14"/>
      <c r="C48" s="14"/>
      <c r="D48" s="16"/>
      <c r="E48" s="17"/>
    </row>
    <row r="49" spans="1:5" x14ac:dyDescent="0.55000000000000004">
      <c r="A49" s="60"/>
      <c r="B49" s="14"/>
    </row>
    <row r="50" spans="1:5" x14ac:dyDescent="0.55000000000000004">
      <c r="A50" s="60"/>
      <c r="B50" s="14"/>
    </row>
    <row r="51" spans="1:5" x14ac:dyDescent="0.55000000000000004">
      <c r="A51" s="60"/>
      <c r="B51" s="14"/>
    </row>
    <row r="52" spans="1:5" x14ac:dyDescent="0.55000000000000004">
      <c r="A52" s="60"/>
    </row>
    <row r="53" spans="1:5" x14ac:dyDescent="0.55000000000000004">
      <c r="A53" s="60"/>
      <c r="B53" s="14"/>
      <c r="C53" s="14"/>
      <c r="D53" s="16"/>
      <c r="E53" s="17"/>
    </row>
    <row r="54" spans="1:5" x14ac:dyDescent="0.55000000000000004">
      <c r="A54" s="60"/>
      <c r="B54" s="14"/>
      <c r="C54" s="14"/>
      <c r="D54" s="16"/>
      <c r="E54" s="17"/>
    </row>
    <row r="55" spans="1:5" x14ac:dyDescent="0.55000000000000004">
      <c r="A55" s="60"/>
      <c r="B55" s="14"/>
      <c r="C55" s="14"/>
      <c r="D55" s="16"/>
      <c r="E55" s="17"/>
    </row>
    <row r="56" spans="1:5" x14ac:dyDescent="0.55000000000000004">
      <c r="A56" s="60"/>
      <c r="B56" s="14"/>
      <c r="C56" s="14"/>
      <c r="D56" s="16"/>
      <c r="E56" s="17"/>
    </row>
    <row r="57" spans="1:5" x14ac:dyDescent="0.55000000000000004">
      <c r="A57" s="60"/>
      <c r="B57" s="14"/>
      <c r="C57" s="14"/>
      <c r="D57" s="16"/>
      <c r="E57" s="17"/>
    </row>
    <row r="58" spans="1:5" x14ac:dyDescent="0.55000000000000004">
      <c r="A58" s="60"/>
      <c r="B58" s="14"/>
      <c r="C58" s="14"/>
      <c r="D58" s="16"/>
      <c r="E58" s="17"/>
    </row>
    <row r="59" spans="1:5" x14ac:dyDescent="0.55000000000000004">
      <c r="A59" s="60"/>
      <c r="B59" s="14"/>
      <c r="C59" s="14"/>
      <c r="D59" s="16"/>
      <c r="E59" s="17"/>
    </row>
    <row r="60" spans="1:5" x14ac:dyDescent="0.55000000000000004">
      <c r="A60" s="60"/>
      <c r="B60" s="14"/>
      <c r="C60" s="14"/>
      <c r="D60" s="16"/>
      <c r="E60" s="17"/>
    </row>
    <row r="61" spans="1:5" x14ac:dyDescent="0.55000000000000004">
      <c r="A61" s="60"/>
      <c r="B61" s="14"/>
      <c r="C61" s="14"/>
      <c r="D61" s="16"/>
      <c r="E61" s="17"/>
    </row>
    <row r="62" spans="1:5" x14ac:dyDescent="0.55000000000000004">
      <c r="A62" s="60"/>
      <c r="B62" s="14"/>
      <c r="C62" s="14"/>
      <c r="D62" s="16"/>
      <c r="E62" s="17"/>
    </row>
    <row r="63" spans="1:5" x14ac:dyDescent="0.55000000000000004">
      <c r="A63" s="60"/>
      <c r="B63" s="14"/>
      <c r="C63" s="14"/>
    </row>
    <row r="64" spans="1:5" x14ac:dyDescent="0.55000000000000004">
      <c r="A64" s="60"/>
      <c r="B64" s="14"/>
      <c r="C64" s="14"/>
    </row>
    <row r="65" spans="1:6" x14ac:dyDescent="0.55000000000000004">
      <c r="A65" s="60"/>
      <c r="B65" s="14" t="s">
        <v>62</v>
      </c>
      <c r="D65" s="14">
        <f>1/1440*30</f>
        <v>2.0833333333333336E-2</v>
      </c>
    </row>
    <row r="66" spans="1:6" x14ac:dyDescent="0.55000000000000004">
      <c r="A66" s="60"/>
      <c r="B66" s="14" t="s">
        <v>63</v>
      </c>
      <c r="D66" s="14" t="s">
        <v>1404</v>
      </c>
      <c r="E66" s="11" t="s">
        <v>1405</v>
      </c>
    </row>
    <row r="67" spans="1:6" ht="39" x14ac:dyDescent="0.55000000000000004">
      <c r="A67" s="60" t="s">
        <v>65</v>
      </c>
      <c r="B67" s="60"/>
      <c r="D67" s="2" t="s">
        <v>1406</v>
      </c>
    </row>
    <row r="68" spans="1:6" x14ac:dyDescent="0.55000000000000004">
      <c r="A68" s="34" t="s">
        <v>67</v>
      </c>
    </row>
    <row r="69" spans="1:6" x14ac:dyDescent="0.55000000000000004">
      <c r="A69" s="11" t="s">
        <v>68</v>
      </c>
      <c r="C69" s="11">
        <v>12</v>
      </c>
      <c r="D69" s="12">
        <v>22</v>
      </c>
      <c r="E69" s="11">
        <v>17</v>
      </c>
      <c r="F69" s="11">
        <v>22</v>
      </c>
    </row>
    <row r="70" spans="1:6" x14ac:dyDescent="0.55000000000000004">
      <c r="B70" s="11" t="s">
        <v>952</v>
      </c>
    </row>
    <row r="71" spans="1:6" x14ac:dyDescent="0.55000000000000004">
      <c r="C71" s="14" t="s">
        <v>1407</v>
      </c>
      <c r="D71" s="16">
        <v>184.37499999999901</v>
      </c>
      <c r="E71" s="17">
        <v>66.666666666666998</v>
      </c>
    </row>
    <row r="72" spans="1:6" x14ac:dyDescent="0.55000000000000004">
      <c r="C72" s="14" t="s">
        <v>1408</v>
      </c>
      <c r="D72" s="16">
        <v>204.166666666666</v>
      </c>
      <c r="E72" s="17">
        <v>80.208333333333002</v>
      </c>
    </row>
  </sheetData>
  <mergeCells count="15">
    <mergeCell ref="A33:B33"/>
    <mergeCell ref="A34:B34"/>
    <mergeCell ref="A35:B35"/>
    <mergeCell ref="A37:A66"/>
    <mergeCell ref="A67:B67"/>
    <mergeCell ref="A17:B17"/>
    <mergeCell ref="A18:B19"/>
    <mergeCell ref="A20:B20"/>
    <mergeCell ref="A21:B31"/>
    <mergeCell ref="A32:B32"/>
    <mergeCell ref="A2:B2"/>
    <mergeCell ref="A3:B7"/>
    <mergeCell ref="A9:B13"/>
    <mergeCell ref="A14:B14"/>
    <mergeCell ref="A15:B16"/>
  </mergeCells>
  <pageMargins left="0.7" right="0.7" top="0.78749999999999998" bottom="0.78749999999999998" header="0.511811023622047" footer="0.511811023622047"/>
  <pageSetup paperSize="9" orientation="portrait" horizontalDpi="300" verticalDpi="300"/>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dimension ref="A1:AMJ69"/>
  <sheetViews>
    <sheetView topLeftCell="C26" zoomScale="90" zoomScaleNormal="90" workbookViewId="0">
      <selection activeCell="D50" sqref="D50"/>
    </sheetView>
  </sheetViews>
  <sheetFormatPr baseColWidth="10" defaultColWidth="11.41796875" defaultRowHeight="14.4" x14ac:dyDescent="0.55000000000000004"/>
  <cols>
    <col min="1" max="1" width="10.83984375" style="1" customWidth="1"/>
    <col min="2" max="2" width="18.83984375" style="1" customWidth="1"/>
    <col min="3" max="3" width="55.15625" style="1" customWidth="1"/>
    <col min="4" max="4" width="56.15625" style="2" customWidth="1"/>
    <col min="5" max="5" width="11.15625" style="1" customWidth="1"/>
    <col min="6" max="6" width="11.578125" style="1" customWidth="1"/>
    <col min="7" max="7" width="36.578125" style="1" customWidth="1"/>
    <col min="8" max="1024" width="11.41796875" style="1"/>
  </cols>
  <sheetData>
    <row r="1" spans="1:5" x14ac:dyDescent="0.55000000000000004">
      <c r="A1" s="3" t="s">
        <v>0</v>
      </c>
      <c r="D1" s="2" t="s">
        <v>796</v>
      </c>
    </row>
    <row r="2" spans="1:5" x14ac:dyDescent="0.55000000000000004">
      <c r="A2" s="58" t="s">
        <v>2</v>
      </c>
      <c r="B2" s="58"/>
      <c r="D2" s="1" t="s">
        <v>1413</v>
      </c>
    </row>
    <row r="3" spans="1:5" ht="26.1" x14ac:dyDescent="0.55000000000000004">
      <c r="A3" s="58"/>
      <c r="B3" s="58"/>
      <c r="C3" s="5" t="s">
        <v>4</v>
      </c>
      <c r="D3" s="2" t="s">
        <v>1414</v>
      </c>
    </row>
    <row r="4" spans="1:5" x14ac:dyDescent="0.55000000000000004">
      <c r="A4" s="58"/>
      <c r="B4" s="58"/>
      <c r="C4" s="5" t="s">
        <v>6</v>
      </c>
      <c r="D4" s="2">
        <v>2006</v>
      </c>
    </row>
    <row r="5" spans="1:5" ht="26.1" x14ac:dyDescent="0.55000000000000004">
      <c r="A5" s="58"/>
      <c r="B5" s="58"/>
      <c r="C5" s="5" t="s">
        <v>7</v>
      </c>
      <c r="D5" s="2" t="s">
        <v>1415</v>
      </c>
    </row>
    <row r="6" spans="1:5" x14ac:dyDescent="0.55000000000000004">
      <c r="A6" s="58"/>
      <c r="B6" s="58"/>
      <c r="C6" s="5" t="s">
        <v>9</v>
      </c>
      <c r="D6" s="2" t="s">
        <v>10</v>
      </c>
    </row>
    <row r="7" spans="1:5" x14ac:dyDescent="0.55000000000000004">
      <c r="A7" s="58"/>
      <c r="B7" s="58"/>
      <c r="C7" s="5" t="s">
        <v>11</v>
      </c>
      <c r="D7" s="2" t="s">
        <v>12</v>
      </c>
    </row>
    <row r="8" spans="1:5" x14ac:dyDescent="0.55000000000000004">
      <c r="A8" s="59" t="s">
        <v>13</v>
      </c>
      <c r="B8" s="59"/>
      <c r="C8" s="5"/>
    </row>
    <row r="9" spans="1:5" x14ac:dyDescent="0.55000000000000004">
      <c r="A9" s="58"/>
      <c r="B9" s="58"/>
      <c r="C9" s="5" t="s">
        <v>14</v>
      </c>
      <c r="D9" s="2" t="s">
        <v>1416</v>
      </c>
    </row>
    <row r="10" spans="1:5" x14ac:dyDescent="0.55000000000000004">
      <c r="A10" s="58"/>
      <c r="B10" s="58"/>
      <c r="C10" s="5" t="s">
        <v>16</v>
      </c>
      <c r="D10" s="12" t="s">
        <v>165</v>
      </c>
      <c r="E10" s="11"/>
    </row>
    <row r="11" spans="1:5" x14ac:dyDescent="0.55000000000000004">
      <c r="A11" s="58"/>
      <c r="B11" s="58"/>
      <c r="C11" s="5" t="s">
        <v>19</v>
      </c>
      <c r="D11" s="2" t="s">
        <v>20</v>
      </c>
    </row>
    <row r="12" spans="1:5" x14ac:dyDescent="0.55000000000000004">
      <c r="A12" s="58"/>
      <c r="B12" s="58"/>
      <c r="C12" s="5" t="s">
        <v>21</v>
      </c>
      <c r="D12" s="2" t="s">
        <v>20</v>
      </c>
    </row>
    <row r="13" spans="1:5" x14ac:dyDescent="0.55000000000000004">
      <c r="A13" s="58"/>
      <c r="B13" s="58"/>
      <c r="C13" s="5" t="s">
        <v>22</v>
      </c>
      <c r="D13" s="2" t="s">
        <v>20</v>
      </c>
    </row>
    <row r="14" spans="1:5" x14ac:dyDescent="0.55000000000000004">
      <c r="A14" s="59" t="s">
        <v>24</v>
      </c>
      <c r="B14" s="59"/>
      <c r="C14" s="5"/>
    </row>
    <row r="15" spans="1:5" x14ac:dyDescent="0.55000000000000004">
      <c r="A15" s="58"/>
      <c r="B15" s="58"/>
      <c r="C15" s="5" t="s">
        <v>25</v>
      </c>
      <c r="D15" s="2" t="s">
        <v>87</v>
      </c>
    </row>
    <row r="16" spans="1:5" x14ac:dyDescent="0.55000000000000004">
      <c r="A16" s="58"/>
      <c r="B16" s="58"/>
      <c r="C16" s="5" t="s">
        <v>27</v>
      </c>
      <c r="D16" s="2" t="s">
        <v>1417</v>
      </c>
    </row>
    <row r="17" spans="1:6" x14ac:dyDescent="0.55000000000000004">
      <c r="A17" s="59" t="s">
        <v>29</v>
      </c>
      <c r="B17" s="59"/>
      <c r="C17" s="5"/>
    </row>
    <row r="18" spans="1:6" x14ac:dyDescent="0.55000000000000004">
      <c r="A18" s="58"/>
      <c r="B18" s="58"/>
      <c r="C18" s="5" t="s">
        <v>30</v>
      </c>
      <c r="D18" s="2" t="s">
        <v>721</v>
      </c>
    </row>
    <row r="19" spans="1:6" ht="39" x14ac:dyDescent="0.55000000000000004">
      <c r="A19" s="58"/>
      <c r="B19" s="58"/>
      <c r="C19" s="5" t="s">
        <v>32</v>
      </c>
      <c r="D19" s="2" t="s">
        <v>1418</v>
      </c>
    </row>
    <row r="20" spans="1:6" x14ac:dyDescent="0.55000000000000004">
      <c r="A20" s="59" t="s">
        <v>34</v>
      </c>
      <c r="B20" s="59"/>
      <c r="C20" s="5"/>
      <c r="D20" s="2" t="s">
        <v>1419</v>
      </c>
      <c r="E20" s="1" t="s">
        <v>109</v>
      </c>
      <c r="F20" s="1" t="s">
        <v>35</v>
      </c>
    </row>
    <row r="21" spans="1:6" x14ac:dyDescent="0.55000000000000004">
      <c r="A21" s="58"/>
      <c r="B21" s="58"/>
      <c r="C21" s="5" t="s">
        <v>36</v>
      </c>
      <c r="D21" s="2" t="s">
        <v>20</v>
      </c>
      <c r="E21" s="1" t="s">
        <v>20</v>
      </c>
      <c r="F21" s="1">
        <v>96</v>
      </c>
    </row>
    <row r="22" spans="1:6" x14ac:dyDescent="0.55000000000000004">
      <c r="A22" s="58"/>
      <c r="B22" s="58"/>
      <c r="C22" s="5" t="s">
        <v>37</v>
      </c>
      <c r="D22" s="2">
        <v>32</v>
      </c>
      <c r="E22" s="1">
        <v>24</v>
      </c>
      <c r="F22" s="1">
        <f>SUM(D22:E22)</f>
        <v>56</v>
      </c>
    </row>
    <row r="23" spans="1:6" x14ac:dyDescent="0.55000000000000004">
      <c r="A23" s="58"/>
      <c r="B23" s="58"/>
      <c r="C23" s="5" t="s">
        <v>38</v>
      </c>
      <c r="D23" s="2">
        <v>30</v>
      </c>
      <c r="E23" s="1">
        <v>19</v>
      </c>
      <c r="F23" s="1">
        <f>SUM(D23:E23)</f>
        <v>49</v>
      </c>
    </row>
    <row r="24" spans="1:6" x14ac:dyDescent="0.55000000000000004">
      <c r="A24" s="58"/>
      <c r="B24" s="58"/>
      <c r="C24" s="5" t="s">
        <v>39</v>
      </c>
      <c r="D24" s="2">
        <f>D22-D23</f>
        <v>2</v>
      </c>
      <c r="E24" s="2">
        <f>E22-E23</f>
        <v>5</v>
      </c>
      <c r="F24" s="1">
        <f>SUM(D24:E24)</f>
        <v>7</v>
      </c>
    </row>
    <row r="25" spans="1:6" x14ac:dyDescent="0.55000000000000004">
      <c r="A25" s="58"/>
      <c r="B25" s="58"/>
      <c r="C25" s="5" t="s">
        <v>40</v>
      </c>
      <c r="D25" s="7">
        <f>8/24</f>
        <v>0.33333333333333331</v>
      </c>
      <c r="E25" s="10">
        <f>5/19</f>
        <v>0.26315789473684209</v>
      </c>
      <c r="F25" s="10">
        <f>13/F22</f>
        <v>0.23214285714285715</v>
      </c>
    </row>
    <row r="26" spans="1:6" x14ac:dyDescent="0.55000000000000004">
      <c r="A26" s="58"/>
      <c r="B26" s="58"/>
      <c r="C26" s="5" t="s">
        <v>41</v>
      </c>
      <c r="D26" s="7">
        <v>64</v>
      </c>
      <c r="E26" s="10">
        <v>63</v>
      </c>
      <c r="F26" s="10">
        <f>(D26*$D$23 + E26*$E$23)/$F$23</f>
        <v>63.612244897959187</v>
      </c>
    </row>
    <row r="27" spans="1:6" x14ac:dyDescent="0.55000000000000004">
      <c r="A27" s="58"/>
      <c r="B27" s="58"/>
      <c r="C27" s="5" t="s">
        <v>42</v>
      </c>
      <c r="D27" s="7">
        <v>8</v>
      </c>
      <c r="E27" s="10">
        <v>8</v>
      </c>
      <c r="F27" s="10">
        <f>SQRT((D23*(D27^2+(D26-G$26)^2)+E23*(E27^2+(E26-G$26)^2))/(D23+E23))</f>
        <v>64.115170607593456</v>
      </c>
    </row>
    <row r="28" spans="1:6" x14ac:dyDescent="0.55000000000000004">
      <c r="A28" s="58"/>
      <c r="B28" s="58"/>
      <c r="C28" s="5" t="s">
        <v>43</v>
      </c>
      <c r="D28" s="2" t="s">
        <v>20</v>
      </c>
    </row>
    <row r="29" spans="1:6" x14ac:dyDescent="0.55000000000000004">
      <c r="A29" s="58"/>
      <c r="B29" s="58"/>
      <c r="C29" s="5" t="s">
        <v>44</v>
      </c>
      <c r="D29" s="2" t="s">
        <v>20</v>
      </c>
    </row>
    <row r="30" spans="1:6" x14ac:dyDescent="0.55000000000000004">
      <c r="A30" s="58"/>
      <c r="B30" s="58"/>
      <c r="C30" s="5" t="s">
        <v>45</v>
      </c>
      <c r="D30" s="2">
        <v>15.45</v>
      </c>
      <c r="E30" s="1">
        <v>16.899999999999999</v>
      </c>
      <c r="F30" s="10">
        <f>(D30*$D$22 + E30*$E$22)/$F$22</f>
        <v>16.071428571428573</v>
      </c>
    </row>
    <row r="31" spans="1:6" x14ac:dyDescent="0.55000000000000004">
      <c r="A31" s="58"/>
      <c r="B31" s="58"/>
      <c r="C31" s="5" t="s">
        <v>46</v>
      </c>
      <c r="D31" s="2">
        <v>10.7</v>
      </c>
      <c r="E31" s="1">
        <v>12.7</v>
      </c>
      <c r="F31" s="10">
        <f>SQRT((D22*(D31^2+(D30-F$30)^2)+E22*(E31^2+(E30-G$26)^2))/(D22+E22))</f>
        <v>16.036586267824095</v>
      </c>
    </row>
    <row r="32" spans="1:6" x14ac:dyDescent="0.55000000000000004">
      <c r="A32" s="59" t="s">
        <v>47</v>
      </c>
      <c r="B32" s="59"/>
      <c r="C32" s="5"/>
    </row>
    <row r="33" spans="1:10" ht="26.1" x14ac:dyDescent="0.55000000000000004">
      <c r="A33" s="58"/>
      <c r="B33" s="58"/>
      <c r="C33" s="5" t="s">
        <v>48</v>
      </c>
      <c r="D33" s="2" t="s">
        <v>1420</v>
      </c>
    </row>
    <row r="34" spans="1:10" x14ac:dyDescent="0.55000000000000004">
      <c r="A34" s="59" t="s">
        <v>50</v>
      </c>
      <c r="B34" s="59"/>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9"/>
      <c r="B36" s="5" t="s">
        <v>59</v>
      </c>
      <c r="C36" s="5"/>
      <c r="D36" s="7"/>
      <c r="E36" s="10"/>
    </row>
    <row r="37" spans="1:10" x14ac:dyDescent="0.55000000000000004">
      <c r="A37" s="59"/>
      <c r="B37" s="5"/>
      <c r="C37" s="5" t="s">
        <v>1421</v>
      </c>
      <c r="D37" s="7">
        <v>2</v>
      </c>
      <c r="E37" s="10">
        <v>2.16</v>
      </c>
      <c r="G37" s="39"/>
    </row>
    <row r="38" spans="1:10" x14ac:dyDescent="0.55000000000000004">
      <c r="A38" s="59"/>
      <c r="B38" s="5"/>
      <c r="C38" s="5" t="s">
        <v>1422</v>
      </c>
      <c r="D38" s="7">
        <v>1.23</v>
      </c>
      <c r="E38" s="10">
        <v>1.59</v>
      </c>
    </row>
    <row r="39" spans="1:10" x14ac:dyDescent="0.55000000000000004">
      <c r="A39" s="59"/>
      <c r="B39" s="5"/>
      <c r="C39" s="5" t="s">
        <v>172</v>
      </c>
      <c r="D39" s="7">
        <v>1.57</v>
      </c>
      <c r="E39" s="10">
        <v>1.69</v>
      </c>
    </row>
    <row r="40" spans="1:10" x14ac:dyDescent="0.55000000000000004">
      <c r="A40" s="59"/>
      <c r="B40" s="5"/>
      <c r="C40" s="5" t="s">
        <v>173</v>
      </c>
      <c r="D40" s="7">
        <v>1.1100000000000001</v>
      </c>
      <c r="E40" s="10">
        <v>1.41</v>
      </c>
    </row>
    <row r="41" spans="1:10" x14ac:dyDescent="0.55000000000000004">
      <c r="A41" s="59"/>
      <c r="B41" s="5"/>
      <c r="C41" s="5"/>
    </row>
    <row r="42" spans="1:10" x14ac:dyDescent="0.55000000000000004">
      <c r="A42" s="59"/>
      <c r="B42" s="5"/>
      <c r="C42" s="5"/>
    </row>
    <row r="43" spans="1:10" x14ac:dyDescent="0.55000000000000004">
      <c r="A43" s="59"/>
      <c r="C43" s="5"/>
    </row>
    <row r="44" spans="1:10" x14ac:dyDescent="0.55000000000000004">
      <c r="A44" s="59"/>
      <c r="C44" s="5"/>
    </row>
    <row r="45" spans="1:10" x14ac:dyDescent="0.55000000000000004">
      <c r="A45" s="59"/>
      <c r="B45" s="5" t="s">
        <v>61</v>
      </c>
      <c r="C45" s="5"/>
    </row>
    <row r="46" spans="1:10" x14ac:dyDescent="0.55000000000000004">
      <c r="A46" s="59"/>
      <c r="B46" s="5"/>
      <c r="C46" s="5"/>
    </row>
    <row r="47" spans="1:10" x14ac:dyDescent="0.55000000000000004">
      <c r="A47" s="59"/>
      <c r="B47" s="5"/>
      <c r="C47" s="5"/>
    </row>
    <row r="48" spans="1:10" x14ac:dyDescent="0.55000000000000004">
      <c r="A48" s="59"/>
      <c r="B48" s="5"/>
      <c r="C48" s="5"/>
    </row>
    <row r="49" spans="1:3" x14ac:dyDescent="0.55000000000000004">
      <c r="A49" s="59"/>
      <c r="B49" s="5"/>
      <c r="C49" s="5"/>
    </row>
    <row r="50" spans="1:3" x14ac:dyDescent="0.55000000000000004">
      <c r="A50" s="59"/>
      <c r="B50" s="5"/>
      <c r="C50" s="5"/>
    </row>
    <row r="51" spans="1:3" x14ac:dyDescent="0.55000000000000004">
      <c r="A51" s="59"/>
      <c r="B51" s="5"/>
      <c r="C51" s="5"/>
    </row>
    <row r="52" spans="1:3" x14ac:dyDescent="0.55000000000000004">
      <c r="A52" s="59"/>
      <c r="B52" s="5"/>
      <c r="C52" s="5"/>
    </row>
    <row r="53" spans="1:3" x14ac:dyDescent="0.55000000000000004">
      <c r="A53" s="59"/>
      <c r="B53" s="5"/>
      <c r="C53" s="5"/>
    </row>
    <row r="54" spans="1:3" x14ac:dyDescent="0.55000000000000004">
      <c r="A54" s="59"/>
      <c r="B54" s="5"/>
      <c r="C54" s="5"/>
    </row>
    <row r="55" spans="1:3" x14ac:dyDescent="0.55000000000000004">
      <c r="A55" s="59"/>
      <c r="B55" s="5"/>
      <c r="C55" s="5"/>
    </row>
    <row r="56" spans="1:3" x14ac:dyDescent="0.55000000000000004">
      <c r="A56" s="59"/>
      <c r="B56" s="5"/>
      <c r="C56" s="5"/>
    </row>
    <row r="57" spans="1:3" x14ac:dyDescent="0.55000000000000004">
      <c r="A57" s="59"/>
      <c r="B57" s="5"/>
      <c r="C57" s="5"/>
    </row>
    <row r="58" spans="1:3" x14ac:dyDescent="0.55000000000000004">
      <c r="A58" s="59"/>
      <c r="B58" s="5"/>
      <c r="C58" s="5"/>
    </row>
    <row r="59" spans="1:3" x14ac:dyDescent="0.55000000000000004">
      <c r="A59" s="59"/>
      <c r="B59" s="5"/>
      <c r="C59" s="5"/>
    </row>
    <row r="60" spans="1:3" x14ac:dyDescent="0.55000000000000004">
      <c r="A60" s="59"/>
      <c r="B60" s="5"/>
      <c r="C60" s="5"/>
    </row>
    <row r="61" spans="1:3" x14ac:dyDescent="0.55000000000000004">
      <c r="A61" s="59"/>
      <c r="B61" s="5"/>
      <c r="C61" s="5"/>
    </row>
    <row r="62" spans="1:3" x14ac:dyDescent="0.55000000000000004">
      <c r="A62" s="59"/>
      <c r="B62" s="5"/>
      <c r="C62" s="5"/>
    </row>
    <row r="63" spans="1:3" x14ac:dyDescent="0.55000000000000004">
      <c r="A63" s="59"/>
      <c r="B63" s="5"/>
      <c r="C63" s="5"/>
    </row>
    <row r="64" spans="1:3" x14ac:dyDescent="0.55000000000000004">
      <c r="A64" s="59"/>
      <c r="B64" s="5"/>
      <c r="C64" s="5"/>
    </row>
    <row r="65" spans="1:5" x14ac:dyDescent="0.55000000000000004">
      <c r="A65" s="59"/>
      <c r="B65" s="5" t="s">
        <v>62</v>
      </c>
      <c r="C65" s="5"/>
      <c r="D65" s="2">
        <f>6*30</f>
        <v>180</v>
      </c>
      <c r="E65" s="1" t="s">
        <v>1423</v>
      </c>
    </row>
    <row r="66" spans="1:5" x14ac:dyDescent="0.55000000000000004">
      <c r="A66" s="59"/>
      <c r="B66" s="5" t="s">
        <v>63</v>
      </c>
      <c r="C66" s="5"/>
      <c r="D66" s="2" t="s">
        <v>1424</v>
      </c>
    </row>
    <row r="67" spans="1:5" x14ac:dyDescent="0.55000000000000004">
      <c r="A67" s="59" t="s">
        <v>65</v>
      </c>
      <c r="B67" s="59"/>
      <c r="C67" s="5"/>
    </row>
    <row r="68" spans="1:5" x14ac:dyDescent="0.55000000000000004">
      <c r="A68" s="3" t="s">
        <v>67</v>
      </c>
    </row>
    <row r="69" spans="1:5" x14ac:dyDescent="0.55000000000000004">
      <c r="A69" s="1" t="s">
        <v>68</v>
      </c>
      <c r="C69" s="1">
        <v>19</v>
      </c>
      <c r="D69" s="2">
        <v>26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dimension ref="A1:AMJ69"/>
  <sheetViews>
    <sheetView topLeftCell="B20" zoomScale="90" zoomScaleNormal="90" workbookViewId="0">
      <selection activeCell="E39" sqref="E39"/>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1.15625" style="1" customWidth="1"/>
    <col min="6" max="6" width="7" style="1" customWidth="1"/>
    <col min="7" max="7" width="35.41796875" style="1" customWidth="1"/>
    <col min="8" max="1024" width="11.41796875" style="1"/>
  </cols>
  <sheetData>
    <row r="1" spans="1:4" x14ac:dyDescent="0.55000000000000004">
      <c r="A1" s="3" t="s">
        <v>0</v>
      </c>
      <c r="D1" s="2" t="s">
        <v>269</v>
      </c>
    </row>
    <row r="2" spans="1:4" x14ac:dyDescent="0.55000000000000004">
      <c r="A2" s="58" t="s">
        <v>2</v>
      </c>
      <c r="B2" s="58"/>
      <c r="D2" s="1" t="s">
        <v>1425</v>
      </c>
    </row>
    <row r="3" spans="1:4" x14ac:dyDescent="0.55000000000000004">
      <c r="A3" s="58"/>
      <c r="B3" s="58"/>
      <c r="C3" s="5" t="s">
        <v>4</v>
      </c>
      <c r="D3" s="2" t="s">
        <v>1426</v>
      </c>
    </row>
    <row r="4" spans="1:4" x14ac:dyDescent="0.55000000000000004">
      <c r="A4" s="58"/>
      <c r="B4" s="58"/>
      <c r="C4" s="5" t="s">
        <v>6</v>
      </c>
      <c r="D4" s="2">
        <v>1998</v>
      </c>
    </row>
    <row r="5" spans="1:4" ht="26.1" x14ac:dyDescent="0.55000000000000004">
      <c r="A5" s="58"/>
      <c r="B5" s="58"/>
      <c r="C5" s="5" t="s">
        <v>7</v>
      </c>
      <c r="D5" s="2" t="s">
        <v>1427</v>
      </c>
    </row>
    <row r="6" spans="1:4" x14ac:dyDescent="0.55000000000000004">
      <c r="A6" s="58"/>
      <c r="B6" s="58"/>
      <c r="C6" s="5" t="s">
        <v>9</v>
      </c>
      <c r="D6" s="2" t="s">
        <v>101</v>
      </c>
    </row>
    <row r="7" spans="1:4" x14ac:dyDescent="0.55000000000000004">
      <c r="A7" s="58"/>
      <c r="B7" s="58"/>
      <c r="C7" s="5" t="s">
        <v>11</v>
      </c>
      <c r="D7" s="2" t="s">
        <v>12</v>
      </c>
    </row>
    <row r="8" spans="1:4" x14ac:dyDescent="0.55000000000000004">
      <c r="A8" s="59" t="s">
        <v>13</v>
      </c>
      <c r="B8" s="59"/>
      <c r="C8" s="5"/>
    </row>
    <row r="9" spans="1:4" ht="26.1" x14ac:dyDescent="0.55000000000000004">
      <c r="A9" s="58"/>
      <c r="B9" s="58"/>
      <c r="C9" s="5" t="s">
        <v>14</v>
      </c>
      <c r="D9" s="2" t="s">
        <v>1428</v>
      </c>
    </row>
    <row r="10" spans="1:4" x14ac:dyDescent="0.55000000000000004">
      <c r="A10" s="58"/>
      <c r="B10" s="58"/>
      <c r="C10" s="5" t="s">
        <v>16</v>
      </c>
      <c r="D10" s="2" t="s">
        <v>454</v>
      </c>
    </row>
    <row r="11" spans="1:4" x14ac:dyDescent="0.55000000000000004">
      <c r="A11" s="58"/>
      <c r="B11" s="58"/>
      <c r="C11" s="5" t="s">
        <v>19</v>
      </c>
      <c r="D11" s="2" t="s">
        <v>20</v>
      </c>
    </row>
    <row r="12" spans="1:4" x14ac:dyDescent="0.55000000000000004">
      <c r="A12" s="58"/>
      <c r="B12" s="58"/>
      <c r="C12" s="5" t="s">
        <v>21</v>
      </c>
      <c r="D12" s="2" t="s">
        <v>20</v>
      </c>
    </row>
    <row r="13" spans="1:4" x14ac:dyDescent="0.55000000000000004">
      <c r="A13" s="58"/>
      <c r="B13" s="58"/>
      <c r="C13" s="5" t="s">
        <v>22</v>
      </c>
      <c r="D13" s="2" t="s">
        <v>20</v>
      </c>
    </row>
    <row r="14" spans="1:4" x14ac:dyDescent="0.55000000000000004">
      <c r="A14" s="59" t="s">
        <v>24</v>
      </c>
      <c r="B14" s="59"/>
      <c r="C14" s="5"/>
    </row>
    <row r="15" spans="1:4" x14ac:dyDescent="0.55000000000000004">
      <c r="A15" s="58"/>
      <c r="B15" s="58"/>
      <c r="C15" s="5" t="s">
        <v>25</v>
      </c>
      <c r="D15" s="2" t="s">
        <v>181</v>
      </c>
    </row>
    <row r="16" spans="1:4" x14ac:dyDescent="0.55000000000000004">
      <c r="A16" s="58"/>
      <c r="B16" s="58"/>
      <c r="C16" s="5" t="s">
        <v>27</v>
      </c>
      <c r="D16" s="2" t="s">
        <v>1429</v>
      </c>
    </row>
    <row r="17" spans="1:6" x14ac:dyDescent="0.55000000000000004">
      <c r="A17" s="59" t="s">
        <v>29</v>
      </c>
      <c r="B17" s="59"/>
      <c r="C17" s="5"/>
    </row>
    <row r="18" spans="1:6" ht="26.1" x14ac:dyDescent="0.55000000000000004">
      <c r="A18" s="58"/>
      <c r="B18" s="58"/>
      <c r="C18" s="5" t="s">
        <v>30</v>
      </c>
      <c r="D18" s="2" t="s">
        <v>1430</v>
      </c>
    </row>
    <row r="19" spans="1:6" ht="39" x14ac:dyDescent="0.55000000000000004">
      <c r="A19" s="58"/>
      <c r="B19" s="58"/>
      <c r="C19" s="5" t="s">
        <v>32</v>
      </c>
      <c r="D19" s="2" t="s">
        <v>1431</v>
      </c>
    </row>
    <row r="20" spans="1:6" x14ac:dyDescent="0.55000000000000004">
      <c r="A20" s="59" t="s">
        <v>34</v>
      </c>
      <c r="B20" s="59"/>
      <c r="C20" s="5"/>
      <c r="D20" s="2" t="s">
        <v>1432</v>
      </c>
      <c r="E20" s="1" t="s">
        <v>109</v>
      </c>
      <c r="F20" s="1" t="s">
        <v>35</v>
      </c>
    </row>
    <row r="21" spans="1:6" x14ac:dyDescent="0.55000000000000004">
      <c r="A21" s="58"/>
      <c r="B21" s="58"/>
      <c r="C21" s="5" t="s">
        <v>36</v>
      </c>
      <c r="D21" s="2" t="s">
        <v>20</v>
      </c>
      <c r="E21" s="1" t="s">
        <v>20</v>
      </c>
      <c r="F21" s="1" t="s">
        <v>20</v>
      </c>
    </row>
    <row r="22" spans="1:6" x14ac:dyDescent="0.55000000000000004">
      <c r="A22" s="58"/>
      <c r="B22" s="58"/>
      <c r="C22" s="5" t="s">
        <v>37</v>
      </c>
      <c r="D22" s="2" t="s">
        <v>20</v>
      </c>
      <c r="E22" s="1" t="s">
        <v>20</v>
      </c>
      <c r="F22" s="1" t="s">
        <v>20</v>
      </c>
    </row>
    <row r="23" spans="1:6" x14ac:dyDescent="0.55000000000000004">
      <c r="A23" s="58"/>
      <c r="B23" s="58"/>
      <c r="C23" s="5" t="s">
        <v>38</v>
      </c>
      <c r="D23" s="2">
        <v>22</v>
      </c>
      <c r="E23" s="1">
        <v>23</v>
      </c>
      <c r="F23" s="1">
        <f>SUM(D23:E23)</f>
        <v>45</v>
      </c>
    </row>
    <row r="24" spans="1:6" x14ac:dyDescent="0.55000000000000004">
      <c r="A24" s="58"/>
      <c r="B24" s="58"/>
      <c r="C24" s="5" t="s">
        <v>39</v>
      </c>
      <c r="D24" s="2" t="s">
        <v>20</v>
      </c>
      <c r="E24" s="1" t="s">
        <v>20</v>
      </c>
      <c r="F24" s="1" t="s">
        <v>20</v>
      </c>
    </row>
    <row r="25" spans="1:6" x14ac:dyDescent="0.55000000000000004">
      <c r="A25" s="58"/>
      <c r="B25" s="58"/>
      <c r="C25" s="5" t="s">
        <v>40</v>
      </c>
      <c r="D25" s="7">
        <f>6/16</f>
        <v>0.375</v>
      </c>
      <c r="E25" s="10">
        <f>5/23</f>
        <v>0.21739130434782608</v>
      </c>
      <c r="F25" s="10">
        <f>((D25*D23)+(E25*E23))/F23</f>
        <v>0.29444444444444445</v>
      </c>
    </row>
    <row r="26" spans="1:6" x14ac:dyDescent="0.55000000000000004">
      <c r="A26" s="58"/>
      <c r="B26" s="58"/>
      <c r="C26" s="5" t="s">
        <v>41</v>
      </c>
      <c r="D26" s="7">
        <v>59.5</v>
      </c>
      <c r="E26" s="10">
        <v>63.7</v>
      </c>
      <c r="F26" s="10">
        <f>(D26*$D$23 + E26*$E$23)/$F$23</f>
        <v>61.646666666666675</v>
      </c>
    </row>
    <row r="27" spans="1:6" x14ac:dyDescent="0.55000000000000004">
      <c r="A27" s="58"/>
      <c r="B27" s="58"/>
      <c r="C27" s="5" t="s">
        <v>42</v>
      </c>
      <c r="D27" s="7">
        <v>10.1</v>
      </c>
      <c r="E27" s="10">
        <v>8.8000000000000007</v>
      </c>
      <c r="F27" s="10">
        <f>SQRT((D23*(D27^2+(D26-G$26)^2)+E23*(E27^2+(E26-G$26)^2))/(D23+E23))</f>
        <v>62.403295853130494</v>
      </c>
    </row>
    <row r="28" spans="1:6" x14ac:dyDescent="0.55000000000000004">
      <c r="A28" s="58"/>
      <c r="B28" s="58"/>
      <c r="C28" s="5" t="s">
        <v>43</v>
      </c>
      <c r="D28" s="2" t="s">
        <v>20</v>
      </c>
    </row>
    <row r="29" spans="1:6" x14ac:dyDescent="0.55000000000000004">
      <c r="A29" s="58"/>
      <c r="B29" s="58"/>
      <c r="C29" s="5" t="s">
        <v>44</v>
      </c>
      <c r="D29" s="2">
        <v>2</v>
      </c>
      <c r="E29" s="1">
        <v>2</v>
      </c>
      <c r="F29" s="1">
        <v>2</v>
      </c>
    </row>
    <row r="30" spans="1:6" x14ac:dyDescent="0.55000000000000004">
      <c r="A30" s="58"/>
      <c r="B30" s="58"/>
      <c r="C30" s="5" t="s">
        <v>45</v>
      </c>
      <c r="D30" s="7">
        <v>26.3</v>
      </c>
      <c r="E30" s="10">
        <v>28.9</v>
      </c>
      <c r="F30" s="10">
        <f>(D30*$D$23 + E30*$E$23)/$F$23</f>
        <v>27.628888888888888</v>
      </c>
    </row>
    <row r="31" spans="1:6" x14ac:dyDescent="0.55000000000000004">
      <c r="A31" s="58"/>
      <c r="B31" s="58"/>
      <c r="C31" s="5" t="s">
        <v>46</v>
      </c>
      <c r="D31" s="7">
        <v>10.1</v>
      </c>
      <c r="E31" s="10">
        <v>8.6999999999999993</v>
      </c>
      <c r="F31" s="10">
        <f>SQRT((D23*(D31^2+(D30-F$30)^2)+E23*(E31^2+(E30-F$30)^2))/(D23+E23))</f>
        <v>9.4998274188352649</v>
      </c>
    </row>
    <row r="32" spans="1:6" x14ac:dyDescent="0.55000000000000004">
      <c r="A32" s="59" t="s">
        <v>47</v>
      </c>
      <c r="B32" s="59"/>
      <c r="C32" s="5"/>
    </row>
    <row r="33" spans="1:10" ht="77.7" x14ac:dyDescent="0.55000000000000004">
      <c r="A33" s="58"/>
      <c r="B33" s="58"/>
      <c r="C33" s="5" t="s">
        <v>48</v>
      </c>
      <c r="D33" s="2" t="s">
        <v>1433</v>
      </c>
    </row>
    <row r="34" spans="1:10" x14ac:dyDescent="0.55000000000000004">
      <c r="A34" s="59" t="s">
        <v>50</v>
      </c>
      <c r="B34" s="59"/>
      <c r="C34" s="5"/>
    </row>
    <row r="35" spans="1:10" x14ac:dyDescent="0.55000000000000004">
      <c r="A35" s="8"/>
      <c r="B35" s="8"/>
      <c r="C35" s="5"/>
      <c r="D35" s="12" t="s">
        <v>51</v>
      </c>
      <c r="E35" s="11" t="s">
        <v>52</v>
      </c>
      <c r="F35" s="11" t="s">
        <v>53</v>
      </c>
      <c r="G35" s="11" t="s">
        <v>54</v>
      </c>
      <c r="H35" s="11" t="s">
        <v>55</v>
      </c>
      <c r="I35" s="11" t="s">
        <v>56</v>
      </c>
      <c r="J35" s="11" t="s">
        <v>57</v>
      </c>
    </row>
    <row r="36" spans="1:10" x14ac:dyDescent="0.55000000000000004">
      <c r="A36" s="59"/>
      <c r="B36" s="5" t="s">
        <v>59</v>
      </c>
      <c r="C36" s="5"/>
    </row>
    <row r="37" spans="1:10" x14ac:dyDescent="0.55000000000000004">
      <c r="A37" s="59"/>
      <c r="B37" s="5"/>
      <c r="C37" s="5" t="s">
        <v>1434</v>
      </c>
      <c r="D37" s="10">
        <v>2.4444444444444402</v>
      </c>
      <c r="E37" s="10">
        <v>2.8641975308642</v>
      </c>
    </row>
    <row r="38" spans="1:10" x14ac:dyDescent="0.55000000000000004">
      <c r="A38" s="59"/>
      <c r="B38" s="5"/>
      <c r="C38" s="5" t="s">
        <v>1435</v>
      </c>
      <c r="D38" s="10">
        <v>1.4814814814814801</v>
      </c>
      <c r="E38" s="10">
        <v>2.7654320987654302</v>
      </c>
    </row>
    <row r="39" spans="1:10" x14ac:dyDescent="0.55000000000000004">
      <c r="A39" s="59"/>
      <c r="B39" s="5"/>
      <c r="C39" s="5" t="s">
        <v>172</v>
      </c>
      <c r="D39" s="10">
        <v>1.95061728395061</v>
      </c>
      <c r="E39" s="10">
        <v>2.0987654320987699</v>
      </c>
    </row>
    <row r="40" spans="1:10" x14ac:dyDescent="0.55000000000000004">
      <c r="A40" s="59"/>
      <c r="B40" s="5"/>
      <c r="C40" s="5" t="s">
        <v>173</v>
      </c>
      <c r="D40" s="10">
        <v>2.4444444444444402</v>
      </c>
      <c r="E40" s="10">
        <v>2.5185185185185199</v>
      </c>
    </row>
    <row r="41" spans="1:10" x14ac:dyDescent="0.55000000000000004">
      <c r="A41" s="59"/>
      <c r="B41" s="5"/>
      <c r="C41" s="5"/>
    </row>
    <row r="42" spans="1:10" x14ac:dyDescent="0.55000000000000004">
      <c r="A42" s="59"/>
      <c r="B42" s="5"/>
      <c r="C42" s="5"/>
    </row>
    <row r="43" spans="1:10" x14ac:dyDescent="0.55000000000000004">
      <c r="A43" s="59"/>
      <c r="B43" s="5"/>
      <c r="C43" s="5"/>
    </row>
    <row r="44" spans="1:10" x14ac:dyDescent="0.55000000000000004">
      <c r="A44" s="59"/>
      <c r="B44" s="5"/>
      <c r="C44" s="5"/>
    </row>
    <row r="45" spans="1:10" x14ac:dyDescent="0.55000000000000004">
      <c r="A45" s="59"/>
      <c r="B45" s="5" t="s">
        <v>61</v>
      </c>
      <c r="C45" s="5"/>
    </row>
    <row r="46" spans="1:10" x14ac:dyDescent="0.55000000000000004">
      <c r="A46" s="59"/>
      <c r="B46" s="5"/>
      <c r="C46" s="5"/>
    </row>
    <row r="47" spans="1:10" x14ac:dyDescent="0.55000000000000004">
      <c r="A47" s="59"/>
      <c r="B47" s="5"/>
      <c r="C47" s="5"/>
    </row>
    <row r="48" spans="1:10" x14ac:dyDescent="0.55000000000000004">
      <c r="A48" s="59"/>
      <c r="B48" s="5"/>
      <c r="C48" s="5"/>
    </row>
    <row r="49" spans="1:3" x14ac:dyDescent="0.55000000000000004">
      <c r="A49" s="59"/>
      <c r="B49" s="5"/>
      <c r="C49" s="5"/>
    </row>
    <row r="50" spans="1:3" x14ac:dyDescent="0.55000000000000004">
      <c r="A50" s="59"/>
      <c r="B50" s="5"/>
      <c r="C50" s="5"/>
    </row>
    <row r="51" spans="1:3" x14ac:dyDescent="0.55000000000000004">
      <c r="A51" s="59"/>
      <c r="B51" s="5"/>
      <c r="C51" s="5"/>
    </row>
    <row r="52" spans="1:3" x14ac:dyDescent="0.55000000000000004">
      <c r="A52" s="59"/>
      <c r="B52" s="5"/>
      <c r="C52" s="5"/>
    </row>
    <row r="53" spans="1:3" x14ac:dyDescent="0.55000000000000004">
      <c r="A53" s="59"/>
      <c r="B53" s="5"/>
      <c r="C53" s="5"/>
    </row>
    <row r="54" spans="1:3" x14ac:dyDescent="0.55000000000000004">
      <c r="A54" s="59"/>
      <c r="B54" s="5"/>
      <c r="C54" s="5"/>
    </row>
    <row r="55" spans="1:3" x14ac:dyDescent="0.55000000000000004">
      <c r="A55" s="59"/>
      <c r="B55" s="5"/>
      <c r="C55" s="5"/>
    </row>
    <row r="56" spans="1:3" x14ac:dyDescent="0.55000000000000004">
      <c r="A56" s="59"/>
      <c r="B56" s="5"/>
      <c r="C56" s="5"/>
    </row>
    <row r="57" spans="1:3" x14ac:dyDescent="0.55000000000000004">
      <c r="A57" s="59"/>
      <c r="B57" s="5"/>
      <c r="C57" s="5"/>
    </row>
    <row r="58" spans="1:3" x14ac:dyDescent="0.55000000000000004">
      <c r="A58" s="59"/>
      <c r="B58" s="5"/>
      <c r="C58" s="5"/>
    </row>
    <row r="59" spans="1:3" x14ac:dyDescent="0.55000000000000004">
      <c r="A59" s="59"/>
      <c r="B59" s="5"/>
      <c r="C59" s="5"/>
    </row>
    <row r="60" spans="1:3" x14ac:dyDescent="0.55000000000000004">
      <c r="A60" s="59"/>
      <c r="B60" s="5"/>
      <c r="C60" s="5"/>
    </row>
    <row r="61" spans="1:3" x14ac:dyDescent="0.55000000000000004">
      <c r="A61" s="59"/>
      <c r="B61" s="5"/>
      <c r="C61" s="5"/>
    </row>
    <row r="62" spans="1:3" x14ac:dyDescent="0.55000000000000004">
      <c r="A62" s="59"/>
      <c r="B62" s="5"/>
      <c r="C62" s="5"/>
    </row>
    <row r="63" spans="1:3" x14ac:dyDescent="0.55000000000000004">
      <c r="A63" s="59"/>
      <c r="B63" s="5"/>
      <c r="C63" s="5"/>
    </row>
    <row r="64" spans="1:3" x14ac:dyDescent="0.55000000000000004">
      <c r="A64" s="59"/>
      <c r="B64" s="5"/>
      <c r="C64" s="5"/>
    </row>
    <row r="65" spans="1:6" x14ac:dyDescent="0.55000000000000004">
      <c r="A65" s="59"/>
      <c r="B65" s="5" t="s">
        <v>62</v>
      </c>
      <c r="C65" s="5"/>
      <c r="D65" s="2">
        <f>16*7</f>
        <v>112</v>
      </c>
      <c r="E65" s="1" t="s">
        <v>1436</v>
      </c>
    </row>
    <row r="66" spans="1:6" x14ac:dyDescent="0.55000000000000004">
      <c r="A66" s="59"/>
      <c r="B66" s="5" t="s">
        <v>63</v>
      </c>
      <c r="C66" s="5"/>
      <c r="D66" s="2" t="s">
        <v>234</v>
      </c>
    </row>
    <row r="67" spans="1:6" x14ac:dyDescent="0.55000000000000004">
      <c r="A67" s="59" t="s">
        <v>65</v>
      </c>
      <c r="B67" s="59"/>
      <c r="C67" s="5"/>
    </row>
    <row r="68" spans="1:6" x14ac:dyDescent="0.55000000000000004">
      <c r="A68" s="3" t="s">
        <v>67</v>
      </c>
    </row>
    <row r="69" spans="1:6" x14ac:dyDescent="0.55000000000000004">
      <c r="A69" s="1" t="s">
        <v>68</v>
      </c>
      <c r="C69" s="1">
        <v>23</v>
      </c>
      <c r="D69" s="2">
        <v>24</v>
      </c>
      <c r="E69" s="1">
        <v>24</v>
      </c>
      <c r="F69" s="1">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dimension ref="A1:AMJ78"/>
  <sheetViews>
    <sheetView zoomScale="90" zoomScaleNormal="90" workbookViewId="0">
      <selection activeCell="D12" sqref="D12"/>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2.41796875" style="1" customWidth="1"/>
    <col min="6" max="6" width="36" style="1" customWidth="1"/>
    <col min="7" max="1024" width="11.41796875" style="1"/>
  </cols>
  <sheetData>
    <row r="1" spans="1:5" x14ac:dyDescent="0.55000000000000004">
      <c r="A1" s="3" t="s">
        <v>0</v>
      </c>
      <c r="D1" s="2" t="s">
        <v>1437</v>
      </c>
    </row>
    <row r="2" spans="1:5" x14ac:dyDescent="0.55000000000000004">
      <c r="A2" s="58" t="s">
        <v>2</v>
      </c>
      <c r="B2" s="58"/>
      <c r="D2" s="2" t="s">
        <v>1438</v>
      </c>
    </row>
    <row r="3" spans="1:5" ht="26.1" x14ac:dyDescent="0.55000000000000004">
      <c r="A3" s="58"/>
      <c r="B3" s="58"/>
      <c r="C3" s="5" t="s">
        <v>4</v>
      </c>
      <c r="D3" s="2" t="s">
        <v>1439</v>
      </c>
    </row>
    <row r="4" spans="1:5" x14ac:dyDescent="0.55000000000000004">
      <c r="A4" s="58"/>
      <c r="B4" s="58"/>
      <c r="C4" s="5" t="s">
        <v>6</v>
      </c>
      <c r="D4" s="2">
        <v>1999</v>
      </c>
    </row>
    <row r="5" spans="1:5" ht="26.1" x14ac:dyDescent="0.55000000000000004">
      <c r="A5" s="58"/>
      <c r="B5" s="58"/>
      <c r="C5" s="5" t="s">
        <v>7</v>
      </c>
      <c r="D5" s="2" t="s">
        <v>1440</v>
      </c>
    </row>
    <row r="6" spans="1:5" x14ac:dyDescent="0.55000000000000004">
      <c r="A6" s="58"/>
      <c r="B6" s="58"/>
      <c r="C6" s="5" t="s">
        <v>9</v>
      </c>
      <c r="D6" s="2" t="s">
        <v>10</v>
      </c>
    </row>
    <row r="7" spans="1:5" x14ac:dyDescent="0.55000000000000004">
      <c r="A7" s="58"/>
      <c r="B7" s="58"/>
      <c r="C7" s="5" t="s">
        <v>11</v>
      </c>
      <c r="D7" s="2" t="s">
        <v>12</v>
      </c>
    </row>
    <row r="8" spans="1:5" x14ac:dyDescent="0.55000000000000004">
      <c r="A8" s="59" t="s">
        <v>13</v>
      </c>
      <c r="B8" s="59"/>
      <c r="C8" s="5"/>
    </row>
    <row r="9" spans="1:5" ht="26.1" x14ac:dyDescent="0.55000000000000004">
      <c r="A9" s="58"/>
      <c r="B9" s="58"/>
      <c r="C9" s="5" t="s">
        <v>14</v>
      </c>
      <c r="D9" s="2" t="s">
        <v>1441</v>
      </c>
    </row>
    <row r="10" spans="1:5" x14ac:dyDescent="0.55000000000000004">
      <c r="A10" s="58"/>
      <c r="B10" s="58"/>
      <c r="C10" s="5" t="s">
        <v>16</v>
      </c>
      <c r="D10" s="2" t="s">
        <v>17</v>
      </c>
      <c r="E10" s="1" t="s">
        <v>496</v>
      </c>
    </row>
    <row r="11" spans="1:5" x14ac:dyDescent="0.55000000000000004">
      <c r="A11" s="58"/>
      <c r="B11" s="58"/>
      <c r="C11" s="5" t="s">
        <v>19</v>
      </c>
      <c r="D11" s="2" t="s">
        <v>20</v>
      </c>
    </row>
    <row r="12" spans="1:5" x14ac:dyDescent="0.55000000000000004">
      <c r="A12" s="58"/>
      <c r="B12" s="58"/>
      <c r="C12" s="5" t="s">
        <v>21</v>
      </c>
      <c r="D12" s="2" t="s">
        <v>20</v>
      </c>
    </row>
    <row r="13" spans="1:5" x14ac:dyDescent="0.55000000000000004">
      <c r="A13" s="58"/>
      <c r="B13" s="58"/>
      <c r="C13" s="5" t="s">
        <v>22</v>
      </c>
      <c r="D13" s="2" t="s">
        <v>20</v>
      </c>
    </row>
    <row r="14" spans="1:5" x14ac:dyDescent="0.55000000000000004">
      <c r="A14" s="59" t="s">
        <v>24</v>
      </c>
      <c r="B14" s="59"/>
      <c r="C14" s="5"/>
    </row>
    <row r="15" spans="1:5" x14ac:dyDescent="0.55000000000000004">
      <c r="A15" s="58"/>
      <c r="B15" s="58"/>
      <c r="C15" s="5" t="s">
        <v>25</v>
      </c>
      <c r="D15" s="2" t="s">
        <v>1442</v>
      </c>
    </row>
    <row r="16" spans="1:5" ht="39" x14ac:dyDescent="0.55000000000000004">
      <c r="A16" s="58"/>
      <c r="B16" s="58"/>
      <c r="C16" s="5" t="s">
        <v>27</v>
      </c>
      <c r="D16" s="2" t="s">
        <v>1443</v>
      </c>
    </row>
    <row r="17" spans="1:5" x14ac:dyDescent="0.55000000000000004">
      <c r="A17" s="59" t="s">
        <v>29</v>
      </c>
      <c r="B17" s="59"/>
      <c r="C17" s="5"/>
    </row>
    <row r="18" spans="1:5" x14ac:dyDescent="0.55000000000000004">
      <c r="A18" s="58"/>
      <c r="B18" s="58"/>
      <c r="C18" s="5" t="s">
        <v>30</v>
      </c>
      <c r="D18" s="2" t="s">
        <v>1444</v>
      </c>
    </row>
    <row r="19" spans="1:5" x14ac:dyDescent="0.55000000000000004">
      <c r="A19" s="58"/>
      <c r="B19" s="58"/>
      <c r="C19" s="5" t="s">
        <v>32</v>
      </c>
      <c r="D19" s="2" t="s">
        <v>1445</v>
      </c>
    </row>
    <row r="20" spans="1:5" x14ac:dyDescent="0.55000000000000004">
      <c r="A20" s="59" t="s">
        <v>34</v>
      </c>
      <c r="B20" s="59"/>
      <c r="C20" s="5"/>
      <c r="D20" s="2" t="s">
        <v>35</v>
      </c>
    </row>
    <row r="21" spans="1:5" x14ac:dyDescent="0.55000000000000004">
      <c r="A21" s="58"/>
      <c r="B21" s="58"/>
      <c r="C21" s="5" t="s">
        <v>36</v>
      </c>
      <c r="D21" s="2" t="s">
        <v>20</v>
      </c>
    </row>
    <row r="22" spans="1:5" x14ac:dyDescent="0.55000000000000004">
      <c r="A22" s="58"/>
      <c r="B22" s="58"/>
      <c r="C22" s="5" t="s">
        <v>37</v>
      </c>
      <c r="D22" s="2">
        <v>17</v>
      </c>
    </row>
    <row r="23" spans="1:5" x14ac:dyDescent="0.55000000000000004">
      <c r="A23" s="58"/>
      <c r="B23" s="58"/>
      <c r="C23" s="5" t="s">
        <v>38</v>
      </c>
      <c r="D23" s="2">
        <v>16</v>
      </c>
    </row>
    <row r="24" spans="1:5" x14ac:dyDescent="0.55000000000000004">
      <c r="A24" s="58"/>
      <c r="B24" s="58"/>
      <c r="C24" s="5" t="s">
        <v>39</v>
      </c>
      <c r="D24" s="2">
        <v>1</v>
      </c>
    </row>
    <row r="25" spans="1:5" x14ac:dyDescent="0.55000000000000004">
      <c r="A25" s="58"/>
      <c r="B25" s="58"/>
      <c r="C25" s="5" t="s">
        <v>40</v>
      </c>
      <c r="D25" s="2">
        <v>47</v>
      </c>
    </row>
    <row r="26" spans="1:5" x14ac:dyDescent="0.55000000000000004">
      <c r="A26" s="58"/>
      <c r="B26" s="58"/>
      <c r="C26" s="5" t="s">
        <v>41</v>
      </c>
      <c r="D26" s="2">
        <v>63.9</v>
      </c>
    </row>
    <row r="27" spans="1:5" x14ac:dyDescent="0.55000000000000004">
      <c r="A27" s="58"/>
      <c r="B27" s="58"/>
      <c r="C27" s="5" t="s">
        <v>42</v>
      </c>
      <c r="D27" s="2" t="s">
        <v>20</v>
      </c>
    </row>
    <row r="28" spans="1:5" x14ac:dyDescent="0.55000000000000004">
      <c r="A28" s="58"/>
      <c r="B28" s="58"/>
      <c r="C28" s="5" t="s">
        <v>43</v>
      </c>
      <c r="D28" s="2" t="s">
        <v>20</v>
      </c>
    </row>
    <row r="29" spans="1:5" x14ac:dyDescent="0.55000000000000004">
      <c r="A29" s="58"/>
      <c r="B29" s="58"/>
      <c r="C29" s="5" t="s">
        <v>44</v>
      </c>
      <c r="D29" s="7">
        <v>2.8</v>
      </c>
      <c r="E29" s="1" t="s">
        <v>51</v>
      </c>
    </row>
    <row r="30" spans="1:5" x14ac:dyDescent="0.55000000000000004">
      <c r="A30" s="58"/>
      <c r="B30" s="58"/>
      <c r="C30" s="5" t="s">
        <v>45</v>
      </c>
      <c r="D30" s="2" t="s">
        <v>20</v>
      </c>
    </row>
    <row r="31" spans="1:5" x14ac:dyDescent="0.55000000000000004">
      <c r="A31" s="58"/>
      <c r="B31" s="58"/>
      <c r="C31" s="5" t="s">
        <v>46</v>
      </c>
      <c r="D31" s="2" t="s">
        <v>20</v>
      </c>
    </row>
    <row r="32" spans="1:5" x14ac:dyDescent="0.55000000000000004">
      <c r="A32" s="59" t="s">
        <v>47</v>
      </c>
      <c r="B32" s="59"/>
      <c r="C32" s="5"/>
    </row>
    <row r="33" spans="1:10" ht="39" x14ac:dyDescent="0.55000000000000004">
      <c r="A33" s="58"/>
      <c r="B33" s="58"/>
      <c r="C33" s="5" t="s">
        <v>48</v>
      </c>
      <c r="D33" s="2" t="s">
        <v>1446</v>
      </c>
    </row>
    <row r="34" spans="1:10" x14ac:dyDescent="0.55000000000000004">
      <c r="A34" s="59" t="s">
        <v>50</v>
      </c>
      <c r="B34" s="59"/>
      <c r="C34" s="5"/>
    </row>
    <row r="35" spans="1:10" x14ac:dyDescent="0.55000000000000004">
      <c r="A35" s="8"/>
      <c r="B35" s="8"/>
      <c r="C35" s="5"/>
      <c r="D35" s="12" t="s">
        <v>51</v>
      </c>
      <c r="E35" s="11" t="s">
        <v>52</v>
      </c>
      <c r="F35" s="11" t="s">
        <v>53</v>
      </c>
      <c r="G35" s="11" t="s">
        <v>54</v>
      </c>
      <c r="H35" s="11" t="s">
        <v>55</v>
      </c>
      <c r="I35" s="11" t="s">
        <v>56</v>
      </c>
      <c r="J35" s="11" t="s">
        <v>57</v>
      </c>
    </row>
    <row r="36" spans="1:10" x14ac:dyDescent="0.55000000000000004">
      <c r="A36" s="59"/>
      <c r="B36" s="5" t="s">
        <v>59</v>
      </c>
      <c r="C36" s="5"/>
    </row>
    <row r="37" spans="1:10" x14ac:dyDescent="0.55000000000000004">
      <c r="A37" s="59"/>
      <c r="B37" s="5"/>
      <c r="C37" s="5" t="s">
        <v>260</v>
      </c>
      <c r="D37" s="7">
        <f>D71+D75</f>
        <v>15.43933054393305</v>
      </c>
      <c r="E37" s="41"/>
    </row>
    <row r="38" spans="1:10" x14ac:dyDescent="0.55000000000000004">
      <c r="A38" s="59"/>
      <c r="B38" s="5"/>
      <c r="C38" s="5" t="s">
        <v>261</v>
      </c>
      <c r="D38" s="7">
        <f>D72+D76</f>
        <v>3.31380753138076</v>
      </c>
      <c r="E38" s="41"/>
      <c r="F38" s="39"/>
    </row>
    <row r="39" spans="1:10" x14ac:dyDescent="0.55000000000000004">
      <c r="A39" s="59"/>
      <c r="B39" s="5"/>
      <c r="C39" s="5" t="s">
        <v>1447</v>
      </c>
      <c r="D39" s="7">
        <f>D73+D77</f>
        <v>22.46861924686192</v>
      </c>
      <c r="E39" s="41"/>
    </row>
    <row r="40" spans="1:10" x14ac:dyDescent="0.55000000000000004">
      <c r="A40" s="59"/>
      <c r="B40" s="5"/>
      <c r="C40" s="5" t="s">
        <v>1448</v>
      </c>
      <c r="D40" s="7">
        <f>D78</f>
        <v>4.1087866108786599</v>
      </c>
    </row>
    <row r="41" spans="1:10" x14ac:dyDescent="0.55000000000000004">
      <c r="A41" s="59"/>
    </row>
    <row r="42" spans="1:10" x14ac:dyDescent="0.55000000000000004">
      <c r="A42" s="59"/>
      <c r="B42" s="5"/>
    </row>
    <row r="43" spans="1:10" x14ac:dyDescent="0.55000000000000004">
      <c r="A43" s="59"/>
      <c r="B43" s="5"/>
    </row>
    <row r="44" spans="1:10" x14ac:dyDescent="0.55000000000000004">
      <c r="A44" s="59"/>
      <c r="B44" s="5"/>
    </row>
    <row r="45" spans="1:10" x14ac:dyDescent="0.55000000000000004">
      <c r="A45" s="59"/>
      <c r="B45" s="5" t="s">
        <v>61</v>
      </c>
      <c r="C45" s="5"/>
    </row>
    <row r="46" spans="1:10" x14ac:dyDescent="0.55000000000000004">
      <c r="A46" s="59"/>
      <c r="B46" s="5"/>
      <c r="C46" s="5" t="s">
        <v>79</v>
      </c>
      <c r="D46" s="2">
        <v>1</v>
      </c>
    </row>
    <row r="47" spans="1:10" x14ac:dyDescent="0.55000000000000004">
      <c r="A47" s="59"/>
      <c r="B47" s="5"/>
      <c r="C47" s="5"/>
    </row>
    <row r="48" spans="1:10" x14ac:dyDescent="0.55000000000000004">
      <c r="A48" s="59"/>
      <c r="B48" s="5"/>
      <c r="C48" s="5"/>
    </row>
    <row r="49" spans="1:3" x14ac:dyDescent="0.55000000000000004">
      <c r="A49" s="59"/>
      <c r="B49" s="5"/>
      <c r="C49" s="5"/>
    </row>
    <row r="50" spans="1:3" x14ac:dyDescent="0.55000000000000004">
      <c r="A50" s="59"/>
      <c r="B50" s="5"/>
      <c r="C50" s="5"/>
    </row>
    <row r="51" spans="1:3" x14ac:dyDescent="0.55000000000000004">
      <c r="A51" s="59"/>
      <c r="B51" s="5"/>
      <c r="C51" s="5"/>
    </row>
    <row r="52" spans="1:3" x14ac:dyDescent="0.55000000000000004">
      <c r="A52" s="59"/>
      <c r="B52" s="5"/>
      <c r="C52" s="5"/>
    </row>
    <row r="53" spans="1:3" x14ac:dyDescent="0.55000000000000004">
      <c r="A53" s="59"/>
      <c r="B53" s="5"/>
      <c r="C53" s="5"/>
    </row>
    <row r="54" spans="1:3" x14ac:dyDescent="0.55000000000000004">
      <c r="A54" s="59"/>
      <c r="B54" s="5"/>
      <c r="C54" s="5"/>
    </row>
    <row r="55" spans="1:3" x14ac:dyDescent="0.55000000000000004">
      <c r="A55" s="59"/>
      <c r="B55" s="5"/>
      <c r="C55" s="5"/>
    </row>
    <row r="56" spans="1:3" x14ac:dyDescent="0.55000000000000004">
      <c r="A56" s="59"/>
      <c r="B56" s="5"/>
      <c r="C56" s="5"/>
    </row>
    <row r="57" spans="1:3" x14ac:dyDescent="0.55000000000000004">
      <c r="A57" s="59"/>
      <c r="B57" s="5"/>
      <c r="C57" s="5"/>
    </row>
    <row r="58" spans="1:3" x14ac:dyDescent="0.55000000000000004">
      <c r="A58" s="59"/>
      <c r="C58" s="5"/>
    </row>
    <row r="59" spans="1:3" s="1" customFormat="1" ht="12.9" x14ac:dyDescent="0.5">
      <c r="A59" s="59"/>
      <c r="B59" s="5"/>
    </row>
    <row r="60" spans="1:3" x14ac:dyDescent="0.55000000000000004">
      <c r="A60" s="59"/>
      <c r="B60" s="5"/>
      <c r="C60" s="5"/>
    </row>
    <row r="61" spans="1:3" x14ac:dyDescent="0.55000000000000004">
      <c r="A61" s="59"/>
      <c r="B61" s="5"/>
      <c r="C61" s="5"/>
    </row>
    <row r="62" spans="1:3" x14ac:dyDescent="0.55000000000000004">
      <c r="A62" s="59"/>
      <c r="B62" s="5"/>
      <c r="C62" s="5"/>
    </row>
    <row r="63" spans="1:3" x14ac:dyDescent="0.55000000000000004">
      <c r="A63" s="59"/>
      <c r="B63" s="5"/>
      <c r="C63" s="5"/>
    </row>
    <row r="64" spans="1:3" x14ac:dyDescent="0.55000000000000004">
      <c r="A64" s="59"/>
      <c r="B64" s="5"/>
      <c r="C64" s="5"/>
    </row>
    <row r="65" spans="1:5" x14ac:dyDescent="0.55000000000000004">
      <c r="A65" s="59"/>
      <c r="B65" s="5" t="s">
        <v>62</v>
      </c>
      <c r="C65" s="5"/>
      <c r="D65" s="2">
        <f>1/1440*45</f>
        <v>3.125E-2</v>
      </c>
      <c r="E65" s="1" t="s">
        <v>1449</v>
      </c>
    </row>
    <row r="66" spans="1:5" x14ac:dyDescent="0.55000000000000004">
      <c r="A66" s="59"/>
      <c r="B66" s="5" t="s">
        <v>63</v>
      </c>
      <c r="C66" s="5"/>
      <c r="D66" s="2" t="s">
        <v>64</v>
      </c>
    </row>
    <row r="67" spans="1:5" ht="26.1" x14ac:dyDescent="0.55000000000000004">
      <c r="A67" s="59" t="s">
        <v>65</v>
      </c>
      <c r="B67" s="59"/>
      <c r="C67" s="5"/>
      <c r="D67" s="2" t="s">
        <v>1450</v>
      </c>
    </row>
    <row r="68" spans="1:5" x14ac:dyDescent="0.55000000000000004">
      <c r="A68" s="3" t="s">
        <v>67</v>
      </c>
    </row>
    <row r="69" spans="1:5" x14ac:dyDescent="0.55000000000000004">
      <c r="A69" s="1" t="s">
        <v>68</v>
      </c>
      <c r="C69" s="1">
        <v>14</v>
      </c>
      <c r="D69" s="2">
        <v>28</v>
      </c>
    </row>
    <row r="70" spans="1:5" x14ac:dyDescent="0.55000000000000004">
      <c r="B70" s="1" t="s">
        <v>952</v>
      </c>
    </row>
    <row r="71" spans="1:5" x14ac:dyDescent="0.55000000000000004">
      <c r="C71" s="5" t="s">
        <v>127</v>
      </c>
      <c r="D71" s="10">
        <v>7.4142259414225897</v>
      </c>
    </row>
    <row r="72" spans="1:5" x14ac:dyDescent="0.55000000000000004">
      <c r="C72" s="5" t="s">
        <v>128</v>
      </c>
      <c r="D72" s="10">
        <v>0.18410041841005001</v>
      </c>
    </row>
    <row r="73" spans="1:5" x14ac:dyDescent="0.55000000000000004">
      <c r="C73" s="5" t="s">
        <v>1451</v>
      </c>
      <c r="D73" s="10">
        <v>8.4686192468619197</v>
      </c>
    </row>
    <row r="74" spans="1:5" x14ac:dyDescent="0.55000000000000004">
      <c r="C74" s="5" t="s">
        <v>1452</v>
      </c>
      <c r="D74" s="10">
        <v>2.7949790794979101</v>
      </c>
    </row>
    <row r="75" spans="1:5" x14ac:dyDescent="0.55000000000000004">
      <c r="C75" s="5" t="s">
        <v>1453</v>
      </c>
      <c r="D75" s="7">
        <v>8.02510460251046</v>
      </c>
    </row>
    <row r="76" spans="1:5" x14ac:dyDescent="0.55000000000000004">
      <c r="C76" s="5" t="s">
        <v>1454</v>
      </c>
      <c r="D76" s="7">
        <v>3.1297071129707099</v>
      </c>
    </row>
    <row r="77" spans="1:5" x14ac:dyDescent="0.55000000000000004">
      <c r="C77" s="29" t="s">
        <v>1455</v>
      </c>
      <c r="D77" s="7">
        <v>14</v>
      </c>
    </row>
    <row r="78" spans="1:5" x14ac:dyDescent="0.55000000000000004">
      <c r="C78" s="5" t="s">
        <v>1456</v>
      </c>
      <c r="D78" s="7">
        <v>4.1087866108786599</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11023622047" footer="0.511811023622047"/>
  <pageSetup paperSize="9" orientation="portrait" horizontalDpi="300" verticalDpi="300"/>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dimension ref="A1:AMJ82"/>
  <sheetViews>
    <sheetView topLeftCell="A31" zoomScale="90" zoomScaleNormal="90" workbookViewId="0">
      <selection activeCell="D37" sqref="D37"/>
    </sheetView>
  </sheetViews>
  <sheetFormatPr baseColWidth="10" defaultColWidth="11.41796875" defaultRowHeight="14.4" x14ac:dyDescent="0.55000000000000004"/>
  <cols>
    <col min="1" max="1" width="57.15625" style="1" customWidth="1"/>
    <col min="2" max="2" width="18.83984375" style="1" customWidth="1"/>
    <col min="3" max="3" width="57.578125" style="1" customWidth="1"/>
    <col min="4" max="4" width="55.83984375" style="2" customWidth="1"/>
    <col min="5" max="5" width="14.83984375" style="1" customWidth="1"/>
    <col min="6" max="6" width="4.83984375" style="1" customWidth="1"/>
    <col min="7" max="7" width="5.26171875" style="1" customWidth="1"/>
    <col min="8" max="8" width="5.83984375" style="1" customWidth="1"/>
    <col min="9" max="1024" width="11.41796875" style="1"/>
  </cols>
  <sheetData>
    <row r="1" spans="1:4" x14ac:dyDescent="0.55000000000000004">
      <c r="A1" s="19" t="s">
        <v>1457</v>
      </c>
      <c r="D1" s="2" t="s">
        <v>193</v>
      </c>
    </row>
    <row r="2" spans="1:4" x14ac:dyDescent="0.55000000000000004">
      <c r="A2" s="58" t="s">
        <v>2</v>
      </c>
      <c r="B2" s="58"/>
      <c r="D2" s="1" t="s">
        <v>1458</v>
      </c>
    </row>
    <row r="3" spans="1:4" x14ac:dyDescent="0.55000000000000004">
      <c r="A3" s="58"/>
      <c r="B3" s="58"/>
      <c r="C3" s="5" t="s">
        <v>4</v>
      </c>
      <c r="D3" s="2" t="s">
        <v>1459</v>
      </c>
    </row>
    <row r="4" spans="1:4" x14ac:dyDescent="0.55000000000000004">
      <c r="A4" s="58"/>
      <c r="B4" s="58"/>
      <c r="C4" s="5" t="s">
        <v>6</v>
      </c>
      <c r="D4" s="2">
        <v>2002</v>
      </c>
    </row>
    <row r="5" spans="1:4" x14ac:dyDescent="0.55000000000000004">
      <c r="A5" s="58"/>
      <c r="B5" s="58"/>
      <c r="C5" s="5" t="s">
        <v>7</v>
      </c>
      <c r="D5" s="2" t="s">
        <v>1460</v>
      </c>
    </row>
    <row r="6" spans="1:4" x14ac:dyDescent="0.55000000000000004">
      <c r="A6" s="58"/>
      <c r="B6" s="58"/>
      <c r="C6" s="5" t="s">
        <v>9</v>
      </c>
      <c r="D6" s="2" t="s">
        <v>1461</v>
      </c>
    </row>
    <row r="7" spans="1:4" x14ac:dyDescent="0.55000000000000004">
      <c r="A7" s="58"/>
      <c r="B7" s="58"/>
      <c r="C7" s="5" t="s">
        <v>11</v>
      </c>
      <c r="D7" s="2" t="s">
        <v>12</v>
      </c>
    </row>
    <row r="8" spans="1:4" x14ac:dyDescent="0.55000000000000004">
      <c r="A8" s="59" t="s">
        <v>13</v>
      </c>
      <c r="B8" s="59"/>
      <c r="C8" s="5"/>
    </row>
    <row r="9" spans="1:4" x14ac:dyDescent="0.55000000000000004">
      <c r="A9" s="58"/>
      <c r="B9" s="58"/>
      <c r="C9" s="5" t="s">
        <v>14</v>
      </c>
      <c r="D9" s="2" t="s">
        <v>1462</v>
      </c>
    </row>
    <row r="10" spans="1:4" x14ac:dyDescent="0.55000000000000004">
      <c r="A10" s="58"/>
      <c r="B10" s="58"/>
      <c r="C10" s="5" t="s">
        <v>16</v>
      </c>
      <c r="D10" s="2" t="s">
        <v>165</v>
      </c>
    </row>
    <row r="11" spans="1:4" x14ac:dyDescent="0.55000000000000004">
      <c r="A11" s="58"/>
      <c r="B11" s="58"/>
      <c r="C11" s="5" t="s">
        <v>19</v>
      </c>
      <c r="D11" s="2" t="s">
        <v>20</v>
      </c>
    </row>
    <row r="12" spans="1:4" x14ac:dyDescent="0.55000000000000004">
      <c r="A12" s="58"/>
      <c r="B12" s="58"/>
      <c r="C12" s="5" t="s">
        <v>21</v>
      </c>
      <c r="D12" s="2" t="s">
        <v>20</v>
      </c>
    </row>
    <row r="13" spans="1:4" x14ac:dyDescent="0.55000000000000004">
      <c r="A13" s="58"/>
      <c r="B13" s="58"/>
      <c r="C13" s="5" t="s">
        <v>22</v>
      </c>
      <c r="D13" s="2" t="s">
        <v>20</v>
      </c>
    </row>
    <row r="14" spans="1:4" x14ac:dyDescent="0.55000000000000004">
      <c r="A14" s="59" t="s">
        <v>24</v>
      </c>
      <c r="B14" s="59"/>
      <c r="C14" s="5"/>
    </row>
    <row r="15" spans="1:4" x14ac:dyDescent="0.55000000000000004">
      <c r="A15" s="58"/>
      <c r="B15" s="58"/>
      <c r="C15" s="5" t="s">
        <v>25</v>
      </c>
      <c r="D15" s="2" t="s">
        <v>537</v>
      </c>
    </row>
    <row r="16" spans="1:4" x14ac:dyDescent="0.55000000000000004">
      <c r="A16" s="58"/>
      <c r="B16" s="58"/>
      <c r="C16" s="5" t="s">
        <v>27</v>
      </c>
      <c r="D16" s="2" t="s">
        <v>1463</v>
      </c>
    </row>
    <row r="17" spans="1:7" x14ac:dyDescent="0.55000000000000004">
      <c r="A17" s="59" t="s">
        <v>29</v>
      </c>
      <c r="B17" s="59"/>
      <c r="C17" s="5"/>
    </row>
    <row r="18" spans="1:7" ht="39" x14ac:dyDescent="0.55000000000000004">
      <c r="A18" s="58"/>
      <c r="B18" s="58"/>
      <c r="C18" s="5" t="s">
        <v>30</v>
      </c>
      <c r="D18" s="2" t="s">
        <v>1464</v>
      </c>
    </row>
    <row r="19" spans="1:7" ht="77.7" x14ac:dyDescent="0.55000000000000004">
      <c r="A19" s="58"/>
      <c r="B19" s="58"/>
      <c r="C19" s="5" t="s">
        <v>32</v>
      </c>
      <c r="D19" s="2" t="s">
        <v>1465</v>
      </c>
    </row>
    <row r="20" spans="1:7" x14ac:dyDescent="0.55000000000000004">
      <c r="A20" s="59" t="s">
        <v>34</v>
      </c>
      <c r="B20" s="59"/>
      <c r="C20" s="5"/>
      <c r="D20" s="2" t="s">
        <v>193</v>
      </c>
      <c r="E20" s="1" t="s">
        <v>109</v>
      </c>
      <c r="F20" s="1" t="s">
        <v>35</v>
      </c>
    </row>
    <row r="21" spans="1:7" x14ac:dyDescent="0.55000000000000004">
      <c r="A21" s="58"/>
      <c r="B21" s="58"/>
      <c r="C21" s="5" t="s">
        <v>36</v>
      </c>
      <c r="D21" s="2" t="s">
        <v>20</v>
      </c>
      <c r="E21" s="1" t="s">
        <v>20</v>
      </c>
      <c r="F21" s="1" t="s">
        <v>20</v>
      </c>
    </row>
    <row r="22" spans="1:7" x14ac:dyDescent="0.55000000000000004">
      <c r="A22" s="58"/>
      <c r="B22" s="58"/>
      <c r="C22" s="5" t="s">
        <v>37</v>
      </c>
      <c r="D22" s="2">
        <v>116</v>
      </c>
      <c r="E22" s="1">
        <v>125</v>
      </c>
      <c r="F22" s="1">
        <v>241</v>
      </c>
    </row>
    <row r="23" spans="1:7" x14ac:dyDescent="0.55000000000000004">
      <c r="A23" s="58"/>
      <c r="B23" s="58"/>
      <c r="C23" s="5" t="s">
        <v>38</v>
      </c>
      <c r="D23" s="2">
        <v>109</v>
      </c>
      <c r="E23" s="1">
        <v>120</v>
      </c>
      <c r="F23" s="1">
        <f>SUM(D23:E23)</f>
        <v>229</v>
      </c>
    </row>
    <row r="24" spans="1:7" x14ac:dyDescent="0.55000000000000004">
      <c r="A24" s="58"/>
      <c r="B24" s="58"/>
      <c r="C24" s="5" t="s">
        <v>39</v>
      </c>
      <c r="D24" s="2">
        <f>D22-D23</f>
        <v>7</v>
      </c>
      <c r="E24" s="1">
        <f>E22-E23</f>
        <v>5</v>
      </c>
      <c r="F24" s="1">
        <f>F22-F23</f>
        <v>12</v>
      </c>
    </row>
    <row r="25" spans="1:7" x14ac:dyDescent="0.55000000000000004">
      <c r="A25" s="58"/>
      <c r="B25" s="58"/>
      <c r="C25" s="5" t="s">
        <v>40</v>
      </c>
      <c r="D25" s="7">
        <f>56/116</f>
        <v>0.48275862068965519</v>
      </c>
      <c r="E25" s="10">
        <f>61/125</f>
        <v>0.48799999999999999</v>
      </c>
      <c r="F25" s="10">
        <f>(D25*D$22+E25*E$22)/SUM(D$22:E$22)</f>
        <v>0.48547717842323651</v>
      </c>
      <c r="G25" s="10"/>
    </row>
    <row r="26" spans="1:7" x14ac:dyDescent="0.55000000000000004">
      <c r="A26" s="58"/>
      <c r="B26" s="58"/>
      <c r="C26" s="5" t="s">
        <v>41</v>
      </c>
      <c r="D26" s="7">
        <v>62</v>
      </c>
      <c r="E26" s="10">
        <v>64</v>
      </c>
      <c r="F26" s="10">
        <f>(D26*D22+E26*E22)/SUM(D22:E22)</f>
        <v>63.037344398340252</v>
      </c>
      <c r="G26" s="10"/>
    </row>
    <row r="27" spans="1:7" x14ac:dyDescent="0.55000000000000004">
      <c r="A27" s="58"/>
      <c r="B27" s="58"/>
      <c r="C27" s="5" t="s">
        <v>42</v>
      </c>
      <c r="D27" s="7">
        <v>11</v>
      </c>
      <c r="E27" s="10">
        <v>11</v>
      </c>
      <c r="F27" s="10">
        <f>SQRT((D22*(D27^2+(F$26-D26)^2)+E22*(E27^2+(F$26-E26)^2))/F$22)</f>
        <v>11.045297886246102</v>
      </c>
      <c r="G27" s="10"/>
    </row>
    <row r="28" spans="1:7" x14ac:dyDescent="0.55000000000000004">
      <c r="A28" s="58"/>
      <c r="B28" s="58"/>
      <c r="C28" s="5" t="s">
        <v>43</v>
      </c>
      <c r="D28" s="2" t="s">
        <v>20</v>
      </c>
      <c r="E28" s="1" t="s">
        <v>20</v>
      </c>
      <c r="F28" s="1" t="s">
        <v>20</v>
      </c>
    </row>
    <row r="29" spans="1:7" x14ac:dyDescent="0.55000000000000004">
      <c r="A29" s="58"/>
      <c r="B29" s="58"/>
      <c r="C29" s="5" t="s">
        <v>44</v>
      </c>
      <c r="D29" s="2">
        <v>2</v>
      </c>
      <c r="E29" s="1">
        <v>2</v>
      </c>
      <c r="F29" s="1">
        <v>2</v>
      </c>
    </row>
    <row r="30" spans="1:7" x14ac:dyDescent="0.55000000000000004">
      <c r="A30" s="58"/>
      <c r="B30" s="58"/>
      <c r="C30" s="5" t="s">
        <v>45</v>
      </c>
      <c r="D30" s="7">
        <v>17.899999999999999</v>
      </c>
      <c r="E30" s="10">
        <v>17.7</v>
      </c>
      <c r="F30" s="10">
        <f>(D30*D$23+E30*E$23)/SUM(D$23:E$23)</f>
        <v>17.795196506550219</v>
      </c>
      <c r="G30" s="10"/>
    </row>
    <row r="31" spans="1:7" x14ac:dyDescent="0.55000000000000004">
      <c r="A31" s="58"/>
      <c r="B31" s="58"/>
      <c r="C31" s="5" t="s">
        <v>46</v>
      </c>
      <c r="D31" s="7">
        <v>8.8000000000000007</v>
      </c>
      <c r="E31" s="10">
        <v>8.1</v>
      </c>
      <c r="F31" s="10">
        <f>SQRT((D23*(D31^2+(F$30-D30)^2)+E23*(E31^2+(F$30-E30)^2))/F$23)</f>
        <v>8.4410218746841377</v>
      </c>
      <c r="G31" s="10"/>
    </row>
    <row r="32" spans="1:7" x14ac:dyDescent="0.55000000000000004">
      <c r="A32" s="59" t="s">
        <v>47</v>
      </c>
      <c r="B32" s="59"/>
      <c r="C32" s="5"/>
    </row>
    <row r="33" spans="1:11" ht="64.8" x14ac:dyDescent="0.55000000000000004">
      <c r="A33" s="58"/>
      <c r="B33" s="58"/>
      <c r="C33" s="5" t="s">
        <v>48</v>
      </c>
      <c r="D33" s="2" t="s">
        <v>1466</v>
      </c>
    </row>
    <row r="34" spans="1:11" x14ac:dyDescent="0.55000000000000004">
      <c r="A34" s="59" t="s">
        <v>50</v>
      </c>
      <c r="B34" s="59"/>
      <c r="C34" s="5"/>
    </row>
    <row r="35" spans="1:11" x14ac:dyDescent="0.55000000000000004">
      <c r="A35" s="8"/>
      <c r="B35" s="8"/>
      <c r="C35" s="5"/>
    </row>
    <row r="36" spans="1:11" x14ac:dyDescent="0.55000000000000004">
      <c r="A36" s="59"/>
      <c r="B36" s="5" t="s">
        <v>59</v>
      </c>
      <c r="C36" s="5"/>
      <c r="D36" s="2" t="s">
        <v>51</v>
      </c>
      <c r="E36" s="1" t="s">
        <v>52</v>
      </c>
      <c r="F36" s="1" t="s">
        <v>53</v>
      </c>
      <c r="G36" s="1" t="s">
        <v>54</v>
      </c>
      <c r="H36" s="1" t="s">
        <v>55</v>
      </c>
      <c r="I36" s="1" t="s">
        <v>56</v>
      </c>
      <c r="J36" s="1" t="s">
        <v>57</v>
      </c>
      <c r="K36" s="1" t="s">
        <v>58</v>
      </c>
    </row>
    <row r="37" spans="1:11" x14ac:dyDescent="0.55000000000000004">
      <c r="A37" s="59"/>
      <c r="B37" s="5"/>
      <c r="C37" s="5" t="s">
        <v>204</v>
      </c>
      <c r="D37" s="7">
        <v>-0.71</v>
      </c>
      <c r="E37" s="10">
        <v>3.14</v>
      </c>
      <c r="J37" s="10">
        <v>2.5499999999999998</v>
      </c>
    </row>
    <row r="38" spans="1:11" x14ac:dyDescent="0.55000000000000004">
      <c r="A38" s="59"/>
      <c r="B38" s="5"/>
      <c r="C38" s="5" t="s">
        <v>1467</v>
      </c>
      <c r="D38" s="7">
        <v>-0.86</v>
      </c>
      <c r="E38" s="10">
        <v>4.2699999999999996</v>
      </c>
      <c r="J38" s="10">
        <v>4.28</v>
      </c>
    </row>
    <row r="39" spans="1:11" x14ac:dyDescent="0.55000000000000004">
      <c r="A39" s="59"/>
      <c r="B39" s="5"/>
    </row>
    <row r="40" spans="1:11" x14ac:dyDescent="0.55000000000000004">
      <c r="A40" s="59"/>
      <c r="B40" s="5"/>
    </row>
    <row r="41" spans="1:11" x14ac:dyDescent="0.55000000000000004">
      <c r="A41" s="59"/>
      <c r="B41" s="5"/>
    </row>
    <row r="42" spans="1:11" x14ac:dyDescent="0.55000000000000004">
      <c r="A42" s="59"/>
      <c r="B42" s="5"/>
    </row>
    <row r="43" spans="1:11" x14ac:dyDescent="0.55000000000000004">
      <c r="A43" s="59"/>
      <c r="B43" s="5"/>
    </row>
    <row r="44" spans="1:11" x14ac:dyDescent="0.55000000000000004">
      <c r="A44" s="59"/>
      <c r="B44" s="5"/>
    </row>
    <row r="45" spans="1:11" x14ac:dyDescent="0.55000000000000004">
      <c r="A45" s="59"/>
      <c r="B45" s="5"/>
    </row>
    <row r="46" spans="1:11" x14ac:dyDescent="0.55000000000000004">
      <c r="A46" s="59"/>
      <c r="B46" s="5"/>
    </row>
    <row r="47" spans="1:11" x14ac:dyDescent="0.55000000000000004">
      <c r="A47" s="59"/>
      <c r="B47" s="5"/>
    </row>
    <row r="48" spans="1:11" x14ac:dyDescent="0.55000000000000004">
      <c r="A48" s="59"/>
      <c r="B48" s="5"/>
    </row>
    <row r="49" spans="1:4" x14ac:dyDescent="0.55000000000000004">
      <c r="A49" s="59"/>
      <c r="B49" s="5"/>
      <c r="C49" s="5"/>
    </row>
    <row r="50" spans="1:4" x14ac:dyDescent="0.55000000000000004">
      <c r="A50" s="59"/>
      <c r="B50" s="5" t="s">
        <v>61</v>
      </c>
      <c r="C50" s="5"/>
    </row>
    <row r="51" spans="1:4" x14ac:dyDescent="0.55000000000000004">
      <c r="A51" s="59"/>
      <c r="B51" s="5"/>
      <c r="C51" s="5" t="s">
        <v>206</v>
      </c>
      <c r="D51" s="2">
        <v>0</v>
      </c>
    </row>
    <row r="52" spans="1:4" x14ac:dyDescent="0.55000000000000004">
      <c r="A52" s="59"/>
      <c r="B52" s="5"/>
      <c r="C52" s="5"/>
    </row>
    <row r="53" spans="1:4" x14ac:dyDescent="0.55000000000000004">
      <c r="A53" s="59"/>
      <c r="B53" s="5"/>
      <c r="C53" s="5"/>
    </row>
    <row r="54" spans="1:4" x14ac:dyDescent="0.55000000000000004">
      <c r="A54" s="59"/>
      <c r="B54" s="5"/>
      <c r="C54" s="5"/>
    </row>
    <row r="55" spans="1:4" x14ac:dyDescent="0.55000000000000004">
      <c r="A55" s="59"/>
      <c r="B55" s="5"/>
      <c r="C55" s="5"/>
    </row>
    <row r="56" spans="1:4" x14ac:dyDescent="0.55000000000000004">
      <c r="A56" s="59"/>
      <c r="B56" s="5"/>
      <c r="C56" s="5"/>
    </row>
    <row r="57" spans="1:4" x14ac:dyDescent="0.55000000000000004">
      <c r="A57" s="59"/>
      <c r="B57" s="5"/>
      <c r="C57" s="5"/>
    </row>
    <row r="58" spans="1:4" x14ac:dyDescent="0.55000000000000004">
      <c r="A58" s="59"/>
      <c r="B58" s="5"/>
      <c r="C58" s="5"/>
    </row>
    <row r="59" spans="1:4" x14ac:dyDescent="0.55000000000000004">
      <c r="A59" s="59"/>
      <c r="B59" s="5"/>
      <c r="C59" s="5"/>
    </row>
    <row r="60" spans="1:4" x14ac:dyDescent="0.55000000000000004">
      <c r="A60" s="59"/>
      <c r="B60" s="5"/>
      <c r="C60" s="5"/>
    </row>
    <row r="61" spans="1:4" x14ac:dyDescent="0.55000000000000004">
      <c r="A61" s="59"/>
      <c r="B61" s="5"/>
      <c r="C61" s="5"/>
    </row>
    <row r="62" spans="1:4" x14ac:dyDescent="0.55000000000000004">
      <c r="A62" s="59"/>
      <c r="B62" s="5"/>
      <c r="C62" s="5"/>
    </row>
    <row r="63" spans="1:4" x14ac:dyDescent="0.55000000000000004">
      <c r="A63" s="59"/>
      <c r="B63" s="5"/>
      <c r="C63" s="5"/>
    </row>
    <row r="64" spans="1:4" x14ac:dyDescent="0.55000000000000004">
      <c r="A64" s="59"/>
      <c r="B64" s="5"/>
      <c r="C64" s="5"/>
    </row>
    <row r="65" spans="1:11" x14ac:dyDescent="0.55000000000000004">
      <c r="A65" s="59"/>
      <c r="B65" s="5" t="s">
        <v>62</v>
      </c>
      <c r="C65" s="5"/>
      <c r="D65" s="2">
        <v>182</v>
      </c>
    </row>
    <row r="66" spans="1:11" ht="39" x14ac:dyDescent="0.55000000000000004">
      <c r="A66" s="59"/>
      <c r="B66" s="5" t="s">
        <v>63</v>
      </c>
      <c r="C66" s="5"/>
      <c r="D66" s="2" t="s">
        <v>207</v>
      </c>
      <c r="E66" s="2" t="s">
        <v>1468</v>
      </c>
    </row>
    <row r="67" spans="1:11" ht="64.8" x14ac:dyDescent="0.55000000000000004">
      <c r="A67" s="59" t="s">
        <v>65</v>
      </c>
      <c r="B67" s="59"/>
      <c r="C67" s="5"/>
      <c r="D67" s="2" t="s">
        <v>1469</v>
      </c>
    </row>
    <row r="68" spans="1:11" x14ac:dyDescent="0.55000000000000004">
      <c r="A68" s="3" t="s">
        <v>67</v>
      </c>
    </row>
    <row r="69" spans="1:11" x14ac:dyDescent="0.55000000000000004">
      <c r="A69" s="1" t="s">
        <v>68</v>
      </c>
      <c r="C69" s="1">
        <v>17</v>
      </c>
      <c r="D69" s="2">
        <v>18</v>
      </c>
    </row>
    <row r="70" spans="1:11" x14ac:dyDescent="0.55000000000000004">
      <c r="B70" s="1" t="s">
        <v>94</v>
      </c>
    </row>
    <row r="71" spans="1:11" x14ac:dyDescent="0.55000000000000004">
      <c r="C71" s="5" t="s">
        <v>204</v>
      </c>
      <c r="D71" s="7">
        <v>-0.7</v>
      </c>
      <c r="E71" s="10">
        <v>1.3</v>
      </c>
    </row>
    <row r="72" spans="1:11" x14ac:dyDescent="0.55000000000000004">
      <c r="C72" s="5" t="s">
        <v>1467</v>
      </c>
      <c r="D72" s="7">
        <v>0.2</v>
      </c>
      <c r="E72" s="10">
        <v>1.4</v>
      </c>
    </row>
    <row r="73" spans="1:11" x14ac:dyDescent="0.55000000000000004">
      <c r="C73" s="5" t="s">
        <v>1470</v>
      </c>
      <c r="D73" s="7">
        <v>0.1</v>
      </c>
      <c r="E73" s="10">
        <v>0.1</v>
      </c>
    </row>
    <row r="74" spans="1:11" x14ac:dyDescent="0.55000000000000004">
      <c r="C74" s="5" t="s">
        <v>1471</v>
      </c>
      <c r="D74" s="7">
        <v>-0.1</v>
      </c>
      <c r="E74" s="10">
        <v>0.8</v>
      </c>
    </row>
    <row r="75" spans="1:11" x14ac:dyDescent="0.55000000000000004">
      <c r="C75" s="5" t="s">
        <v>1472</v>
      </c>
      <c r="D75" s="7">
        <v>2</v>
      </c>
      <c r="E75" s="10">
        <v>1.6</v>
      </c>
    </row>
    <row r="76" spans="1:11" x14ac:dyDescent="0.55000000000000004">
      <c r="C76" s="5" t="s">
        <v>129</v>
      </c>
      <c r="D76" s="7">
        <v>1.9</v>
      </c>
      <c r="E76" s="10">
        <v>1.6</v>
      </c>
    </row>
    <row r="77" spans="1:11" x14ac:dyDescent="0.55000000000000004">
      <c r="C77" s="5" t="s">
        <v>1473</v>
      </c>
      <c r="D77" s="7">
        <v>0.5</v>
      </c>
      <c r="E77" s="10">
        <v>0.9</v>
      </c>
    </row>
    <row r="78" spans="1:11" x14ac:dyDescent="0.55000000000000004">
      <c r="C78" s="5" t="s">
        <v>961</v>
      </c>
      <c r="D78" s="7">
        <v>0.7</v>
      </c>
      <c r="E78" s="10">
        <v>1</v>
      </c>
    </row>
    <row r="79" spans="1:11" x14ac:dyDescent="0.55000000000000004">
      <c r="C79" s="5" t="s">
        <v>1474</v>
      </c>
      <c r="D79" s="7">
        <f>D71+D73</f>
        <v>-0.6</v>
      </c>
      <c r="J79" s="1">
        <f>SQRT((((D23-1)*E75^2)+((E23-1)*E77^2))/(D23+E23-2))</f>
        <v>1.2816392311968028</v>
      </c>
      <c r="K79" s="10">
        <f>SQRT((((D23-1)*E71^2)+((E23-1)*E73^2))/(D23+E23-2))</f>
        <v>0.89960833376810267</v>
      </c>
    </row>
    <row r="80" spans="1:11" x14ac:dyDescent="0.55000000000000004">
      <c r="C80" s="5" t="s">
        <v>233</v>
      </c>
      <c r="D80" s="7">
        <f>D72+D74</f>
        <v>0.1</v>
      </c>
      <c r="J80" s="10">
        <f>SQRT((((I23-1)*E76^2)+((J23-1)*E78^2))/(I23+J23-2))</f>
        <v>1.3341664064126335</v>
      </c>
      <c r="K80" s="10">
        <f>SQRT((((D23-1)*E72^2)+((E23-1)*E74^2))/(D23+E23-2))</f>
        <v>1.1260628850758623</v>
      </c>
    </row>
    <row r="81" spans="3:3" x14ac:dyDescent="0.55000000000000004">
      <c r="C81" s="5"/>
    </row>
    <row r="82" spans="3:3" x14ac:dyDescent="0.55000000000000004">
      <c r="C82" s="5"/>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hyperlinks>
    <hyperlink ref="A1" r:id="rId1" xr:uid="{00000000-0004-0000-6000-000000000000}"/>
  </hyperlinks>
  <pageMargins left="0.7" right="0.7" top="0.78749999999999998" bottom="0.78749999999999998" header="0.511811023622047" footer="0.511811023622047"/>
  <pageSetup paperSize="9" orientation="portrait" horizontalDpi="300" verticalDpi="300"/>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dimension ref="A1:AMJ80"/>
  <sheetViews>
    <sheetView topLeftCell="C34" zoomScale="90" zoomScaleNormal="90" workbookViewId="0">
      <selection activeCell="J38" sqref="J38"/>
    </sheetView>
  </sheetViews>
  <sheetFormatPr baseColWidth="10" defaultColWidth="11.41796875" defaultRowHeight="14.4" x14ac:dyDescent="0.55000000000000004"/>
  <cols>
    <col min="1" max="1" width="57.15625" style="1" customWidth="1"/>
    <col min="2" max="2" width="18.83984375" style="1" customWidth="1"/>
    <col min="3" max="3" width="57.578125" style="1" customWidth="1"/>
    <col min="4" max="4" width="56.15625" style="2" customWidth="1"/>
    <col min="5" max="5" width="12.83984375" style="1" customWidth="1"/>
    <col min="6" max="6" width="4.83984375" style="1" customWidth="1"/>
    <col min="7" max="7" width="5.15625" style="1" customWidth="1"/>
    <col min="8" max="8" width="5.83984375" style="1" customWidth="1"/>
    <col min="9" max="1024" width="11.41796875" style="1"/>
  </cols>
  <sheetData>
    <row r="1" spans="1:4" x14ac:dyDescent="0.55000000000000004">
      <c r="A1" s="19" t="s">
        <v>1457</v>
      </c>
      <c r="D1" s="2" t="s">
        <v>1475</v>
      </c>
    </row>
    <row r="2" spans="1:4" x14ac:dyDescent="0.55000000000000004">
      <c r="A2" s="58" t="s">
        <v>2</v>
      </c>
      <c r="B2" s="58"/>
      <c r="D2" s="1" t="s">
        <v>1458</v>
      </c>
    </row>
    <row r="3" spans="1:4" x14ac:dyDescent="0.55000000000000004">
      <c r="A3" s="58"/>
      <c r="B3" s="58"/>
      <c r="C3" s="5" t="s">
        <v>4</v>
      </c>
      <c r="D3" s="2" t="s">
        <v>1459</v>
      </c>
    </row>
    <row r="4" spans="1:4" x14ac:dyDescent="0.55000000000000004">
      <c r="A4" s="58"/>
      <c r="B4" s="58"/>
      <c r="C4" s="5" t="s">
        <v>6</v>
      </c>
      <c r="D4" s="2">
        <v>2002</v>
      </c>
    </row>
    <row r="5" spans="1:4" x14ac:dyDescent="0.55000000000000004">
      <c r="A5" s="58"/>
      <c r="B5" s="58"/>
      <c r="C5" s="5" t="s">
        <v>7</v>
      </c>
      <c r="D5" s="2" t="s">
        <v>1460</v>
      </c>
    </row>
    <row r="6" spans="1:4" x14ac:dyDescent="0.55000000000000004">
      <c r="A6" s="58"/>
      <c r="B6" s="58"/>
      <c r="C6" s="5" t="s">
        <v>9</v>
      </c>
      <c r="D6" s="2" t="s">
        <v>1461</v>
      </c>
    </row>
    <row r="7" spans="1:4" x14ac:dyDescent="0.55000000000000004">
      <c r="A7" s="58"/>
      <c r="B7" s="58"/>
      <c r="C7" s="5" t="s">
        <v>11</v>
      </c>
      <c r="D7" s="2" t="s">
        <v>12</v>
      </c>
    </row>
    <row r="8" spans="1:4" x14ac:dyDescent="0.55000000000000004">
      <c r="A8" s="59" t="s">
        <v>13</v>
      </c>
      <c r="B8" s="59"/>
      <c r="C8" s="5"/>
    </row>
    <row r="9" spans="1:4" x14ac:dyDescent="0.55000000000000004">
      <c r="A9" s="58"/>
      <c r="B9" s="58"/>
      <c r="C9" s="5" t="s">
        <v>14</v>
      </c>
      <c r="D9" s="2" t="s">
        <v>1462</v>
      </c>
    </row>
    <row r="10" spans="1:4" x14ac:dyDescent="0.55000000000000004">
      <c r="A10" s="58"/>
      <c r="B10" s="58"/>
      <c r="C10" s="5" t="s">
        <v>16</v>
      </c>
      <c r="D10" s="2" t="s">
        <v>165</v>
      </c>
    </row>
    <row r="11" spans="1:4" x14ac:dyDescent="0.55000000000000004">
      <c r="A11" s="58"/>
      <c r="B11" s="58"/>
      <c r="C11" s="5" t="s">
        <v>19</v>
      </c>
      <c r="D11" s="31">
        <v>33939</v>
      </c>
    </row>
    <row r="12" spans="1:4" x14ac:dyDescent="0.55000000000000004">
      <c r="A12" s="58"/>
      <c r="B12" s="58"/>
      <c r="C12" s="5" t="s">
        <v>21</v>
      </c>
      <c r="D12" s="31">
        <v>35582</v>
      </c>
    </row>
    <row r="13" spans="1:4" x14ac:dyDescent="0.55000000000000004">
      <c r="A13" s="58"/>
      <c r="B13" s="58"/>
      <c r="C13" s="5" t="s">
        <v>22</v>
      </c>
      <c r="D13" s="2" t="s">
        <v>20</v>
      </c>
    </row>
    <row r="14" spans="1:4" x14ac:dyDescent="0.55000000000000004">
      <c r="A14" s="59" t="s">
        <v>24</v>
      </c>
      <c r="B14" s="59"/>
      <c r="C14" s="5"/>
    </row>
    <row r="15" spans="1:4" x14ac:dyDescent="0.55000000000000004">
      <c r="A15" s="58"/>
      <c r="B15" s="58"/>
      <c r="C15" s="5" t="s">
        <v>25</v>
      </c>
      <c r="D15" s="2" t="s">
        <v>537</v>
      </c>
    </row>
    <row r="16" spans="1:4" x14ac:dyDescent="0.55000000000000004">
      <c r="A16" s="58"/>
      <c r="B16" s="58"/>
      <c r="C16" s="5" t="s">
        <v>27</v>
      </c>
      <c r="D16" s="2" t="s">
        <v>1463</v>
      </c>
    </row>
    <row r="17" spans="1:7" x14ac:dyDescent="0.55000000000000004">
      <c r="A17" s="59" t="s">
        <v>29</v>
      </c>
      <c r="B17" s="59"/>
      <c r="C17" s="5"/>
    </row>
    <row r="18" spans="1:7" ht="39" x14ac:dyDescent="0.55000000000000004">
      <c r="A18" s="58"/>
      <c r="B18" s="58"/>
      <c r="C18" s="5" t="s">
        <v>30</v>
      </c>
      <c r="D18" s="2" t="s">
        <v>1476</v>
      </c>
    </row>
    <row r="19" spans="1:7" ht="26.1" x14ac:dyDescent="0.55000000000000004">
      <c r="A19" s="58"/>
      <c r="B19" s="58"/>
      <c r="C19" s="5" t="s">
        <v>32</v>
      </c>
      <c r="D19" s="2" t="s">
        <v>1477</v>
      </c>
    </row>
    <row r="20" spans="1:7" x14ac:dyDescent="0.55000000000000004">
      <c r="A20" s="59" t="s">
        <v>34</v>
      </c>
      <c r="B20" s="59"/>
      <c r="C20" s="5"/>
      <c r="D20" s="2" t="s">
        <v>193</v>
      </c>
      <c r="E20" s="1" t="s">
        <v>903</v>
      </c>
      <c r="F20" s="1" t="s">
        <v>35</v>
      </c>
    </row>
    <row r="21" spans="1:7" x14ac:dyDescent="0.55000000000000004">
      <c r="A21" s="58"/>
      <c r="B21" s="58"/>
      <c r="C21" s="5" t="s">
        <v>36</v>
      </c>
      <c r="D21" s="2" t="s">
        <v>20</v>
      </c>
      <c r="E21" s="1" t="s">
        <v>20</v>
      </c>
      <c r="F21" s="1">
        <v>354</v>
      </c>
    </row>
    <row r="22" spans="1:7" x14ac:dyDescent="0.55000000000000004">
      <c r="A22" s="58"/>
      <c r="B22" s="58"/>
      <c r="C22" s="5" t="s">
        <v>37</v>
      </c>
      <c r="D22" s="2">
        <v>168</v>
      </c>
      <c r="E22" s="1">
        <v>167</v>
      </c>
      <c r="F22" s="1">
        <f>SUM(D22:E22)</f>
        <v>335</v>
      </c>
    </row>
    <row r="23" spans="1:7" x14ac:dyDescent="0.55000000000000004">
      <c r="A23" s="58"/>
      <c r="B23" s="58"/>
      <c r="C23" s="5" t="s">
        <v>38</v>
      </c>
      <c r="D23" s="2">
        <v>161</v>
      </c>
      <c r="E23" s="1">
        <v>159</v>
      </c>
      <c r="F23" s="1">
        <f>SUM(D23:E23)</f>
        <v>320</v>
      </c>
    </row>
    <row r="24" spans="1:7" x14ac:dyDescent="0.55000000000000004">
      <c r="A24" s="58"/>
      <c r="B24" s="58"/>
      <c r="C24" s="5" t="s">
        <v>39</v>
      </c>
      <c r="D24" s="2">
        <f>D22-D23</f>
        <v>7</v>
      </c>
      <c r="E24" s="1">
        <f>E22-E23</f>
        <v>8</v>
      </c>
      <c r="F24" s="1">
        <f>F22-F23</f>
        <v>15</v>
      </c>
    </row>
    <row r="25" spans="1:7" x14ac:dyDescent="0.55000000000000004">
      <c r="A25" s="58"/>
      <c r="B25" s="58"/>
      <c r="C25" s="5" t="s">
        <v>40</v>
      </c>
      <c r="D25" s="7">
        <v>0.39</v>
      </c>
      <c r="E25" s="10">
        <v>0.39</v>
      </c>
      <c r="F25" s="10">
        <f>(D25*D$22+E25*E$22)/SUM(D$22:E$22)</f>
        <v>0.38999999999999996</v>
      </c>
      <c r="G25" s="10"/>
    </row>
    <row r="26" spans="1:7" x14ac:dyDescent="0.55000000000000004">
      <c r="A26" s="58"/>
      <c r="B26" s="58"/>
      <c r="C26" s="5" t="s">
        <v>41</v>
      </c>
      <c r="D26" s="7">
        <v>63</v>
      </c>
      <c r="E26" s="10">
        <v>63</v>
      </c>
      <c r="F26" s="10">
        <f>(D26*D22+E26*E22)/SUM(D22:E22)</f>
        <v>63</v>
      </c>
      <c r="G26" s="10"/>
    </row>
    <row r="27" spans="1:7" x14ac:dyDescent="0.55000000000000004">
      <c r="A27" s="58"/>
      <c r="B27" s="58"/>
      <c r="C27" s="5" t="s">
        <v>42</v>
      </c>
      <c r="D27" s="7">
        <v>10</v>
      </c>
      <c r="E27" s="10">
        <v>10</v>
      </c>
      <c r="F27" s="10">
        <f>SQRT((D22*(D27^2+(F$26-D26)^2)+E22*(E27^2+(F$26-E26)^2))/F$22)</f>
        <v>10</v>
      </c>
      <c r="G27" s="10"/>
    </row>
    <row r="28" spans="1:7" x14ac:dyDescent="0.55000000000000004">
      <c r="A28" s="58"/>
      <c r="B28" s="58"/>
      <c r="C28" s="5" t="s">
        <v>43</v>
      </c>
      <c r="D28" s="2" t="s">
        <v>20</v>
      </c>
      <c r="E28" s="1" t="s">
        <v>20</v>
      </c>
      <c r="F28" s="1" t="s">
        <v>20</v>
      </c>
    </row>
    <row r="29" spans="1:7" x14ac:dyDescent="0.55000000000000004">
      <c r="A29" s="58"/>
      <c r="B29" s="58"/>
      <c r="C29" s="5" t="s">
        <v>44</v>
      </c>
      <c r="D29" s="2">
        <v>2</v>
      </c>
      <c r="E29" s="1">
        <v>2</v>
      </c>
      <c r="F29" s="1">
        <v>2</v>
      </c>
    </row>
    <row r="30" spans="1:7" x14ac:dyDescent="0.55000000000000004">
      <c r="A30" s="58"/>
      <c r="B30" s="58"/>
      <c r="C30" s="5" t="s">
        <v>45</v>
      </c>
      <c r="D30" s="7">
        <v>23.3</v>
      </c>
      <c r="E30" s="10">
        <v>22.9</v>
      </c>
      <c r="F30" s="10">
        <f>(D30*D$22+E30*E$22)/SUM(D$22:E$22)</f>
        <v>23.100597014925373</v>
      </c>
      <c r="G30" s="10"/>
    </row>
    <row r="31" spans="1:7" x14ac:dyDescent="0.55000000000000004">
      <c r="A31" s="58"/>
      <c r="B31" s="58"/>
      <c r="C31" s="5" t="s">
        <v>46</v>
      </c>
      <c r="D31" s="7">
        <v>10.8</v>
      </c>
      <c r="E31" s="10">
        <v>10.8</v>
      </c>
      <c r="F31" s="10">
        <f>SQRT((D22*(D31^2+(F$30-D30)^2)+E22*(E31^2+(F$30-E30)^2))/F$22)</f>
        <v>10.801851676614209</v>
      </c>
      <c r="G31" s="10"/>
    </row>
    <row r="32" spans="1:7" x14ac:dyDescent="0.55000000000000004">
      <c r="A32" s="59" t="s">
        <v>47</v>
      </c>
      <c r="B32" s="59"/>
      <c r="C32" s="5"/>
    </row>
    <row r="33" spans="1:11" ht="77.7" x14ac:dyDescent="0.55000000000000004">
      <c r="A33" s="58"/>
      <c r="B33" s="58"/>
      <c r="C33" s="5" t="s">
        <v>48</v>
      </c>
      <c r="D33" s="2" t="s">
        <v>1478</v>
      </c>
    </row>
    <row r="34" spans="1:11" x14ac:dyDescent="0.55000000000000004">
      <c r="A34" s="59" t="s">
        <v>50</v>
      </c>
      <c r="B34" s="59"/>
      <c r="C34" s="5"/>
    </row>
    <row r="35" spans="1:11" x14ac:dyDescent="0.55000000000000004">
      <c r="A35" s="8"/>
      <c r="B35" s="8"/>
      <c r="C35" s="5"/>
    </row>
    <row r="36" spans="1:11" x14ac:dyDescent="0.55000000000000004">
      <c r="A36" s="59"/>
      <c r="B36" s="5" t="s">
        <v>59</v>
      </c>
      <c r="C36" s="5"/>
      <c r="D36" s="2" t="s">
        <v>51</v>
      </c>
      <c r="E36" s="1" t="s">
        <v>52</v>
      </c>
      <c r="F36" s="1" t="s">
        <v>53</v>
      </c>
      <c r="G36" s="1" t="s">
        <v>54</v>
      </c>
      <c r="H36" s="1" t="s">
        <v>55</v>
      </c>
      <c r="I36" s="1" t="s">
        <v>56</v>
      </c>
      <c r="J36" s="1" t="s">
        <v>57</v>
      </c>
      <c r="K36" s="1" t="s">
        <v>58</v>
      </c>
    </row>
    <row r="37" spans="1:11" x14ac:dyDescent="0.55000000000000004">
      <c r="A37" s="59"/>
      <c r="B37" s="5"/>
      <c r="C37" s="5" t="s">
        <v>204</v>
      </c>
      <c r="D37" s="7">
        <v>-1.31</v>
      </c>
      <c r="E37" s="10">
        <v>3.74</v>
      </c>
      <c r="J37" s="10">
        <v>3.7</v>
      </c>
    </row>
    <row r="38" spans="1:11" x14ac:dyDescent="0.55000000000000004">
      <c r="A38" s="59"/>
      <c r="B38" s="5"/>
      <c r="C38" s="5" t="s">
        <v>1479</v>
      </c>
      <c r="D38" s="7">
        <v>-1.0900000000000001</v>
      </c>
      <c r="E38" s="10">
        <v>2.95</v>
      </c>
      <c r="J38" s="10">
        <v>2.87</v>
      </c>
    </row>
    <row r="39" spans="1:11" x14ac:dyDescent="0.55000000000000004">
      <c r="A39" s="59"/>
      <c r="B39" s="5"/>
      <c r="C39" s="5"/>
      <c r="D39" s="7"/>
      <c r="E39" s="10"/>
    </row>
    <row r="40" spans="1:11" x14ac:dyDescent="0.55000000000000004">
      <c r="A40" s="59"/>
      <c r="B40" s="5"/>
      <c r="C40" s="5"/>
      <c r="D40" s="7"/>
      <c r="E40" s="10"/>
    </row>
    <row r="41" spans="1:11" x14ac:dyDescent="0.55000000000000004">
      <c r="A41" s="59"/>
      <c r="B41" s="5"/>
      <c r="C41" s="5"/>
      <c r="D41" s="7"/>
      <c r="E41" s="10"/>
    </row>
    <row r="42" spans="1:11" x14ac:dyDescent="0.55000000000000004">
      <c r="A42" s="59"/>
      <c r="B42" s="5"/>
      <c r="C42" s="5"/>
      <c r="D42" s="7"/>
      <c r="E42" s="10"/>
    </row>
    <row r="43" spans="1:11" x14ac:dyDescent="0.55000000000000004">
      <c r="A43" s="59"/>
      <c r="B43" s="5"/>
      <c r="C43" s="5"/>
      <c r="D43" s="7"/>
      <c r="E43" s="10"/>
    </row>
    <row r="44" spans="1:11" x14ac:dyDescent="0.55000000000000004">
      <c r="A44" s="59"/>
      <c r="B44" s="5"/>
      <c r="C44" s="5"/>
      <c r="D44" s="7"/>
      <c r="E44" s="10"/>
    </row>
    <row r="45" spans="1:11" x14ac:dyDescent="0.55000000000000004">
      <c r="A45" s="59"/>
      <c r="B45" s="5"/>
      <c r="C45" s="5"/>
    </row>
    <row r="46" spans="1:11" x14ac:dyDescent="0.55000000000000004">
      <c r="A46" s="59"/>
      <c r="B46" s="5"/>
      <c r="C46" s="5"/>
    </row>
    <row r="47" spans="1:11" x14ac:dyDescent="0.55000000000000004">
      <c r="A47" s="59"/>
      <c r="B47" s="5"/>
      <c r="C47" s="5"/>
    </row>
    <row r="48" spans="1:11" x14ac:dyDescent="0.55000000000000004">
      <c r="A48" s="59"/>
      <c r="B48" s="5"/>
      <c r="C48" s="5"/>
    </row>
    <row r="49" spans="1:4" x14ac:dyDescent="0.55000000000000004">
      <c r="A49" s="59"/>
      <c r="B49" s="5"/>
      <c r="C49" s="5"/>
    </row>
    <row r="50" spans="1:4" x14ac:dyDescent="0.55000000000000004">
      <c r="A50" s="59"/>
      <c r="B50" s="5" t="s">
        <v>61</v>
      </c>
      <c r="C50" s="5"/>
    </row>
    <row r="51" spans="1:4" x14ac:dyDescent="0.55000000000000004">
      <c r="A51" s="59"/>
      <c r="B51" s="5"/>
      <c r="C51" s="5" t="s">
        <v>206</v>
      </c>
      <c r="D51" s="2">
        <v>0</v>
      </c>
    </row>
    <row r="52" spans="1:4" x14ac:dyDescent="0.55000000000000004">
      <c r="A52" s="59"/>
      <c r="B52" s="5"/>
      <c r="C52" s="5"/>
    </row>
    <row r="53" spans="1:4" x14ac:dyDescent="0.55000000000000004">
      <c r="A53" s="59"/>
      <c r="B53" s="5"/>
      <c r="C53" s="5"/>
    </row>
    <row r="54" spans="1:4" x14ac:dyDescent="0.55000000000000004">
      <c r="A54" s="59"/>
      <c r="B54" s="5"/>
      <c r="C54" s="5"/>
    </row>
    <row r="55" spans="1:4" x14ac:dyDescent="0.55000000000000004">
      <c r="A55" s="59"/>
      <c r="B55" s="5"/>
      <c r="C55" s="5"/>
    </row>
    <row r="56" spans="1:4" x14ac:dyDescent="0.55000000000000004">
      <c r="A56" s="59"/>
      <c r="B56" s="5"/>
      <c r="C56" s="5"/>
    </row>
    <row r="57" spans="1:4" x14ac:dyDescent="0.55000000000000004">
      <c r="A57" s="59"/>
      <c r="B57" s="5"/>
      <c r="C57" s="5"/>
    </row>
    <row r="58" spans="1:4" x14ac:dyDescent="0.55000000000000004">
      <c r="A58" s="59"/>
      <c r="B58" s="5"/>
      <c r="C58" s="5"/>
    </row>
    <row r="59" spans="1:4" x14ac:dyDescent="0.55000000000000004">
      <c r="A59" s="59"/>
      <c r="B59" s="5"/>
      <c r="C59" s="5"/>
    </row>
    <row r="60" spans="1:4" x14ac:dyDescent="0.55000000000000004">
      <c r="A60" s="59"/>
      <c r="B60" s="5"/>
      <c r="C60" s="5"/>
    </row>
    <row r="61" spans="1:4" x14ac:dyDescent="0.55000000000000004">
      <c r="A61" s="59"/>
      <c r="B61" s="5"/>
      <c r="C61" s="5"/>
    </row>
    <row r="62" spans="1:4" x14ac:dyDescent="0.55000000000000004">
      <c r="A62" s="59"/>
      <c r="B62" s="5"/>
      <c r="C62" s="5"/>
    </row>
    <row r="63" spans="1:4" x14ac:dyDescent="0.55000000000000004">
      <c r="A63" s="59"/>
      <c r="B63" s="5"/>
      <c r="C63" s="5"/>
    </row>
    <row r="64" spans="1:4" x14ac:dyDescent="0.55000000000000004">
      <c r="A64" s="59"/>
      <c r="B64" s="5"/>
      <c r="C64" s="5"/>
    </row>
    <row r="65" spans="1:11" x14ac:dyDescent="0.55000000000000004">
      <c r="A65" s="59"/>
      <c r="B65" s="5" t="s">
        <v>62</v>
      </c>
      <c r="C65" s="5"/>
      <c r="D65" s="2">
        <v>182</v>
      </c>
    </row>
    <row r="66" spans="1:11" ht="38.700000000000003" x14ac:dyDescent="0.55000000000000004">
      <c r="A66" s="59"/>
      <c r="B66" s="5" t="s">
        <v>63</v>
      </c>
      <c r="C66" s="5"/>
      <c r="D66" s="2" t="s">
        <v>207</v>
      </c>
      <c r="E66" s="55" t="s">
        <v>1468</v>
      </c>
    </row>
    <row r="67" spans="1:11" ht="64.8" x14ac:dyDescent="0.55000000000000004">
      <c r="A67" s="59" t="s">
        <v>65</v>
      </c>
      <c r="B67" s="59"/>
      <c r="C67" s="5"/>
      <c r="D67" s="2" t="s">
        <v>1480</v>
      </c>
    </row>
    <row r="68" spans="1:11" x14ac:dyDescent="0.55000000000000004">
      <c r="A68" s="3" t="s">
        <v>67</v>
      </c>
    </row>
    <row r="69" spans="1:11" x14ac:dyDescent="0.55000000000000004">
      <c r="A69" s="1" t="s">
        <v>68</v>
      </c>
      <c r="C69" s="1">
        <v>17</v>
      </c>
      <c r="D69" s="2">
        <v>18</v>
      </c>
    </row>
    <row r="70" spans="1:11" x14ac:dyDescent="0.55000000000000004">
      <c r="B70" s="1" t="s">
        <v>94</v>
      </c>
    </row>
    <row r="71" spans="1:11" x14ac:dyDescent="0.55000000000000004">
      <c r="C71" s="5" t="s">
        <v>204</v>
      </c>
      <c r="D71" s="7">
        <v>-0.9</v>
      </c>
      <c r="E71" s="10">
        <v>1.3</v>
      </c>
    </row>
    <row r="72" spans="1:11" x14ac:dyDescent="0.55000000000000004">
      <c r="C72" s="5" t="s">
        <v>1479</v>
      </c>
      <c r="D72" s="7">
        <v>-0.8</v>
      </c>
      <c r="E72" s="10">
        <v>1.6</v>
      </c>
    </row>
    <row r="73" spans="1:11" x14ac:dyDescent="0.55000000000000004">
      <c r="C73" s="5" t="s">
        <v>1470</v>
      </c>
      <c r="D73" s="7">
        <v>-0.5</v>
      </c>
      <c r="E73" s="10">
        <v>1.2</v>
      </c>
    </row>
    <row r="74" spans="1:11" x14ac:dyDescent="0.55000000000000004">
      <c r="C74" s="5" t="s">
        <v>1481</v>
      </c>
      <c r="D74" s="7">
        <v>-0.5</v>
      </c>
      <c r="E74" s="10">
        <v>1.1000000000000001</v>
      </c>
    </row>
    <row r="75" spans="1:11" x14ac:dyDescent="0.55000000000000004">
      <c r="C75" s="5" t="s">
        <v>1472</v>
      </c>
      <c r="D75" s="7">
        <v>2.2999999999999998</v>
      </c>
      <c r="E75" s="10">
        <v>2.2999999999999998</v>
      </c>
    </row>
    <row r="76" spans="1:11" x14ac:dyDescent="0.55000000000000004">
      <c r="C76" s="5" t="s">
        <v>1482</v>
      </c>
      <c r="D76" s="7">
        <v>2.7</v>
      </c>
      <c r="E76" s="10">
        <v>2.2999999999999998</v>
      </c>
    </row>
    <row r="77" spans="1:11" x14ac:dyDescent="0.55000000000000004">
      <c r="C77" s="5" t="s">
        <v>1473</v>
      </c>
      <c r="D77" s="7">
        <v>1.1000000000000001</v>
      </c>
      <c r="E77" s="10">
        <v>1.4</v>
      </c>
    </row>
    <row r="78" spans="1:11" x14ac:dyDescent="0.55000000000000004">
      <c r="C78" s="5" t="s">
        <v>1483</v>
      </c>
      <c r="D78" s="7">
        <v>1</v>
      </c>
      <c r="E78" s="10">
        <v>1.4</v>
      </c>
    </row>
    <row r="79" spans="1:11" x14ac:dyDescent="0.55000000000000004">
      <c r="C79" s="5" t="s">
        <v>1474</v>
      </c>
      <c r="D79" s="7">
        <f>D71+D73</f>
        <v>-1.4</v>
      </c>
      <c r="J79" s="10">
        <f>SQRT((((D23-1)*E75^2)+((E23-1)*E77^2))/(D23+E23-2))</f>
        <v>1.9066912959661841</v>
      </c>
      <c r="K79" s="10">
        <f>SQRT((((D23-1)*E71^2)+((E23-1)*E73^2))/(D23+E23-2))</f>
        <v>1.2513137750068977</v>
      </c>
    </row>
    <row r="80" spans="1:11" x14ac:dyDescent="0.55000000000000004">
      <c r="C80" s="5" t="s">
        <v>1484</v>
      </c>
      <c r="D80" s="7">
        <f>D72+D74</f>
        <v>-1.3</v>
      </c>
      <c r="J80" s="10">
        <f>SQRT((((D23-1)*E76^2)+((E23-1)*E78^2))/(D23+E23-2))</f>
        <v>1.9066912959661841</v>
      </c>
      <c r="K80" s="10">
        <f>SQRT((((D23-1)*E72^2)+((E23-1)*E74^2))/(D23+E23-2))</f>
        <v>1.3744981931668256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hyperlinks>
    <hyperlink ref="A1" r:id="rId1" xr:uid="{00000000-0004-0000-6100-000000000000}"/>
  </hyperlinks>
  <pageMargins left="0.7" right="0.7" top="0.78749999999999998" bottom="0.78749999999999998"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120</vt:i4>
      </vt:variant>
      <vt:variant>
        <vt:lpstr>Benannte Bereiche</vt:lpstr>
      </vt:variant>
      <vt:variant>
        <vt:i4>1</vt:i4>
      </vt:variant>
    </vt:vector>
  </HeadingPairs>
  <TitlesOfParts>
    <vt:vector size="121" baseType="lpstr">
      <vt:lpstr>Altmann2011</vt:lpstr>
      <vt:lpstr>Anderson1992</vt:lpstr>
      <vt:lpstr>Arnold2005</vt:lpstr>
      <vt:lpstr>Bara-Jimenez2003</vt:lpstr>
      <vt:lpstr>Barbagallo2018</vt:lpstr>
      <vt:lpstr>Binder2008</vt:lpstr>
      <vt:lpstr>Bonuccelli1997</vt:lpstr>
      <vt:lpstr>Brannan1995</vt:lpstr>
      <vt:lpstr>Brooks1998</vt:lpstr>
      <vt:lpstr>Bullock2021</vt:lpstr>
      <vt:lpstr>Cattaneo2016</vt:lpstr>
      <vt:lpstr>Choi2000</vt:lpstr>
      <vt:lpstr>Cinar2013</vt:lpstr>
      <vt:lpstr>Craig2006</vt:lpstr>
      <vt:lpstr>Dirkx2019</vt:lpstr>
      <vt:lpstr>Eggert2010</vt:lpstr>
      <vt:lpstr>Elmer2013</vt:lpstr>
      <vt:lpstr>Evidente2003</vt:lpstr>
      <vt:lpstr>Fischer1990</vt:lpstr>
      <vt:lpstr>Frazitta2013</vt:lpstr>
      <vt:lpstr>Friedman1997</vt:lpstr>
      <vt:lpstr>Friedmann1999</vt:lpstr>
      <vt:lpstr>Glass2003</vt:lpstr>
      <vt:lpstr>Goetz2000</vt:lpstr>
      <vt:lpstr>Haas2006</vt:lpstr>
      <vt:lpstr>Hartelt2020</vt:lpstr>
      <vt:lpstr>Hattori2019</vt:lpstr>
      <vt:lpstr>Heinonen1989</vt:lpstr>
      <vt:lpstr>Hellmann2008</vt:lpstr>
      <vt:lpstr>Hiremath2012</vt:lpstr>
      <vt:lpstr>Hughes1990</vt:lpstr>
      <vt:lpstr>Ikeda_2015</vt:lpstr>
      <vt:lpstr>Jankovic2014</vt:lpstr>
      <vt:lpstr>Jansen1994</vt:lpstr>
      <vt:lpstr>Jitkritsadakul 2015</vt:lpstr>
      <vt:lpstr>Jost2008</vt:lpstr>
      <vt:lpstr>Kadkhodaie2019</vt:lpstr>
      <vt:lpstr>Kaut2011</vt:lpstr>
      <vt:lpstr>King_2009</vt:lpstr>
      <vt:lpstr>Koller_1987.1</vt:lpstr>
      <vt:lpstr>Koller_1987.2</vt:lpstr>
      <vt:lpstr>Koller_1987.3</vt:lpstr>
      <vt:lpstr>Kulisevsky2002</vt:lpstr>
      <vt:lpstr>Laihinen1992</vt:lpstr>
      <vt:lpstr>Levin2010</vt:lpstr>
      <vt:lpstr>Lew_2013.1</vt:lpstr>
      <vt:lpstr>Lew_2013.2</vt:lpstr>
      <vt:lpstr>Li_2018</vt:lpstr>
      <vt:lpstr>Liebermann1997</vt:lpstr>
      <vt:lpstr>Lotan_2014</vt:lpstr>
      <vt:lpstr>Macht2000</vt:lpstr>
      <vt:lpstr>Maeda_2015</vt:lpstr>
      <vt:lpstr>Mailland2004</vt:lpstr>
      <vt:lpstr>Malsch2001</vt:lpstr>
      <vt:lpstr>Mark1989</vt:lpstr>
      <vt:lpstr>Mentenopoulos1989</vt:lpstr>
      <vt:lpstr>Mizuno_1995a</vt:lpstr>
      <vt:lpstr>Mizuno_1995b</vt:lpstr>
      <vt:lpstr>Mizuno2017</vt:lpstr>
      <vt:lpstr>Moeller2005</vt:lpstr>
      <vt:lpstr>Montastruc1999</vt:lpstr>
      <vt:lpstr>Müller2003a</vt:lpstr>
      <vt:lpstr>Müller2003b</vt:lpstr>
      <vt:lpstr>Nakanishi1991</vt:lpstr>
      <vt:lpstr>Navan-Pithiva2003a.1</vt:lpstr>
      <vt:lpstr>Navan-Pithiva2003a.2</vt:lpstr>
      <vt:lpstr>Navan-Pithiva2003b</vt:lpstr>
      <vt:lpstr>Nigro2019</vt:lpstr>
      <vt:lpstr>Nomoto2018.1</vt:lpstr>
      <vt:lpstr>Nomoto2018.2</vt:lpstr>
      <vt:lpstr>Nutt2007</vt:lpstr>
      <vt:lpstr>Olanow1989</vt:lpstr>
      <vt:lpstr>Olson1997</vt:lpstr>
      <vt:lpstr>ParkinsonStudyGroup2007</vt:lpstr>
      <vt:lpstr>Petramfar2020</vt:lpstr>
      <vt:lpstr>Pogarell2002</vt:lpstr>
      <vt:lpstr>Pollok2009</vt:lpstr>
      <vt:lpstr>Przuntek2002</vt:lpstr>
      <vt:lpstr>Rabey1992</vt:lpstr>
      <vt:lpstr>Rahimi2015</vt:lpstr>
      <vt:lpstr>Rascol1988</vt:lpstr>
      <vt:lpstr>Reichmann2002</vt:lpstr>
      <vt:lpstr>Reichmann2003</vt:lpstr>
      <vt:lpstr>Reichmann2005</vt:lpstr>
      <vt:lpstr>Reichmann2010</vt:lpstr>
      <vt:lpstr>Ridgel2012</vt:lpstr>
      <vt:lpstr>Rondot1992</vt:lpstr>
      <vt:lpstr>Saavedra2000</vt:lpstr>
      <vt:lpstr>Sahoo2020</vt:lpstr>
      <vt:lpstr>Samotus2017</vt:lpstr>
      <vt:lpstr>Samotus2020</vt:lpstr>
      <vt:lpstr>Schlesinger2009.1</vt:lpstr>
      <vt:lpstr>Schlesinger2009.2</vt:lpstr>
      <vt:lpstr>Schlesinger2009.3</vt:lpstr>
      <vt:lpstr>Schmitz2006</vt:lpstr>
      <vt:lpstr>Schneider1998</vt:lpstr>
      <vt:lpstr>Schrag1999</vt:lpstr>
      <vt:lpstr>Schrag2002.1</vt:lpstr>
      <vt:lpstr>Schrag2002.2</vt:lpstr>
      <vt:lpstr>Schrag2002.3</vt:lpstr>
      <vt:lpstr>Sivertsen1989</vt:lpstr>
      <vt:lpstr>Spieker1995</vt:lpstr>
      <vt:lpstr>Spieker1999</vt:lpstr>
      <vt:lpstr>Su2004</vt:lpstr>
      <vt:lpstr>Takahashi2008</vt:lpstr>
      <vt:lpstr>Tedeschi1990</vt:lpstr>
      <vt:lpstr>Trosch1994</vt:lpstr>
      <vt:lpstr>VanLaar1998</vt:lpstr>
      <vt:lpstr>Vorasoot2020</vt:lpstr>
      <vt:lpstr>Weiner1989</vt:lpstr>
      <vt:lpstr>Wilken2019</vt:lpstr>
      <vt:lpstr>Yoshii1996</vt:lpstr>
      <vt:lpstr>Zach2017</vt:lpstr>
      <vt:lpstr>Zach2020</vt:lpstr>
      <vt:lpstr>Zhang2013</vt:lpstr>
      <vt:lpstr>Zhang2018</vt:lpstr>
      <vt:lpstr>Zhao2015</vt:lpstr>
      <vt:lpstr>Zhou2019</vt:lpstr>
      <vt:lpstr>Ziegler1999</vt:lpstr>
      <vt:lpstr>Ziegler2003</vt:lpstr>
      <vt:lpst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pedrosa</dc:creator>
  <dc:description/>
  <cp:lastModifiedBy>david pedrosa</cp:lastModifiedBy>
  <cp:revision>77</cp:revision>
  <dcterms:created xsi:type="dcterms:W3CDTF">2021-08-09T19:19:50Z</dcterms:created>
  <dcterms:modified xsi:type="dcterms:W3CDTF">2022-06-22T10:22:28Z</dcterms:modified>
  <dc:language>de-DE</dc:language>
</cp:coreProperties>
</file>