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der" sheetId="1" state="visible" r:id="rId3"/>
    <sheet name="ethnicity" sheetId="2" state="visible" r:id="rId4"/>
    <sheet name="city" sheetId="3" state="visible" r:id="rId5"/>
    <sheet name="marital_status" sheetId="4" state="visible" r:id="rId6"/>
    <sheet name="age" sheetId="5" state="visible" r:id="rId7"/>
    <sheet name="education" sheetId="6" state="visible" r:id="rId8"/>
    <sheet name="palliative_homecare" sheetId="7" state="visible" r:id="rId9"/>
    <sheet name="cause_of_death" sheetId="8" state="visible" r:id="rId10"/>
    <sheet name="Tabelle1" sheetId="9" state="visible" r:id="rId11"/>
    <sheet name="Tabelle2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<sst xmlns="http://schemas.openxmlformats.org/spreadsheetml/2006/main" count="1302" uniqueCount="87">
  <si>
    <t xml:space="preserve">number </t>
  </si>
  <si>
    <t xml:space="preserve">author</t>
  </si>
  <si>
    <t xml:space="preserve">year</t>
  </si>
  <si>
    <t xml:space="preserve">n_ges</t>
  </si>
  <si>
    <t xml:space="preserve">t_pos</t>
  </si>
  <si>
    <t xml:space="preserve">t_neg</t>
  </si>
  <si>
    <t xml:space="preserve">c_pos</t>
  </si>
  <si>
    <t xml:space="preserve">c_neg</t>
  </si>
  <si>
    <t xml:space="preserve">OR</t>
  </si>
  <si>
    <t xml:space="preserve">ci.lb</t>
  </si>
  <si>
    <t xml:space="preserve">ci.ub</t>
  </si>
  <si>
    <t xml:space="preserve">pval</t>
  </si>
  <si>
    <t xml:space="preserve">hospitalbeds</t>
  </si>
  <si>
    <t xml:space="preserve">ltcbeds</t>
  </si>
  <si>
    <t xml:space="preserve">urban</t>
  </si>
  <si>
    <t xml:space="preserve">married</t>
  </si>
  <si>
    <t xml:space="preserve">college</t>
  </si>
  <si>
    <t xml:space="preserve">mean_age</t>
  </si>
  <si>
    <t xml:space="preserve">Aamodt et al.</t>
  </si>
  <si>
    <t xml:space="preserve">NA</t>
  </si>
  <si>
    <t xml:space="preserve">Ceylan et al.</t>
  </si>
  <si>
    <t xml:space="preserve">Krause et al.</t>
  </si>
  <si>
    <t xml:space="preserve">Kumar et al.</t>
  </si>
  <si>
    <t xml:space="preserve">&lt; 0,001</t>
  </si>
  <si>
    <t xml:space="preserve">Moens et al. (Belgium)</t>
  </si>
  <si>
    <t xml:space="preserve">Moens et al. (France)</t>
  </si>
  <si>
    <t xml:space="preserve">Moens et al. (Italy)</t>
  </si>
  <si>
    <t xml:space="preserve">Moens et al. (Canada)</t>
  </si>
  <si>
    <t xml:space="preserve">Moens et al. (Mexico)</t>
  </si>
  <si>
    <t xml:space="preserve">Moens et al. (New-Zealand)</t>
  </si>
  <si>
    <t xml:space="preserve">Moens et al. (Spain)</t>
  </si>
  <si>
    <t xml:space="preserve">Moens et al. (South Corea)</t>
  </si>
  <si>
    <t xml:space="preserve">Moens et al. (Czech Republic)</t>
  </si>
  <si>
    <t xml:space="preserve">Moens et al. (Hungary)</t>
  </si>
  <si>
    <t xml:space="preserve">Moens et al. (USA)</t>
  </si>
  <si>
    <t xml:space="preserve">Zwicker et al.</t>
  </si>
  <si>
    <t xml:space="preserve">Sterbeort: Krankenhaus - Variable: Ethnie (Black)</t>
  </si>
  <si>
    <t xml:space="preserve">Nummer</t>
  </si>
  <si>
    <t xml:space="preserve">Autor</t>
  </si>
  <si>
    <t xml:space="preserve">Jahr</t>
  </si>
  <si>
    <t xml:space="preserve">tpos</t>
  </si>
  <si>
    <t xml:space="preserve">tneg</t>
  </si>
  <si>
    <t xml:space="preserve">cpos</t>
  </si>
  <si>
    <t xml:space="preserve">cneg</t>
  </si>
  <si>
    <t xml:space="preserve">Aamodt</t>
  </si>
  <si>
    <t xml:space="preserve">&lt; 0,05</t>
  </si>
  <si>
    <t xml:space="preserve">Kumar</t>
  </si>
  <si>
    <t xml:space="preserve">Sterbeort: Krankenhaus - Variable: Ethnie (Hispanic)</t>
  </si>
  <si>
    <t xml:space="preserve">Sterbeort: Krankenhaus - Variable: Ethnie (Asian)</t>
  </si>
  <si>
    <t xml:space="preserve">Sterbeort: Krankenhaus - Variable: Ethnie (Native American)</t>
  </si>
  <si>
    <t xml:space="preserve">&lt; 0,0001</t>
  </si>
  <si>
    <t xml:space="preserve">McKenzie et al.</t>
  </si>
  <si>
    <t xml:space="preserve">&lt; 0,01</t>
  </si>
  <si>
    <t xml:space="preserve">Sterbeort: Krankenhaus - Variable: cause of death (COPD)</t>
  </si>
  <si>
    <t xml:space="preserve">Sleeman</t>
  </si>
  <si>
    <t xml:space="preserve">Tuck</t>
  </si>
  <si>
    <t xml:space="preserve">Sterbeort: Krankenhaus - Variable: cause of death (Cancer)</t>
  </si>
  <si>
    <t xml:space="preserve">Sterbeort: Krankenhaus - Variable: cause of death (cardiovascular / heart disease)</t>
  </si>
  <si>
    <t xml:space="preserve">Sterbeort: Krankenhaus - Variable: cause of death (cerebrovascular disease)</t>
  </si>
  <si>
    <t xml:space="preserve">Sterbeort: Krankenhaus - Variable: cause of death (dementia)</t>
  </si>
  <si>
    <t xml:space="preserve">Sterbeort: Krankenhaus - Variable: Wohnort (städtisch)</t>
  </si>
  <si>
    <t xml:space="preserve">Sterbeort: Krankenhaus - Variable: Familienstand (verheiratet)</t>
  </si>
  <si>
    <t xml:space="preserve">Sterbeort: Krankenhaus - Variable: Bildungsniveau (college/higher)</t>
  </si>
  <si>
    <t xml:space="preserve">Sterbeort: Krankenhaus - Variable: palliative homecare / outpatient palliative care</t>
  </si>
  <si>
    <t xml:space="preserve">CI_lb</t>
  </si>
  <si>
    <t xml:space="preserve">CI_ub</t>
  </si>
  <si>
    <t xml:space="preserve">p-Wert</t>
  </si>
  <si>
    <t xml:space="preserve">McKenzie</t>
  </si>
  <si>
    <t xml:space="preserve">Ceylan</t>
  </si>
  <si>
    <t xml:space="preserve">Moens, Belgien</t>
  </si>
  <si>
    <t xml:space="preserve">Zwicker</t>
  </si>
  <si>
    <t xml:space="preserve">Krause</t>
  </si>
  <si>
    <t xml:space="preserve">Moens, Frankreich</t>
  </si>
  <si>
    <t xml:space="preserve">Moens, Italien</t>
  </si>
  <si>
    <t xml:space="preserve">Moens, Kanda</t>
  </si>
  <si>
    <t xml:space="preserve">Moens, Mexiko</t>
  </si>
  <si>
    <t xml:space="preserve">Moens, Neuseeland</t>
  </si>
  <si>
    <t xml:space="preserve">Moens, Spanien</t>
  </si>
  <si>
    <t xml:space="preserve">Moens, Südkorea</t>
  </si>
  <si>
    <t xml:space="preserve">Moens, Tschechien</t>
  </si>
  <si>
    <t xml:space="preserve">Moens, Ungarn</t>
  </si>
  <si>
    <t xml:space="preserve">Moens, USA</t>
  </si>
  <si>
    <t xml:space="preserve">Sterbeort: Krankenhaus - Variable: Geschlecht (männlich)</t>
  </si>
  <si>
    <t xml:space="preserve"> </t>
  </si>
  <si>
    <t xml:space="preserve">Sterbeort: Krankenhaus - Variable: Alter</t>
  </si>
  <si>
    <t xml:space="preserve">meanage</t>
  </si>
  <si>
    <t xml:space="preserve">Moens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</si>
</sst>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name val="Calibri"/>
      <family val="0"/>
      <charset val="1"/>
    </font>
    <font>
      <sz val="12"/>
      <color theme="0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2"/>
      <color theme="0"/>
      <name val="Calibri"/>
      <family val="0"/>
      <charset val="1"/>
    </font>
    <font>
      <b val="true"/>
      <sz val="12"/>
      <color rgb="FFFF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 style="thin">
        <color theme="1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F81B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2:L18" headerRowCount="1" totalsRowCount="0" totalsRowShown="0">
  <autoFilter ref="A2:L18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2.xml><?xml version="1.0" encoding="utf-8"?>
<table xmlns="http://schemas.openxmlformats.org/spreadsheetml/2006/main" id="2" name="Tabelle2" displayName="Tabelle2" ref="O2:Z4" headerRowCount="1" totalsRowCount="0" totalsRowShown="0">
  <autoFilter ref="O2:Z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3.xml><?xml version="1.0" encoding="utf-8"?>
<table xmlns="http://schemas.openxmlformats.org/spreadsheetml/2006/main" id="3" name="Tabelle3" displayName="Tabelle3" ref="O8:Z10" headerRowCount="1" totalsRowCount="0" totalsRowShown="0">
  <autoFilter ref="O8:Z10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4.xml><?xml version="1.0" encoding="utf-8"?>
<table xmlns="http://schemas.openxmlformats.org/spreadsheetml/2006/main" id="4" name="Tabelle4" displayName="Tabelle4" ref="O14:Z16" headerRowCount="1" totalsRowCount="0" totalsRowShown="0">
  <autoFilter ref="O14:Z16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5.xml><?xml version="1.0" encoding="utf-8"?>
<table xmlns="http://schemas.openxmlformats.org/spreadsheetml/2006/main" id="5" name="Tabelle5" displayName="Tabelle5" ref="O19:Z21" headerRowCount="1" totalsRowCount="0" totalsRowShown="0">
  <autoFilter ref="O19:Z21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6.xml><?xml version="1.0" encoding="utf-8"?>
<table xmlns="http://schemas.openxmlformats.org/spreadsheetml/2006/main" id="6" name="Tabelle6" displayName="Tabelle6" ref="AQ2:BB14" headerRowCount="1" totalsRowCount="0" totalsRowShown="0">
  <autoFilter ref="AQ2:BB1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7.xml><?xml version="1.0" encoding="utf-8"?>
<table xmlns="http://schemas.openxmlformats.org/spreadsheetml/2006/main" id="7" name="Tabelle7" displayName="Tabelle7" ref="AC2:AN17" headerRowCount="1" totalsRowCount="0" totalsRowShown="0">
  <autoFilter ref="AC2:AN17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8.xml><?xml version="1.0" encoding="utf-8"?>
<table xmlns="http://schemas.openxmlformats.org/spreadsheetml/2006/main" id="8" name="Tabelle8" displayName="Tabelle8" ref="BE2:BP14" headerRowCount="1" totalsRowCount="0" totalsRowShown="0">
  <autoFilter ref="BE2:BP1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9.xml><?xml version="1.0" encoding="utf-8"?>
<table xmlns="http://schemas.openxmlformats.org/spreadsheetml/2006/main" id="9" name="Tabelle9" displayName="Tabelle9" ref="BS2:CD4" headerRowCount="1" totalsRowCount="0" totalsRowShown="0">
  <autoFilter ref="BS2:CD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9.06640625" defaultRowHeight="14.25" zeroHeight="false" outlineLevelRow="0" outlineLevelCol="0"/>
  <cols>
    <col collapsed="false" customWidth="true" hidden="false" outlineLevel="0" max="2" min="2" style="1" width="24.8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25" hidden="false" customHeight="false" outlineLevel="0" collapsed="false">
      <c r="A2" s="1" t="n">
        <v>1</v>
      </c>
      <c r="B2" s="1" t="s">
        <v>18</v>
      </c>
      <c r="C2" s="1" t="n">
        <v>2023</v>
      </c>
      <c r="D2" s="1" t="n">
        <v>53279</v>
      </c>
      <c r="E2" s="1" t="n">
        <v>4831</v>
      </c>
      <c r="F2" s="1" t="n">
        <v>14980</v>
      </c>
      <c r="G2" s="1" t="n">
        <v>3139</v>
      </c>
      <c r="H2" s="1" t="n">
        <v>10157</v>
      </c>
      <c r="I2" s="1" t="n">
        <v>1.06</v>
      </c>
      <c r="J2" s="1" t="n">
        <v>1</v>
      </c>
      <c r="K2" s="1" t="n">
        <v>1.12</v>
      </c>
      <c r="L2" s="1" t="n">
        <v>0.1</v>
      </c>
      <c r="M2" s="1" t="n">
        <v>2.77</v>
      </c>
      <c r="N2" s="1" t="n">
        <v>32.3</v>
      </c>
      <c r="O2" s="1" t="n">
        <v>0.7952</v>
      </c>
      <c r="P2" s="1" t="s">
        <v>19</v>
      </c>
      <c r="Q2" s="1" t="s">
        <v>19</v>
      </c>
      <c r="R2" s="1" t="n">
        <v>83</v>
      </c>
    </row>
    <row r="3" customFormat="false" ht="14.25" hidden="false" customHeight="false" outlineLevel="0" collapsed="false">
      <c r="A3" s="1" t="n">
        <v>2</v>
      </c>
      <c r="B3" s="1" t="s">
        <v>20</v>
      </c>
      <c r="C3" s="1" t="n">
        <v>2022</v>
      </c>
      <c r="D3" s="1" t="n">
        <v>27</v>
      </c>
      <c r="E3" s="1" t="n">
        <v>10</v>
      </c>
      <c r="F3" s="1" t="n">
        <v>5</v>
      </c>
      <c r="G3" s="1" t="n">
        <v>7</v>
      </c>
      <c r="H3" s="1" t="n">
        <v>5</v>
      </c>
      <c r="I3" s="1" t="n">
        <v>1.43</v>
      </c>
      <c r="J3" s="1" t="n">
        <v>0.3</v>
      </c>
      <c r="K3" s="1" t="n">
        <v>6.88</v>
      </c>
      <c r="L3" s="1" t="n">
        <v>0.24</v>
      </c>
      <c r="M3" s="1" t="n">
        <v>3.02</v>
      </c>
      <c r="N3" s="1" t="n">
        <v>9.5</v>
      </c>
      <c r="O3" s="1" t="s">
        <v>19</v>
      </c>
      <c r="P3" s="1" t="s">
        <v>19</v>
      </c>
      <c r="Q3" s="1" t="s">
        <v>19</v>
      </c>
      <c r="R3" s="1" t="s">
        <v>19</v>
      </c>
    </row>
    <row r="4" customFormat="false" ht="14.25" hidden="false" customHeight="false" outlineLevel="0" collapsed="false">
      <c r="A4" s="1" t="n">
        <v>3</v>
      </c>
      <c r="B4" s="1" t="s">
        <v>21</v>
      </c>
      <c r="C4" s="1" t="n">
        <v>2021</v>
      </c>
      <c r="D4" s="1" t="n">
        <v>40</v>
      </c>
      <c r="E4" s="1" t="n">
        <v>8</v>
      </c>
      <c r="F4" s="1" t="n">
        <v>11</v>
      </c>
      <c r="G4" s="1" t="n">
        <v>2</v>
      </c>
      <c r="H4" s="1" t="n">
        <v>19</v>
      </c>
      <c r="I4" s="1" t="n">
        <v>8.25</v>
      </c>
      <c r="J4" s="1" t="n">
        <v>1.8</v>
      </c>
      <c r="K4" s="1" t="n">
        <v>37.88</v>
      </c>
      <c r="L4" s="1" t="n">
        <v>0.0275</v>
      </c>
      <c r="M4" s="1" t="n">
        <v>7.76</v>
      </c>
      <c r="N4" s="1" t="n">
        <v>54.2</v>
      </c>
      <c r="O4" s="1" t="s">
        <v>19</v>
      </c>
      <c r="P4" s="1" t="s">
        <v>19</v>
      </c>
      <c r="Q4" s="1" t="s">
        <v>19</v>
      </c>
      <c r="R4" s="1" t="n">
        <v>83.2</v>
      </c>
    </row>
    <row r="5" customFormat="false" ht="14.25" hidden="false" customHeight="false" outlineLevel="0" collapsed="false">
      <c r="A5" s="1" t="n">
        <v>4</v>
      </c>
      <c r="B5" s="1" t="s">
        <v>22</v>
      </c>
      <c r="C5" s="1" t="n">
        <v>2021</v>
      </c>
      <c r="D5" s="1" t="n">
        <v>346141</v>
      </c>
      <c r="E5" s="1" t="n">
        <v>30250</v>
      </c>
      <c r="F5" s="1" t="n">
        <v>173884</v>
      </c>
      <c r="G5" s="1" t="n">
        <v>14337</v>
      </c>
      <c r="H5" s="1" t="n">
        <v>127670</v>
      </c>
      <c r="I5" s="1" t="n">
        <v>1.454</v>
      </c>
      <c r="J5" s="1" t="n">
        <v>1.396</v>
      </c>
      <c r="K5" s="1" t="n">
        <v>1.515</v>
      </c>
      <c r="L5" s="1" t="s">
        <v>23</v>
      </c>
      <c r="M5" s="1" t="n">
        <v>2.77</v>
      </c>
      <c r="N5" s="1" t="n">
        <v>53.9</v>
      </c>
      <c r="O5" s="1" t="n">
        <v>0.83</v>
      </c>
      <c r="P5" s="1" t="s">
        <v>19</v>
      </c>
      <c r="Q5" s="1" t="s">
        <v>19</v>
      </c>
      <c r="R5" s="1" t="s">
        <v>19</v>
      </c>
    </row>
    <row r="6" customFormat="false" ht="14.25" hidden="false" customHeight="false" outlineLevel="0" collapsed="false">
      <c r="A6" s="1" t="n">
        <v>5</v>
      </c>
      <c r="B6" s="1" t="s">
        <v>24</v>
      </c>
      <c r="C6" s="1" t="n">
        <v>2015</v>
      </c>
      <c r="D6" s="1" t="n">
        <v>837</v>
      </c>
      <c r="E6" s="1" t="n">
        <v>144</v>
      </c>
      <c r="F6" s="1" t="n">
        <v>291</v>
      </c>
      <c r="G6" s="1" t="n">
        <v>81</v>
      </c>
      <c r="H6" s="1" t="n">
        <v>321</v>
      </c>
      <c r="I6" s="1" t="n">
        <v>2.3</v>
      </c>
      <c r="J6" s="1" t="n">
        <v>1.5</v>
      </c>
      <c r="K6" s="1" t="n">
        <v>3.5</v>
      </c>
      <c r="L6" s="1" t="s">
        <v>23</v>
      </c>
      <c r="M6" s="1" t="n">
        <v>5.47</v>
      </c>
      <c r="N6" s="1" t="n">
        <v>66.8</v>
      </c>
      <c r="O6" s="1" t="n">
        <v>0.567</v>
      </c>
      <c r="P6" s="1" t="n">
        <v>0.485</v>
      </c>
      <c r="Q6" s="1" t="n">
        <v>0.313</v>
      </c>
      <c r="R6" s="1" t="s">
        <v>19</v>
      </c>
    </row>
    <row r="7" customFormat="false" ht="14.25" hidden="false" customHeight="false" outlineLevel="0" collapsed="false">
      <c r="A7" s="1" t="n">
        <v>6</v>
      </c>
      <c r="B7" s="1" t="s">
        <v>25</v>
      </c>
      <c r="C7" s="1" t="n">
        <v>2015</v>
      </c>
      <c r="D7" s="1" t="n">
        <v>4599</v>
      </c>
      <c r="E7" s="1" t="n">
        <v>1133</v>
      </c>
      <c r="F7" s="1" t="n">
        <v>1314</v>
      </c>
      <c r="G7" s="1" t="n">
        <v>695</v>
      </c>
      <c r="H7" s="1" t="n">
        <v>1457</v>
      </c>
      <c r="I7" s="1" t="n">
        <v>1.5</v>
      </c>
      <c r="J7" s="1" t="n">
        <v>1.3</v>
      </c>
      <c r="K7" s="1" t="n">
        <v>1.7</v>
      </c>
      <c r="L7" s="1" t="s">
        <v>23</v>
      </c>
      <c r="M7" s="1" t="n">
        <v>5.65</v>
      </c>
      <c r="N7" s="1" t="n">
        <v>47.4</v>
      </c>
      <c r="O7" s="1" t="n">
        <v>0.328</v>
      </c>
      <c r="P7" s="1" t="n">
        <v>0.464</v>
      </c>
      <c r="Q7" s="1" t="s">
        <v>19</v>
      </c>
      <c r="R7" s="1" t="s">
        <v>19</v>
      </c>
    </row>
    <row r="8" customFormat="false" ht="14.25" hidden="false" customHeight="false" outlineLevel="0" collapsed="false">
      <c r="A8" s="1" t="n">
        <v>7</v>
      </c>
      <c r="B8" s="1" t="s">
        <v>26</v>
      </c>
      <c r="C8" s="1" t="n">
        <v>2015</v>
      </c>
      <c r="D8" s="1" t="n">
        <v>4034</v>
      </c>
      <c r="E8" s="1" t="n">
        <v>698</v>
      </c>
      <c r="F8" s="1" t="n">
        <v>1319</v>
      </c>
      <c r="G8" s="1" t="n">
        <v>567</v>
      </c>
      <c r="H8" s="1" t="n">
        <v>1450</v>
      </c>
      <c r="I8" s="1" t="n">
        <v>1.4</v>
      </c>
      <c r="J8" s="1" t="n">
        <v>1.2</v>
      </c>
      <c r="K8" s="1" t="n">
        <v>1.6</v>
      </c>
      <c r="L8" s="1" t="s">
        <v>23</v>
      </c>
      <c r="M8" s="1" t="n">
        <v>3.12</v>
      </c>
      <c r="N8" s="1" t="n">
        <v>21.3</v>
      </c>
      <c r="O8" s="1" t="n">
        <v>0.428</v>
      </c>
      <c r="P8" s="1" t="n">
        <v>0.457</v>
      </c>
      <c r="Q8" s="1" t="n">
        <v>0.085</v>
      </c>
      <c r="R8" s="1" t="s">
        <v>19</v>
      </c>
    </row>
    <row r="9" customFormat="false" ht="14.25" hidden="false" customHeight="false" outlineLevel="0" collapsed="false">
      <c r="A9" s="1" t="n">
        <v>8</v>
      </c>
      <c r="B9" s="1" t="s">
        <v>27</v>
      </c>
      <c r="C9" s="1" t="n">
        <v>2015</v>
      </c>
      <c r="D9" s="1" t="n">
        <v>1381</v>
      </c>
      <c r="E9" s="1" t="n">
        <v>389</v>
      </c>
      <c r="F9" s="1" t="n">
        <v>389</v>
      </c>
      <c r="G9" s="1" t="n">
        <v>197</v>
      </c>
      <c r="H9" s="1" t="n">
        <v>406</v>
      </c>
      <c r="I9" s="1" t="n">
        <v>1.7</v>
      </c>
      <c r="J9" s="1" t="n">
        <v>1.4</v>
      </c>
      <c r="K9" s="1" t="n">
        <v>2.2</v>
      </c>
      <c r="L9" s="1" t="s">
        <v>23</v>
      </c>
      <c r="M9" s="1" t="n">
        <v>2.58</v>
      </c>
      <c r="N9" s="1" t="n">
        <v>46.7</v>
      </c>
      <c r="O9" s="1" t="n">
        <v>0.828</v>
      </c>
      <c r="P9" s="1" t="n">
        <v>0.488</v>
      </c>
      <c r="Q9" s="1" t="s">
        <v>19</v>
      </c>
      <c r="R9" s="1" t="s">
        <v>19</v>
      </c>
    </row>
    <row r="10" customFormat="false" ht="14.25" hidden="false" customHeight="false" outlineLevel="0" collapsed="false">
      <c r="A10" s="1" t="n">
        <v>9</v>
      </c>
      <c r="B10" s="1" t="s">
        <v>28</v>
      </c>
      <c r="C10" s="1" t="n">
        <v>2015</v>
      </c>
      <c r="D10" s="1" t="n">
        <v>1062</v>
      </c>
      <c r="E10" s="1" t="n">
        <v>140</v>
      </c>
      <c r="F10" s="1" t="n">
        <v>451</v>
      </c>
      <c r="G10" s="1" t="n">
        <v>116</v>
      </c>
      <c r="H10" s="1" t="n">
        <v>355</v>
      </c>
      <c r="I10" s="1" t="n">
        <v>0.95</v>
      </c>
      <c r="J10" s="1" t="n">
        <v>0.71</v>
      </c>
      <c r="K10" s="1" t="n">
        <v>1.26</v>
      </c>
      <c r="L10" s="1" t="n">
        <v>0.72</v>
      </c>
      <c r="M10" s="1" t="n">
        <v>1</v>
      </c>
      <c r="N10" s="1" t="n">
        <v>0</v>
      </c>
      <c r="O10" s="1" t="s">
        <v>19</v>
      </c>
      <c r="P10" s="1" t="n">
        <v>0.516</v>
      </c>
      <c r="Q10" s="1" t="n">
        <v>0.2</v>
      </c>
      <c r="R10" s="1" t="s">
        <v>19</v>
      </c>
    </row>
    <row r="11" customFormat="false" ht="14.25" hidden="false" customHeight="false" outlineLevel="0" collapsed="false">
      <c r="A11" s="1" t="n">
        <v>10</v>
      </c>
      <c r="B11" s="1" t="s">
        <v>29</v>
      </c>
      <c r="C11" s="1" t="n">
        <v>2015</v>
      </c>
      <c r="D11" s="1" t="n">
        <v>202</v>
      </c>
      <c r="E11" s="1" t="n">
        <v>25</v>
      </c>
      <c r="F11" s="1" t="n">
        <v>81</v>
      </c>
      <c r="G11" s="1" t="n">
        <v>13</v>
      </c>
      <c r="H11" s="1" t="n">
        <v>83</v>
      </c>
      <c r="I11" s="1" t="n">
        <v>1.97</v>
      </c>
      <c r="J11" s="1" t="n">
        <v>0.94</v>
      </c>
      <c r="K11" s="1" t="n">
        <v>4.12</v>
      </c>
      <c r="L11" s="1" t="n">
        <v>0.071</v>
      </c>
      <c r="M11" s="1" t="n">
        <v>2.57</v>
      </c>
      <c r="N11" s="1" t="n">
        <v>50.4</v>
      </c>
      <c r="O11" s="1" t="s">
        <v>19</v>
      </c>
      <c r="P11" s="1" t="s">
        <v>19</v>
      </c>
      <c r="Q11" s="1" t="s">
        <v>19</v>
      </c>
      <c r="R11" s="1" t="s">
        <v>19</v>
      </c>
    </row>
    <row r="12" customFormat="false" ht="14.25" hidden="false" customHeight="false" outlineLevel="0" collapsed="false">
      <c r="A12" s="1" t="n">
        <v>11</v>
      </c>
      <c r="B12" s="1" t="s">
        <v>30</v>
      </c>
      <c r="C12" s="1" t="n">
        <v>2015</v>
      </c>
      <c r="D12" s="1" t="n">
        <v>352</v>
      </c>
      <c r="E12" s="1" t="n">
        <v>76</v>
      </c>
      <c r="F12" s="1" t="n">
        <v>119</v>
      </c>
      <c r="G12" s="1" t="n">
        <v>58</v>
      </c>
      <c r="H12" s="1" t="n">
        <v>99</v>
      </c>
      <c r="I12" s="1" t="n">
        <v>1.09</v>
      </c>
      <c r="J12" s="1" t="n">
        <v>0.71</v>
      </c>
      <c r="K12" s="1" t="n">
        <v>1.69</v>
      </c>
      <c r="L12" s="1" t="n">
        <v>0.696</v>
      </c>
      <c r="M12" s="1" t="n">
        <v>2.96</v>
      </c>
      <c r="N12" s="1" t="n">
        <v>43.4</v>
      </c>
      <c r="O12" s="1" t="n">
        <v>0.554</v>
      </c>
      <c r="P12" s="1" t="n">
        <v>0.477</v>
      </c>
      <c r="Q12" s="1" t="n">
        <v>0.174</v>
      </c>
      <c r="R12" s="1" t="s">
        <v>19</v>
      </c>
    </row>
    <row r="13" customFormat="false" ht="14.25" hidden="false" customHeight="false" outlineLevel="0" collapsed="false">
      <c r="A13" s="1" t="n">
        <v>12</v>
      </c>
      <c r="B13" s="1" t="s">
        <v>31</v>
      </c>
      <c r="C13" s="1" t="n">
        <v>2015</v>
      </c>
      <c r="D13" s="1" t="n">
        <v>1565</v>
      </c>
      <c r="E13" s="1" t="n">
        <v>507</v>
      </c>
      <c r="F13" s="1" t="n">
        <v>177</v>
      </c>
      <c r="G13" s="1" t="n">
        <v>662</v>
      </c>
      <c r="H13" s="1" t="n">
        <v>219</v>
      </c>
      <c r="I13" s="1" t="n">
        <v>0.95</v>
      </c>
      <c r="J13" s="1" t="n">
        <v>0.75</v>
      </c>
      <c r="K13" s="1" t="n">
        <v>1.19</v>
      </c>
      <c r="L13" s="1" t="n">
        <v>0.647</v>
      </c>
      <c r="M13" s="1" t="n">
        <v>12.77</v>
      </c>
      <c r="N13" s="1" t="n">
        <v>25</v>
      </c>
      <c r="O13" s="1" t="n">
        <v>0.178</v>
      </c>
      <c r="P13" s="1" t="n">
        <v>0.496</v>
      </c>
      <c r="Q13" s="1" t="n">
        <v>0.324</v>
      </c>
      <c r="R13" s="1" t="s">
        <v>19</v>
      </c>
    </row>
    <row r="14" customFormat="false" ht="14.25" hidden="false" customHeight="false" outlineLevel="0" collapsed="false">
      <c r="A14" s="1" t="n">
        <v>13</v>
      </c>
      <c r="B14" s="1" t="s">
        <v>32</v>
      </c>
      <c r="C14" s="1" t="n">
        <v>2015</v>
      </c>
      <c r="D14" s="1" t="n">
        <v>92</v>
      </c>
      <c r="E14" s="1" t="n">
        <v>21</v>
      </c>
      <c r="F14" s="1" t="n">
        <v>33</v>
      </c>
      <c r="G14" s="1" t="n">
        <v>15</v>
      </c>
      <c r="H14" s="1" t="n">
        <v>23</v>
      </c>
      <c r="I14" s="1" t="n">
        <v>0.97</v>
      </c>
      <c r="J14" s="1" t="n">
        <v>0.42</v>
      </c>
      <c r="K14" s="1" t="n">
        <v>2.28</v>
      </c>
      <c r="L14" s="1" t="n">
        <v>0.955</v>
      </c>
      <c r="M14" s="1" t="n">
        <v>6.66</v>
      </c>
      <c r="N14" s="1" t="n">
        <v>34.9</v>
      </c>
      <c r="O14" s="1" t="s">
        <v>19</v>
      </c>
      <c r="P14" s="1" t="n">
        <v>0.543</v>
      </c>
      <c r="Q14" s="1" t="n">
        <v>0.146</v>
      </c>
      <c r="R14" s="1" t="s">
        <v>19</v>
      </c>
    </row>
    <row r="15" customFormat="false" ht="14.25" hidden="false" customHeight="false" outlineLevel="0" collapsed="false">
      <c r="A15" s="1" t="n">
        <v>14</v>
      </c>
      <c r="B15" s="1" t="s">
        <v>33</v>
      </c>
      <c r="C15" s="1" t="n">
        <v>2015</v>
      </c>
      <c r="D15" s="1" t="n">
        <v>241</v>
      </c>
      <c r="E15" s="1" t="n">
        <v>90</v>
      </c>
      <c r="F15" s="1" t="n">
        <v>51</v>
      </c>
      <c r="G15" s="1" t="n">
        <v>55</v>
      </c>
      <c r="H15" s="1" t="n">
        <v>45</v>
      </c>
      <c r="I15" s="1" t="n">
        <v>1.44</v>
      </c>
      <c r="J15" s="1" t="n">
        <v>0.86</v>
      </c>
      <c r="K15" s="1" t="n">
        <v>2.43</v>
      </c>
      <c r="L15" s="1" t="n">
        <v>0.168</v>
      </c>
      <c r="M15" s="1" t="n">
        <v>6.79</v>
      </c>
      <c r="N15" s="1" t="n">
        <v>42.6</v>
      </c>
      <c r="O15" s="1" t="n">
        <v>0.357</v>
      </c>
      <c r="P15" s="1" t="n">
        <v>0.515</v>
      </c>
      <c r="Q15" s="1" t="n">
        <v>0.323</v>
      </c>
      <c r="R15" s="1" t="s">
        <v>19</v>
      </c>
    </row>
    <row r="16" customFormat="false" ht="14.25" hidden="false" customHeight="false" outlineLevel="0" collapsed="false">
      <c r="A16" s="1" t="n">
        <v>15</v>
      </c>
      <c r="B16" s="1" t="s">
        <v>34</v>
      </c>
      <c r="C16" s="1" t="n">
        <v>2015</v>
      </c>
      <c r="D16" s="1" t="n">
        <v>20065</v>
      </c>
      <c r="E16" s="1" t="n">
        <v>2288</v>
      </c>
      <c r="F16" s="1" t="n">
        <v>9269</v>
      </c>
      <c r="G16" s="1" t="n">
        <v>1200</v>
      </c>
      <c r="H16" s="1" t="n">
        <v>7308</v>
      </c>
      <c r="I16" s="1" t="n">
        <v>1.4</v>
      </c>
      <c r="J16" s="1" t="n">
        <v>1.3</v>
      </c>
      <c r="K16" s="1" t="n">
        <v>1.5</v>
      </c>
      <c r="L16" s="1" t="s">
        <v>23</v>
      </c>
      <c r="M16" s="1" t="n">
        <v>2.77</v>
      </c>
      <c r="N16" s="1" t="n">
        <v>28.9</v>
      </c>
      <c r="O16" s="1" t="s">
        <v>19</v>
      </c>
      <c r="P16" s="1" t="n">
        <v>0.484</v>
      </c>
      <c r="Q16" s="1" t="n">
        <v>0.837</v>
      </c>
      <c r="R16" s="1" t="s">
        <v>19</v>
      </c>
    </row>
    <row r="17" customFormat="false" ht="14.25" hidden="false" customHeight="false" outlineLevel="0" collapsed="false">
      <c r="A17" s="1" t="n">
        <v>16</v>
      </c>
      <c r="B17" s="1" t="s">
        <v>35</v>
      </c>
      <c r="C17" s="1" t="n">
        <v>2022</v>
      </c>
      <c r="D17" s="1" t="n">
        <v>291276</v>
      </c>
      <c r="E17" s="1" t="s">
        <v>19</v>
      </c>
      <c r="F17" s="1" t="s">
        <v>19</v>
      </c>
      <c r="G17" s="1" t="s">
        <v>19</v>
      </c>
      <c r="H17" s="1" t="s">
        <v>19</v>
      </c>
      <c r="I17" s="1" t="n">
        <v>1.04</v>
      </c>
      <c r="J17" s="1" t="n">
        <v>0.92</v>
      </c>
      <c r="K17" s="1" t="n">
        <v>1.17</v>
      </c>
      <c r="L17" s="1" t="s">
        <v>19</v>
      </c>
      <c r="M17" s="1" t="n">
        <v>2.58</v>
      </c>
      <c r="N17" s="1" t="n">
        <v>46.7</v>
      </c>
      <c r="O17" s="1" t="s">
        <v>19</v>
      </c>
      <c r="P17" s="1" t="s">
        <v>19</v>
      </c>
      <c r="Q17" s="1" t="s">
        <v>19</v>
      </c>
      <c r="R17" s="1" t="n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K25"/>
  <sheetViews>
    <sheetView showFormulas="false" showGridLines="true" showRowColHeaders="true" showZeros="true" rightToLeft="false" tabSelected="false" showOutlineSymbols="true" defaultGridColor="true" view="normal" topLeftCell="DK1" colorId="64" zoomScale="100" zoomScaleNormal="100" zoomScalePageLayoutView="100" workbookViewId="0">
      <selection pane="topLeft" activeCell="CZ1" activeCellId="0" sqref="CZ1"/>
    </sheetView>
  </sheetViews>
  <sheetFormatPr defaultColWidth="9.06640625" defaultRowHeight="14.25" zeroHeight="false" outlineLevelRow="0" outlineLevelCol="0"/>
  <cols>
    <col collapsed="false" customWidth="true" hidden="false" outlineLevel="0" max="35" min="35" style="1" width="19.26"/>
  </cols>
  <sheetData>
    <row r="1" customFormat="false" ht="15" hidden="false" customHeight="false" outlineLevel="0" collapsed="false">
      <c r="A1" s="2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1" t="s">
        <v>83</v>
      </c>
      <c r="S1" s="42"/>
      <c r="T1" s="2" t="s">
        <v>36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2"/>
      <c r="AG1" s="42"/>
      <c r="AH1" s="2" t="s">
        <v>60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42"/>
      <c r="AU1" s="42"/>
      <c r="AV1" s="2" t="s">
        <v>61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42"/>
      <c r="BI1" s="42"/>
      <c r="BJ1" s="2" t="s">
        <v>84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42"/>
      <c r="BW1" s="42"/>
      <c r="BX1" s="2" t="s">
        <v>62</v>
      </c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42"/>
      <c r="CK1" s="42"/>
      <c r="CL1" s="2" t="s">
        <v>63</v>
      </c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42"/>
      <c r="CY1" s="42"/>
      <c r="CZ1" s="2" t="s">
        <v>53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</row>
    <row r="2" customFormat="false" ht="15" hidden="false" customHeight="false" outlineLevel="0" collapsed="false">
      <c r="A2" s="3" t="s">
        <v>37</v>
      </c>
      <c r="B2" s="4" t="s">
        <v>38</v>
      </c>
      <c r="C2" s="4" t="s">
        <v>39</v>
      </c>
      <c r="D2" s="4" t="s">
        <v>3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8</v>
      </c>
      <c r="J2" s="4" t="s">
        <v>9</v>
      </c>
      <c r="K2" s="4" t="s">
        <v>10</v>
      </c>
      <c r="L2" s="4" t="s">
        <v>11</v>
      </c>
      <c r="M2" s="43" t="s">
        <v>12</v>
      </c>
      <c r="N2" s="43" t="s">
        <v>13</v>
      </c>
      <c r="O2" s="44" t="s">
        <v>14</v>
      </c>
      <c r="P2" s="44" t="s">
        <v>15</v>
      </c>
      <c r="Q2" s="4" t="s">
        <v>16</v>
      </c>
      <c r="R2" s="5" t="s">
        <v>85</v>
      </c>
      <c r="S2" s="42"/>
      <c r="T2" s="3" t="s">
        <v>37</v>
      </c>
      <c r="U2" s="4" t="s">
        <v>38</v>
      </c>
      <c r="V2" s="4" t="s">
        <v>39</v>
      </c>
      <c r="W2" s="4" t="s">
        <v>3</v>
      </c>
      <c r="X2" s="4" t="s">
        <v>40</v>
      </c>
      <c r="Y2" s="4" t="s">
        <v>41</v>
      </c>
      <c r="Z2" s="4" t="s">
        <v>42</v>
      </c>
      <c r="AA2" s="4" t="s">
        <v>43</v>
      </c>
      <c r="AB2" s="4" t="s">
        <v>8</v>
      </c>
      <c r="AC2" s="4" t="s">
        <v>9</v>
      </c>
      <c r="AD2" s="4" t="s">
        <v>10</v>
      </c>
      <c r="AE2" s="5" t="s">
        <v>11</v>
      </c>
      <c r="AF2" s="42"/>
      <c r="AG2" s="42"/>
      <c r="AH2" s="3" t="s">
        <v>37</v>
      </c>
      <c r="AI2" s="4" t="s">
        <v>38</v>
      </c>
      <c r="AJ2" s="4" t="s">
        <v>39</v>
      </c>
      <c r="AK2" s="4" t="s">
        <v>3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8</v>
      </c>
      <c r="AQ2" s="4" t="s">
        <v>9</v>
      </c>
      <c r="AR2" s="4" t="s">
        <v>10</v>
      </c>
      <c r="AS2" s="5" t="s">
        <v>11</v>
      </c>
      <c r="AT2" s="42"/>
      <c r="AU2" s="42"/>
      <c r="AV2" s="3" t="s">
        <v>37</v>
      </c>
      <c r="AW2" s="4" t="s">
        <v>38</v>
      </c>
      <c r="AX2" s="4" t="s">
        <v>39</v>
      </c>
      <c r="AY2" s="4" t="s">
        <v>3</v>
      </c>
      <c r="AZ2" s="4" t="s">
        <v>40</v>
      </c>
      <c r="BA2" s="4" t="s">
        <v>41</v>
      </c>
      <c r="BB2" s="4" t="s">
        <v>42</v>
      </c>
      <c r="BC2" s="4" t="s">
        <v>43</v>
      </c>
      <c r="BD2" s="4" t="s">
        <v>8</v>
      </c>
      <c r="BE2" s="4" t="s">
        <v>9</v>
      </c>
      <c r="BF2" s="4" t="s">
        <v>10</v>
      </c>
      <c r="BG2" s="5" t="s">
        <v>11</v>
      </c>
      <c r="BH2" s="42"/>
      <c r="BI2" s="42"/>
      <c r="BJ2" s="3" t="s">
        <v>37</v>
      </c>
      <c r="BK2" s="4" t="s">
        <v>38</v>
      </c>
      <c r="BL2" s="4" t="s">
        <v>39</v>
      </c>
      <c r="BM2" s="4" t="s">
        <v>3</v>
      </c>
      <c r="BN2" s="4" t="s">
        <v>40</v>
      </c>
      <c r="BO2" s="4" t="s">
        <v>41</v>
      </c>
      <c r="BP2" s="4" t="s">
        <v>42</v>
      </c>
      <c r="BQ2" s="4" t="s">
        <v>43</v>
      </c>
      <c r="BR2" s="4" t="s">
        <v>8</v>
      </c>
      <c r="BS2" s="4" t="s">
        <v>9</v>
      </c>
      <c r="BT2" s="4" t="s">
        <v>10</v>
      </c>
      <c r="BU2" s="5" t="s">
        <v>11</v>
      </c>
      <c r="BV2" s="42"/>
      <c r="BW2" s="42"/>
      <c r="BX2" s="3" t="s">
        <v>37</v>
      </c>
      <c r="BY2" s="4" t="s">
        <v>38</v>
      </c>
      <c r="BZ2" s="4" t="s">
        <v>39</v>
      </c>
      <c r="CA2" s="4" t="s">
        <v>3</v>
      </c>
      <c r="CB2" s="4" t="s">
        <v>40</v>
      </c>
      <c r="CC2" s="4" t="s">
        <v>41</v>
      </c>
      <c r="CD2" s="4" t="s">
        <v>42</v>
      </c>
      <c r="CE2" s="4" t="s">
        <v>43</v>
      </c>
      <c r="CF2" s="4" t="s">
        <v>8</v>
      </c>
      <c r="CG2" s="4" t="s">
        <v>9</v>
      </c>
      <c r="CH2" s="4" t="s">
        <v>10</v>
      </c>
      <c r="CI2" s="5" t="s">
        <v>11</v>
      </c>
      <c r="CJ2" s="42"/>
      <c r="CK2" s="42"/>
      <c r="CL2" s="3" t="s">
        <v>37</v>
      </c>
      <c r="CM2" s="4" t="s">
        <v>38</v>
      </c>
      <c r="CN2" s="4" t="s">
        <v>39</v>
      </c>
      <c r="CO2" s="4" t="s">
        <v>3</v>
      </c>
      <c r="CP2" s="4" t="s">
        <v>40</v>
      </c>
      <c r="CQ2" s="4" t="s">
        <v>41</v>
      </c>
      <c r="CR2" s="4" t="s">
        <v>42</v>
      </c>
      <c r="CS2" s="4" t="s">
        <v>43</v>
      </c>
      <c r="CT2" s="4" t="s">
        <v>8</v>
      </c>
      <c r="CU2" s="4" t="s">
        <v>9</v>
      </c>
      <c r="CV2" s="4" t="s">
        <v>10</v>
      </c>
      <c r="CW2" s="5" t="s">
        <v>11</v>
      </c>
      <c r="CX2" s="42"/>
      <c r="CY2" s="42"/>
      <c r="CZ2" s="3" t="s">
        <v>37</v>
      </c>
      <c r="DA2" s="4" t="s">
        <v>38</v>
      </c>
      <c r="DB2" s="4" t="s">
        <v>39</v>
      </c>
      <c r="DC2" s="4" t="s">
        <v>3</v>
      </c>
      <c r="DD2" s="4" t="s">
        <v>40</v>
      </c>
      <c r="DE2" s="4" t="s">
        <v>41</v>
      </c>
      <c r="DF2" s="4" t="s">
        <v>42</v>
      </c>
      <c r="DG2" s="4" t="s">
        <v>43</v>
      </c>
      <c r="DH2" s="4" t="s">
        <v>8</v>
      </c>
      <c r="DI2" s="4" t="s">
        <v>9</v>
      </c>
      <c r="DJ2" s="4" t="s">
        <v>10</v>
      </c>
      <c r="DK2" s="5" t="s">
        <v>11</v>
      </c>
    </row>
    <row r="3" customFormat="false" ht="15" hidden="false" customHeight="false" outlineLevel="0" collapsed="false">
      <c r="A3" s="45" t="n">
        <v>1</v>
      </c>
      <c r="B3" s="46" t="s">
        <v>44</v>
      </c>
      <c r="C3" s="46" t="n">
        <v>2023</v>
      </c>
      <c r="D3" s="45" t="n">
        <v>53279</v>
      </c>
      <c r="E3" s="45" t="n">
        <v>4831</v>
      </c>
      <c r="F3" s="45" t="n">
        <v>14980</v>
      </c>
      <c r="G3" s="45" t="n">
        <v>3139</v>
      </c>
      <c r="H3" s="45" t="n">
        <v>10157</v>
      </c>
      <c r="I3" s="45" t="n">
        <v>1.06</v>
      </c>
      <c r="J3" s="45" t="n">
        <v>1</v>
      </c>
      <c r="K3" s="45" t="n">
        <v>1.12</v>
      </c>
      <c r="L3" s="45" t="n">
        <v>0.1</v>
      </c>
      <c r="M3" s="45" t="n">
        <v>2.77</v>
      </c>
      <c r="N3" s="45" t="n">
        <v>32.3</v>
      </c>
      <c r="O3" s="45" t="n">
        <v>0.7952</v>
      </c>
      <c r="P3" s="45" t="s">
        <v>19</v>
      </c>
      <c r="Q3" s="45" t="s">
        <v>19</v>
      </c>
      <c r="R3" s="45" t="n">
        <v>83</v>
      </c>
      <c r="S3" s="12"/>
      <c r="T3" s="6" t="n">
        <v>1</v>
      </c>
      <c r="U3" s="7" t="s">
        <v>44</v>
      </c>
      <c r="V3" s="7" t="n">
        <v>2023</v>
      </c>
      <c r="W3" s="7" t="n">
        <v>53279</v>
      </c>
      <c r="X3" s="7" t="n">
        <v>550</v>
      </c>
      <c r="Y3" s="7" t="n">
        <v>2323</v>
      </c>
      <c r="Z3" s="7" t="n">
        <v>6757</v>
      </c>
      <c r="AA3" s="7" t="n">
        <v>40936</v>
      </c>
      <c r="AB3" s="9" t="n">
        <v>1.11</v>
      </c>
      <c r="AC3" s="9" t="n">
        <v>1</v>
      </c>
      <c r="AD3" s="7" t="n">
        <v>1.24</v>
      </c>
      <c r="AE3" s="10" t="s">
        <v>45</v>
      </c>
      <c r="AF3" s="12"/>
      <c r="AG3" s="12"/>
      <c r="AH3" s="6" t="n">
        <v>1</v>
      </c>
      <c r="AI3" s="11" t="s">
        <v>44</v>
      </c>
      <c r="AJ3" s="11" t="n">
        <v>2023</v>
      </c>
      <c r="AK3" s="7" t="n">
        <v>53279</v>
      </c>
      <c r="AL3" s="7" t="n">
        <v>6390</v>
      </c>
      <c r="AM3" s="7" t="n">
        <v>19996</v>
      </c>
      <c r="AN3" s="7" t="n">
        <v>1580</v>
      </c>
      <c r="AO3" s="7" t="n">
        <v>5141</v>
      </c>
      <c r="AP3" s="7" t="n">
        <v>1.04</v>
      </c>
      <c r="AQ3" s="7" t="n">
        <v>0.98</v>
      </c>
      <c r="AR3" s="7" t="n">
        <v>1.1</v>
      </c>
      <c r="AS3" s="10" t="n">
        <v>0.23</v>
      </c>
      <c r="AT3" s="12"/>
      <c r="AU3" s="12"/>
      <c r="AV3" s="6" t="n">
        <v>1</v>
      </c>
      <c r="AW3" s="11" t="s">
        <v>46</v>
      </c>
      <c r="AX3" s="11" t="n">
        <v>2021</v>
      </c>
      <c r="AY3" s="7" t="n">
        <v>346141</v>
      </c>
      <c r="AZ3" s="7" t="s">
        <v>19</v>
      </c>
      <c r="BA3" s="7" t="s">
        <v>19</v>
      </c>
      <c r="BB3" s="7" t="s">
        <v>19</v>
      </c>
      <c r="BC3" s="7" t="s">
        <v>19</v>
      </c>
      <c r="BD3" s="7" t="n">
        <v>1.1</v>
      </c>
      <c r="BE3" s="7" t="n">
        <v>1.05</v>
      </c>
      <c r="BF3" s="7" t="n">
        <v>1.14</v>
      </c>
      <c r="BG3" s="10" t="s">
        <v>23</v>
      </c>
      <c r="BH3" s="12"/>
      <c r="BI3" s="12"/>
      <c r="BJ3" s="6" t="n">
        <v>1</v>
      </c>
      <c r="BK3" s="11" t="s">
        <v>69</v>
      </c>
      <c r="BL3" s="11" t="n">
        <v>2015</v>
      </c>
      <c r="BM3" s="7" t="n">
        <v>837</v>
      </c>
      <c r="BN3" s="7" t="n">
        <v>118</v>
      </c>
      <c r="BO3" s="7" t="n">
        <v>203</v>
      </c>
      <c r="BP3" s="7" t="n">
        <v>107</v>
      </c>
      <c r="BQ3" s="7" t="n">
        <v>409</v>
      </c>
      <c r="BR3" s="9" t="n">
        <v>1.8</v>
      </c>
      <c r="BS3" s="9" t="n">
        <v>1.2</v>
      </c>
      <c r="BT3" s="7" t="n">
        <v>2.7</v>
      </c>
      <c r="BU3" s="10" t="s">
        <v>23</v>
      </c>
      <c r="BV3" s="12"/>
      <c r="BW3" s="12"/>
      <c r="BX3" s="6" t="n">
        <v>1</v>
      </c>
      <c r="BY3" s="47" t="s">
        <v>46</v>
      </c>
      <c r="BZ3" s="11" t="n">
        <v>2021</v>
      </c>
      <c r="CA3" s="11" t="n">
        <v>346141</v>
      </c>
      <c r="CB3" s="7" t="s">
        <v>19</v>
      </c>
      <c r="CC3" s="7" t="s">
        <v>19</v>
      </c>
      <c r="CD3" s="7" t="s">
        <v>19</v>
      </c>
      <c r="CE3" s="7" t="s">
        <v>19</v>
      </c>
      <c r="CF3" s="9" t="n">
        <v>0.933</v>
      </c>
      <c r="CG3" s="9" t="n">
        <v>0.9</v>
      </c>
      <c r="CH3" s="7" t="n">
        <v>0.968</v>
      </c>
      <c r="CI3" s="10" t="s">
        <v>19</v>
      </c>
      <c r="CJ3" s="12"/>
      <c r="CK3" s="12"/>
      <c r="CL3" s="6" t="n">
        <v>1</v>
      </c>
      <c r="CM3" s="7" t="s">
        <v>67</v>
      </c>
      <c r="CN3" s="11" t="n">
        <v>2022</v>
      </c>
      <c r="CO3" s="7" t="n">
        <v>1226</v>
      </c>
      <c r="CP3" s="7" t="s">
        <v>19</v>
      </c>
      <c r="CQ3" s="7" t="s">
        <v>19</v>
      </c>
      <c r="CR3" s="7" t="s">
        <v>19</v>
      </c>
      <c r="CS3" s="7" t="s">
        <v>19</v>
      </c>
      <c r="CT3" s="9" t="n">
        <v>0.59</v>
      </c>
      <c r="CU3" s="9" t="n">
        <v>0.41</v>
      </c>
      <c r="CV3" s="9" t="n">
        <v>0.87</v>
      </c>
      <c r="CW3" s="10" t="s">
        <v>19</v>
      </c>
      <c r="CX3" s="12"/>
      <c r="CY3" s="12"/>
      <c r="CZ3" s="6" t="n">
        <v>1</v>
      </c>
      <c r="DA3" s="7" t="s">
        <v>54</v>
      </c>
      <c r="DB3" s="7" t="n">
        <v>2013</v>
      </c>
      <c r="DC3" s="7" t="n">
        <v>125242</v>
      </c>
      <c r="DD3" s="7" t="s">
        <v>19</v>
      </c>
      <c r="DE3" s="7" t="s">
        <v>19</v>
      </c>
      <c r="DF3" s="7" t="s">
        <v>19</v>
      </c>
      <c r="DG3" s="7" t="s">
        <v>19</v>
      </c>
      <c r="DH3" s="8" t="n">
        <v>1.24</v>
      </c>
      <c r="DI3" s="9" t="n">
        <v>1.17</v>
      </c>
      <c r="DJ3" s="9" t="n">
        <v>1.31</v>
      </c>
      <c r="DK3" s="10" t="s">
        <v>19</v>
      </c>
    </row>
    <row r="4" customFormat="false" ht="15" hidden="false" customHeight="false" outlineLevel="0" collapsed="false">
      <c r="A4" s="45" t="n">
        <v>2</v>
      </c>
      <c r="B4" s="46" t="s">
        <v>68</v>
      </c>
      <c r="C4" s="46" t="n">
        <v>2022</v>
      </c>
      <c r="D4" s="45" t="n">
        <v>27</v>
      </c>
      <c r="E4" s="45" t="n">
        <v>10</v>
      </c>
      <c r="F4" s="45" t="n">
        <v>5</v>
      </c>
      <c r="G4" s="45" t="n">
        <v>7</v>
      </c>
      <c r="H4" s="45" t="n">
        <v>5</v>
      </c>
      <c r="I4" s="48" t="n">
        <v>1.43</v>
      </c>
      <c r="J4" s="48" t="n">
        <v>0.3</v>
      </c>
      <c r="K4" s="45" t="n">
        <v>6.88</v>
      </c>
      <c r="L4" s="45" t="n">
        <v>0.24</v>
      </c>
      <c r="M4" s="45" t="n">
        <v>3.02</v>
      </c>
      <c r="N4" s="45" t="n">
        <v>9.5</v>
      </c>
      <c r="O4" s="45" t="s">
        <v>19</v>
      </c>
      <c r="P4" s="45" t="s">
        <v>19</v>
      </c>
      <c r="Q4" s="45" t="s">
        <v>19</v>
      </c>
      <c r="R4" s="45" t="s">
        <v>19</v>
      </c>
      <c r="S4" s="12"/>
      <c r="T4" s="6" t="n">
        <v>2</v>
      </c>
      <c r="U4" s="7" t="s">
        <v>46</v>
      </c>
      <c r="V4" s="7" t="n">
        <v>2021</v>
      </c>
      <c r="W4" s="7" t="n">
        <v>346141</v>
      </c>
      <c r="X4" s="7" t="n">
        <v>2748</v>
      </c>
      <c r="Y4" s="7" t="n">
        <v>11130</v>
      </c>
      <c r="Z4" s="7" t="n">
        <v>40083</v>
      </c>
      <c r="AA4" s="7" t="n">
        <v>284111</v>
      </c>
      <c r="AB4" s="9" t="n">
        <v>1.773</v>
      </c>
      <c r="AC4" s="9" t="n">
        <v>1.649</v>
      </c>
      <c r="AD4" s="7" t="n">
        <v>1.905</v>
      </c>
      <c r="AE4" s="10" t="s">
        <v>23</v>
      </c>
      <c r="AF4" s="12"/>
      <c r="AG4" s="12"/>
      <c r="AH4" s="6" t="n">
        <v>2</v>
      </c>
      <c r="AI4" s="11" t="s">
        <v>46</v>
      </c>
      <c r="AJ4" s="11" t="n">
        <v>2021</v>
      </c>
      <c r="AK4" s="7" t="n">
        <v>346141</v>
      </c>
      <c r="AL4" s="7" t="n">
        <v>36538</v>
      </c>
      <c r="AM4" s="7" t="n">
        <v>250631</v>
      </c>
      <c r="AN4" s="7" t="n">
        <v>8049</v>
      </c>
      <c r="AO4" s="7" t="n">
        <v>50923</v>
      </c>
      <c r="AP4" s="7" t="n">
        <v>0.92</v>
      </c>
      <c r="AQ4" s="7" t="n">
        <v>0.9</v>
      </c>
      <c r="AR4" s="7" t="n">
        <v>0.95</v>
      </c>
      <c r="AS4" s="10" t="s">
        <v>50</v>
      </c>
      <c r="AT4" s="12"/>
      <c r="AU4" s="12"/>
      <c r="AV4" s="6" t="n">
        <v>2</v>
      </c>
      <c r="AW4" s="11" t="s">
        <v>69</v>
      </c>
      <c r="AX4" s="11" t="n">
        <v>2015</v>
      </c>
      <c r="AY4" s="7" t="n">
        <v>837</v>
      </c>
      <c r="AZ4" s="7" t="n">
        <v>126</v>
      </c>
      <c r="BA4" s="7" t="n">
        <v>280</v>
      </c>
      <c r="BB4" s="7" t="n">
        <v>98</v>
      </c>
      <c r="BC4" s="7" t="n">
        <v>333</v>
      </c>
      <c r="BD4" s="7" t="n">
        <v>1.53</v>
      </c>
      <c r="BE4" s="7" t="n">
        <v>1.12</v>
      </c>
      <c r="BF4" s="7" t="n">
        <v>2.08</v>
      </c>
      <c r="BG4" s="10" t="n">
        <v>0.0069</v>
      </c>
      <c r="BH4" s="12"/>
      <c r="BI4" s="12"/>
      <c r="BJ4" s="6" t="n">
        <v>2</v>
      </c>
      <c r="BK4" s="11" t="s">
        <v>72</v>
      </c>
      <c r="BL4" s="11" t="n">
        <v>2015</v>
      </c>
      <c r="BM4" s="7" t="n">
        <v>4599</v>
      </c>
      <c r="BN4" s="7" t="n">
        <v>625</v>
      </c>
      <c r="BO4" s="7" t="n">
        <v>686</v>
      </c>
      <c r="BP4" s="7" t="n">
        <v>1204</v>
      </c>
      <c r="BQ4" s="7" t="n">
        <v>2085</v>
      </c>
      <c r="BR4" s="9" t="n">
        <v>1.4</v>
      </c>
      <c r="BS4" s="9" t="n">
        <v>1.2</v>
      </c>
      <c r="BT4" s="7" t="n">
        <v>1.6</v>
      </c>
      <c r="BU4" s="10" t="s">
        <v>23</v>
      </c>
      <c r="BV4" s="12"/>
      <c r="BW4" s="12"/>
      <c r="BX4" s="6" t="n">
        <v>2</v>
      </c>
      <c r="BY4" s="11" t="s">
        <v>69</v>
      </c>
      <c r="BZ4" s="11" t="n">
        <v>2015</v>
      </c>
      <c r="CA4" s="11" t="n">
        <v>837</v>
      </c>
      <c r="CB4" s="7" t="n">
        <v>82</v>
      </c>
      <c r="CC4" s="7" t="n">
        <v>180</v>
      </c>
      <c r="CD4" s="7" t="n">
        <v>168</v>
      </c>
      <c r="CE4" s="7" t="n">
        <v>407</v>
      </c>
      <c r="CF4" s="7" t="n">
        <v>1.1</v>
      </c>
      <c r="CG4" s="7" t="n">
        <v>0.8</v>
      </c>
      <c r="CH4" s="7" t="n">
        <v>1.52</v>
      </c>
      <c r="CI4" s="10" t="n">
        <v>0.542</v>
      </c>
      <c r="CJ4" s="12"/>
      <c r="CK4" s="12"/>
      <c r="CL4" s="6" t="n">
        <v>2</v>
      </c>
      <c r="CM4" s="7" t="s">
        <v>70</v>
      </c>
      <c r="CN4" s="11" t="n">
        <v>2022</v>
      </c>
      <c r="CO4" s="7" t="n">
        <v>291276</v>
      </c>
      <c r="CP4" s="7" t="s">
        <v>19</v>
      </c>
      <c r="CQ4" s="7" t="s">
        <v>19</v>
      </c>
      <c r="CR4" s="7" t="s">
        <v>19</v>
      </c>
      <c r="CS4" s="7" t="s">
        <v>19</v>
      </c>
      <c r="CT4" s="7" t="n">
        <v>0.24</v>
      </c>
      <c r="CU4" s="7" t="n">
        <v>0.2</v>
      </c>
      <c r="CV4" s="7" t="n">
        <v>0.3</v>
      </c>
      <c r="CW4" s="10" t="s">
        <v>19</v>
      </c>
      <c r="CX4" s="12"/>
      <c r="CY4" s="12"/>
      <c r="CZ4" s="6" t="n">
        <v>2</v>
      </c>
      <c r="DA4" s="7" t="s">
        <v>55</v>
      </c>
      <c r="DB4" s="11" t="n">
        <v>2015</v>
      </c>
      <c r="DC4" s="7" t="n">
        <v>1073</v>
      </c>
      <c r="DD4" s="7" t="s">
        <v>19</v>
      </c>
      <c r="DE4" s="7" t="s">
        <v>19</v>
      </c>
      <c r="DF4" s="7" t="s">
        <v>19</v>
      </c>
      <c r="DG4" s="7" t="s">
        <v>19</v>
      </c>
      <c r="DH4" s="11" t="n">
        <v>1.41</v>
      </c>
      <c r="DI4" s="11" t="n">
        <v>0.4</v>
      </c>
      <c r="DJ4" s="7" t="n">
        <v>4.94</v>
      </c>
      <c r="DK4" s="10" t="s">
        <v>19</v>
      </c>
    </row>
    <row r="5" customFormat="false" ht="15" hidden="false" customHeight="false" outlineLevel="0" collapsed="false">
      <c r="A5" s="45" t="n">
        <v>3</v>
      </c>
      <c r="B5" s="46" t="s">
        <v>71</v>
      </c>
      <c r="C5" s="46" t="n">
        <v>2021</v>
      </c>
      <c r="D5" s="45" t="n">
        <v>40</v>
      </c>
      <c r="E5" s="45" t="n">
        <v>8</v>
      </c>
      <c r="F5" s="45" t="n">
        <v>11</v>
      </c>
      <c r="G5" s="45" t="n">
        <v>2</v>
      </c>
      <c r="H5" s="45" t="n">
        <v>19</v>
      </c>
      <c r="I5" s="45" t="n">
        <v>8.25</v>
      </c>
      <c r="J5" s="45" t="n">
        <v>1.8</v>
      </c>
      <c r="K5" s="45" t="n">
        <v>37.88</v>
      </c>
      <c r="L5" s="45" t="n">
        <v>0.0275</v>
      </c>
      <c r="M5" s="45" t="n">
        <v>7.76</v>
      </c>
      <c r="N5" s="45" t="n">
        <v>54.2</v>
      </c>
      <c r="O5" s="7" t="s">
        <v>19</v>
      </c>
      <c r="P5" s="45" t="s">
        <v>19</v>
      </c>
      <c r="Q5" s="45" t="s">
        <v>19</v>
      </c>
      <c r="R5" s="45" t="n">
        <v>83.2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6" t="n">
        <v>3</v>
      </c>
      <c r="AI5" s="11" t="s">
        <v>67</v>
      </c>
      <c r="AJ5" s="11" t="n">
        <v>2022</v>
      </c>
      <c r="AK5" s="7" t="n">
        <v>1226</v>
      </c>
      <c r="AL5" s="7" t="s">
        <v>19</v>
      </c>
      <c r="AM5" s="7" t="s">
        <v>19</v>
      </c>
      <c r="AN5" s="7" t="s">
        <v>19</v>
      </c>
      <c r="AO5" s="7" t="s">
        <v>19</v>
      </c>
      <c r="AP5" s="7" t="n">
        <v>0.38</v>
      </c>
      <c r="AQ5" s="7" t="n">
        <v>0.29</v>
      </c>
      <c r="AR5" s="7" t="n">
        <v>0.5</v>
      </c>
      <c r="AS5" s="10" t="s">
        <v>23</v>
      </c>
      <c r="AT5" s="12"/>
      <c r="AU5" s="12"/>
      <c r="AV5" s="6" t="n">
        <v>3</v>
      </c>
      <c r="AW5" s="11" t="s">
        <v>72</v>
      </c>
      <c r="AX5" s="11" t="n">
        <v>2015</v>
      </c>
      <c r="AY5" s="7" t="n">
        <v>4599</v>
      </c>
      <c r="AZ5" s="7" t="n">
        <v>1003</v>
      </c>
      <c r="BA5" s="7" t="n">
        <v>1131</v>
      </c>
      <c r="BB5" s="7" t="n">
        <v>831</v>
      </c>
      <c r="BC5" s="7" t="n">
        <v>1630</v>
      </c>
      <c r="BD5" s="7" t="n">
        <v>1.4</v>
      </c>
      <c r="BE5" s="7" t="n">
        <v>1.2</v>
      </c>
      <c r="BF5" s="7" t="n">
        <v>1.6</v>
      </c>
      <c r="BG5" s="10" t="s">
        <v>23</v>
      </c>
      <c r="BH5" s="12"/>
      <c r="BI5" s="12"/>
      <c r="BJ5" s="6" t="n">
        <v>3</v>
      </c>
      <c r="BK5" s="11" t="s">
        <v>73</v>
      </c>
      <c r="BL5" s="11" t="n">
        <v>2015</v>
      </c>
      <c r="BM5" s="7" t="n">
        <v>4034</v>
      </c>
      <c r="BN5" s="7" t="n">
        <v>470</v>
      </c>
      <c r="BO5" s="7" t="n">
        <v>837</v>
      </c>
      <c r="BP5" s="7" t="n">
        <v>794</v>
      </c>
      <c r="BQ5" s="7" t="n">
        <v>1933</v>
      </c>
      <c r="BR5" s="9" t="n">
        <v>1.4</v>
      </c>
      <c r="BS5" s="9" t="n">
        <v>1.2</v>
      </c>
      <c r="BT5" s="7" t="n">
        <v>1.7</v>
      </c>
      <c r="BU5" s="10" t="s">
        <v>23</v>
      </c>
      <c r="BV5" s="12"/>
      <c r="BW5" s="12"/>
      <c r="BX5" s="6" t="n">
        <v>3</v>
      </c>
      <c r="BY5" s="11" t="s">
        <v>72</v>
      </c>
      <c r="BZ5" s="11" t="n">
        <v>2015</v>
      </c>
      <c r="CA5" s="11" t="n">
        <v>4599</v>
      </c>
      <c r="CB5" s="7" t="s">
        <v>19</v>
      </c>
      <c r="CC5" s="7" t="s">
        <v>19</v>
      </c>
      <c r="CD5" s="7" t="s">
        <v>19</v>
      </c>
      <c r="CE5" s="7" t="s">
        <v>19</v>
      </c>
      <c r="CF5" s="7" t="s">
        <v>19</v>
      </c>
      <c r="CG5" s="7" t="s">
        <v>19</v>
      </c>
      <c r="CH5" s="7" t="s">
        <v>19</v>
      </c>
      <c r="CI5" s="10" t="s">
        <v>19</v>
      </c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</row>
    <row r="6" customFormat="false" ht="15" hidden="false" customHeight="false" outlineLevel="0" collapsed="false">
      <c r="A6" s="45" t="n">
        <v>4</v>
      </c>
      <c r="B6" s="46" t="s">
        <v>46</v>
      </c>
      <c r="C6" s="46" t="n">
        <v>2021</v>
      </c>
      <c r="D6" s="45" t="n">
        <v>346141</v>
      </c>
      <c r="E6" s="45" t="n">
        <v>30250</v>
      </c>
      <c r="F6" s="45" t="n">
        <v>173884</v>
      </c>
      <c r="G6" s="45" t="n">
        <v>14337</v>
      </c>
      <c r="H6" s="45" t="n">
        <v>127670</v>
      </c>
      <c r="I6" s="48" t="n">
        <v>1.454</v>
      </c>
      <c r="J6" s="48" t="n">
        <v>1.396</v>
      </c>
      <c r="K6" s="45" t="n">
        <v>1.515</v>
      </c>
      <c r="L6" s="45" t="s">
        <v>23</v>
      </c>
      <c r="M6" s="45" t="n">
        <v>2.77</v>
      </c>
      <c r="N6" s="45" t="n">
        <v>53.9</v>
      </c>
      <c r="O6" s="45" t="n">
        <v>0.83</v>
      </c>
      <c r="P6" s="45" t="s">
        <v>19</v>
      </c>
      <c r="Q6" s="45" t="s">
        <v>19</v>
      </c>
      <c r="R6" s="45" t="s">
        <v>19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6" t="n">
        <v>4</v>
      </c>
      <c r="AI6" s="11" t="s">
        <v>69</v>
      </c>
      <c r="AJ6" s="11" t="n">
        <v>2015</v>
      </c>
      <c r="AK6" s="7" t="n">
        <v>837</v>
      </c>
      <c r="AL6" s="7" t="n">
        <v>141</v>
      </c>
      <c r="AM6" s="7" t="n">
        <v>341</v>
      </c>
      <c r="AN6" s="7" t="n">
        <v>84</v>
      </c>
      <c r="AO6" s="7" t="n">
        <v>271</v>
      </c>
      <c r="AP6" s="7" t="n">
        <v>1.33</v>
      </c>
      <c r="AQ6" s="7" t="n">
        <v>0.97</v>
      </c>
      <c r="AR6" s="7" t="n">
        <v>1.83</v>
      </c>
      <c r="AS6" s="10" t="n">
        <v>0.072</v>
      </c>
      <c r="AT6" s="12"/>
      <c r="AU6" s="12"/>
      <c r="AV6" s="6" t="n">
        <v>4</v>
      </c>
      <c r="AW6" s="11" t="s">
        <v>73</v>
      </c>
      <c r="AX6" s="11" t="n">
        <v>2015</v>
      </c>
      <c r="AY6" s="7" t="n">
        <v>4034</v>
      </c>
      <c r="AZ6" s="7" t="n">
        <v>603</v>
      </c>
      <c r="BA6" s="7" t="n">
        <v>1241</v>
      </c>
      <c r="BB6" s="7" t="n">
        <v>769</v>
      </c>
      <c r="BC6" s="7" t="n">
        <v>1394</v>
      </c>
      <c r="BD6" s="7" t="n">
        <v>1.13</v>
      </c>
      <c r="BE6" s="7" t="n">
        <v>0.99</v>
      </c>
      <c r="BF6" s="7" t="n">
        <v>1.29</v>
      </c>
      <c r="BG6" s="10" t="n">
        <v>0.058</v>
      </c>
      <c r="BH6" s="12"/>
      <c r="BI6" s="12"/>
      <c r="BJ6" s="6" t="n">
        <v>4</v>
      </c>
      <c r="BK6" s="11" t="s">
        <v>74</v>
      </c>
      <c r="BL6" s="11" t="n">
        <v>2015</v>
      </c>
      <c r="BM6" s="7" t="n">
        <v>1381</v>
      </c>
      <c r="BN6" s="7" t="n">
        <v>214</v>
      </c>
      <c r="BO6" s="7" t="n">
        <v>234</v>
      </c>
      <c r="BP6" s="7" t="n">
        <v>372</v>
      </c>
      <c r="BQ6" s="7" t="n">
        <v>561</v>
      </c>
      <c r="BR6" s="7" t="n">
        <v>1.38</v>
      </c>
      <c r="BS6" s="9" t="n">
        <v>1.09</v>
      </c>
      <c r="BT6" s="7" t="n">
        <v>1.73</v>
      </c>
      <c r="BU6" s="10" t="s">
        <v>23</v>
      </c>
      <c r="BV6" s="12"/>
      <c r="BW6" s="12"/>
      <c r="BX6" s="6" t="n">
        <v>4</v>
      </c>
      <c r="BY6" s="11" t="s">
        <v>73</v>
      </c>
      <c r="BZ6" s="11" t="n">
        <v>2015</v>
      </c>
      <c r="CA6" s="11" t="n">
        <v>4034</v>
      </c>
      <c r="CB6" s="7" t="n">
        <v>104</v>
      </c>
      <c r="CC6" s="7" t="n">
        <v>239</v>
      </c>
      <c r="CD6" s="7" t="n">
        <v>1159</v>
      </c>
      <c r="CE6" s="7" t="n">
        <v>2532</v>
      </c>
      <c r="CF6" s="7" t="n">
        <v>0.95</v>
      </c>
      <c r="CG6" s="7" t="n">
        <v>0.75</v>
      </c>
      <c r="CH6" s="7" t="n">
        <v>1.21</v>
      </c>
      <c r="CI6" s="10" t="n">
        <v>0.68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3" t="s">
        <v>56</v>
      </c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</row>
    <row r="7" customFormat="false" ht="15" hidden="false" customHeight="false" outlineLevel="0" collapsed="false">
      <c r="A7" s="45" t="n">
        <v>5</v>
      </c>
      <c r="B7" s="46" t="s">
        <v>69</v>
      </c>
      <c r="C7" s="46" t="n">
        <v>2015</v>
      </c>
      <c r="D7" s="45" t="n">
        <v>837</v>
      </c>
      <c r="E7" s="45" t="n">
        <v>144</v>
      </c>
      <c r="F7" s="45" t="n">
        <v>291</v>
      </c>
      <c r="G7" s="45" t="n">
        <v>81</v>
      </c>
      <c r="H7" s="45" t="n">
        <v>321</v>
      </c>
      <c r="I7" s="45" t="n">
        <v>2.3</v>
      </c>
      <c r="J7" s="45" t="n">
        <v>1.5</v>
      </c>
      <c r="K7" s="45" t="n">
        <v>3.5</v>
      </c>
      <c r="L7" s="45" t="s">
        <v>23</v>
      </c>
      <c r="M7" s="45" t="n">
        <v>5.47</v>
      </c>
      <c r="N7" s="45" t="n">
        <v>66.8</v>
      </c>
      <c r="O7" s="45" t="n">
        <v>0.567</v>
      </c>
      <c r="P7" s="45" t="n">
        <v>0.485</v>
      </c>
      <c r="Q7" s="45" t="n">
        <v>0.313</v>
      </c>
      <c r="R7" s="45" t="s">
        <v>19</v>
      </c>
      <c r="S7" s="12"/>
      <c r="T7" s="2" t="s">
        <v>47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2"/>
      <c r="AG7" s="12"/>
      <c r="AH7" s="6" t="n">
        <v>5</v>
      </c>
      <c r="AI7" s="11" t="s">
        <v>72</v>
      </c>
      <c r="AJ7" s="11" t="n">
        <v>2015</v>
      </c>
      <c r="AK7" s="7" t="n">
        <v>4599</v>
      </c>
      <c r="AL7" s="7" t="n">
        <v>591</v>
      </c>
      <c r="AM7" s="7" t="n">
        <v>917</v>
      </c>
      <c r="AN7" s="7" t="n">
        <v>1237</v>
      </c>
      <c r="AO7" s="7" t="n">
        <v>1854</v>
      </c>
      <c r="AP7" s="7" t="n">
        <v>0.97</v>
      </c>
      <c r="AQ7" s="7" t="n">
        <v>0.85</v>
      </c>
      <c r="AR7" s="7" t="n">
        <v>1.09</v>
      </c>
      <c r="AS7" s="10" t="n">
        <v>0.59</v>
      </c>
      <c r="AT7" s="12"/>
      <c r="AU7" s="12"/>
      <c r="AV7" s="6" t="n">
        <v>5</v>
      </c>
      <c r="AW7" s="11" t="s">
        <v>74</v>
      </c>
      <c r="AX7" s="11" t="n">
        <v>2015</v>
      </c>
      <c r="AY7" s="7" t="n">
        <v>1381</v>
      </c>
      <c r="AZ7" s="7" t="n">
        <v>339</v>
      </c>
      <c r="BA7" s="7" t="n">
        <v>335</v>
      </c>
      <c r="BB7" s="7" t="n">
        <v>249</v>
      </c>
      <c r="BC7" s="7" t="n">
        <v>458</v>
      </c>
      <c r="BD7" s="7" t="n">
        <v>1.5</v>
      </c>
      <c r="BE7" s="7" t="n">
        <v>1.3</v>
      </c>
      <c r="BF7" s="7" t="n">
        <v>1.9</v>
      </c>
      <c r="BG7" s="10" t="s">
        <v>23</v>
      </c>
      <c r="BH7" s="12"/>
      <c r="BI7" s="12"/>
      <c r="BJ7" s="6" t="n">
        <v>5</v>
      </c>
      <c r="BK7" s="11" t="s">
        <v>75</v>
      </c>
      <c r="BL7" s="11" t="n">
        <v>2015</v>
      </c>
      <c r="BM7" s="7" t="n">
        <v>1062</v>
      </c>
      <c r="BN7" s="7" t="n">
        <v>141</v>
      </c>
      <c r="BO7" s="7" t="n">
        <v>374</v>
      </c>
      <c r="BP7" s="7" t="n">
        <v>116</v>
      </c>
      <c r="BQ7" s="7" t="n">
        <v>431</v>
      </c>
      <c r="BR7" s="9" t="n">
        <v>1.4</v>
      </c>
      <c r="BS7" s="9" t="n">
        <v>1.1</v>
      </c>
      <c r="BT7" s="7" t="n">
        <v>1.9</v>
      </c>
      <c r="BU7" s="10" t="n">
        <v>0.0192</v>
      </c>
      <c r="BV7" s="12"/>
      <c r="BW7" s="12"/>
      <c r="BX7" s="6" t="n">
        <v>5</v>
      </c>
      <c r="BY7" s="11" t="s">
        <v>74</v>
      </c>
      <c r="BZ7" s="11" t="n">
        <v>2015</v>
      </c>
      <c r="CA7" s="11" t="n">
        <v>1381</v>
      </c>
      <c r="CB7" s="7" t="s">
        <v>19</v>
      </c>
      <c r="CC7" s="7" t="s">
        <v>19</v>
      </c>
      <c r="CD7" s="7" t="s">
        <v>19</v>
      </c>
      <c r="CE7" s="7" t="s">
        <v>19</v>
      </c>
      <c r="CF7" s="7" t="s">
        <v>19</v>
      </c>
      <c r="CG7" s="7" t="s">
        <v>19</v>
      </c>
      <c r="CH7" s="7" t="s">
        <v>19</v>
      </c>
      <c r="CI7" s="10" t="s">
        <v>19</v>
      </c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4" t="s">
        <v>37</v>
      </c>
      <c r="DA7" s="15" t="s">
        <v>38</v>
      </c>
      <c r="DB7" s="15" t="s">
        <v>39</v>
      </c>
      <c r="DC7" s="15" t="s">
        <v>3</v>
      </c>
      <c r="DD7" s="15" t="s">
        <v>40</v>
      </c>
      <c r="DE7" s="15" t="s">
        <v>41</v>
      </c>
      <c r="DF7" s="15" t="s">
        <v>42</v>
      </c>
      <c r="DG7" s="15" t="s">
        <v>43</v>
      </c>
      <c r="DH7" s="15" t="s">
        <v>8</v>
      </c>
      <c r="DI7" s="15" t="s">
        <v>9</v>
      </c>
      <c r="DJ7" s="15" t="s">
        <v>10</v>
      </c>
      <c r="DK7" s="16" t="s">
        <v>11</v>
      </c>
    </row>
    <row r="8" customFormat="false" ht="15" hidden="false" customHeight="false" outlineLevel="0" collapsed="false">
      <c r="A8" s="45" t="n">
        <v>6</v>
      </c>
      <c r="B8" s="46" t="s">
        <v>72</v>
      </c>
      <c r="C8" s="46" t="n">
        <v>2015</v>
      </c>
      <c r="D8" s="45" t="n">
        <v>4599</v>
      </c>
      <c r="E8" s="45" t="n">
        <v>1133</v>
      </c>
      <c r="F8" s="45" t="n">
        <v>1314</v>
      </c>
      <c r="G8" s="45" t="n">
        <v>695</v>
      </c>
      <c r="H8" s="45" t="n">
        <v>1457</v>
      </c>
      <c r="I8" s="45" t="n">
        <v>1.5</v>
      </c>
      <c r="J8" s="45" t="n">
        <v>1.3</v>
      </c>
      <c r="K8" s="45" t="n">
        <v>1.7</v>
      </c>
      <c r="L8" s="45" t="s">
        <v>23</v>
      </c>
      <c r="M8" s="45" t="n">
        <v>5.65</v>
      </c>
      <c r="N8" s="45" t="n">
        <v>47.4</v>
      </c>
      <c r="O8" s="45" t="n">
        <v>0.328</v>
      </c>
      <c r="P8" s="45" t="n">
        <v>0.464</v>
      </c>
      <c r="Q8" s="45" t="s">
        <v>19</v>
      </c>
      <c r="R8" s="45" t="s">
        <v>19</v>
      </c>
      <c r="S8" s="12"/>
      <c r="T8" s="3" t="s">
        <v>37</v>
      </c>
      <c r="U8" s="4" t="s">
        <v>38</v>
      </c>
      <c r="V8" s="4" t="s">
        <v>39</v>
      </c>
      <c r="W8" s="4" t="s">
        <v>3</v>
      </c>
      <c r="X8" s="4" t="s">
        <v>40</v>
      </c>
      <c r="Y8" s="4" t="s">
        <v>41</v>
      </c>
      <c r="Z8" s="4" t="s">
        <v>42</v>
      </c>
      <c r="AA8" s="4" t="s">
        <v>43</v>
      </c>
      <c r="AB8" s="4" t="s">
        <v>8</v>
      </c>
      <c r="AC8" s="4" t="s">
        <v>9</v>
      </c>
      <c r="AD8" s="4" t="s">
        <v>10</v>
      </c>
      <c r="AE8" s="5" t="s">
        <v>11</v>
      </c>
      <c r="AF8" s="12"/>
      <c r="AG8" s="12"/>
      <c r="AH8" s="6" t="n">
        <v>6</v>
      </c>
      <c r="AI8" s="11" t="s">
        <v>73</v>
      </c>
      <c r="AJ8" s="11" t="n">
        <v>2015</v>
      </c>
      <c r="AK8" s="7" t="n">
        <v>4034</v>
      </c>
      <c r="AL8" s="7" t="n">
        <v>609</v>
      </c>
      <c r="AM8" s="7" t="n">
        <v>1117</v>
      </c>
      <c r="AN8" s="7" t="n">
        <v>655</v>
      </c>
      <c r="AO8" s="7" t="n">
        <v>1649</v>
      </c>
      <c r="AP8" s="7" t="n">
        <v>1.4</v>
      </c>
      <c r="AQ8" s="7" t="n">
        <v>1.2</v>
      </c>
      <c r="AR8" s="7" t="n">
        <v>1.6</v>
      </c>
      <c r="AS8" s="10" t="s">
        <v>23</v>
      </c>
      <c r="AT8" s="12"/>
      <c r="AU8" s="12"/>
      <c r="AV8" s="6" t="n">
        <v>6</v>
      </c>
      <c r="AW8" s="11" t="s">
        <v>75</v>
      </c>
      <c r="AX8" s="11" t="n">
        <v>2015</v>
      </c>
      <c r="AY8" s="7" t="n">
        <v>1062</v>
      </c>
      <c r="AZ8" s="7" t="n">
        <v>127</v>
      </c>
      <c r="BA8" s="7" t="n">
        <v>421</v>
      </c>
      <c r="BB8" s="7" t="n">
        <v>126</v>
      </c>
      <c r="BC8" s="7" t="n">
        <v>388</v>
      </c>
      <c r="BD8" s="7" t="n">
        <v>0.93</v>
      </c>
      <c r="BE8" s="7" t="n">
        <v>0.7</v>
      </c>
      <c r="BF8" s="7" t="n">
        <v>1.23</v>
      </c>
      <c r="BG8" s="10" t="n">
        <v>0.512</v>
      </c>
      <c r="BH8" s="12"/>
      <c r="BI8" s="12"/>
      <c r="BJ8" s="6" t="n">
        <v>6</v>
      </c>
      <c r="BK8" s="11" t="s">
        <v>76</v>
      </c>
      <c r="BL8" s="11" t="n">
        <v>2015</v>
      </c>
      <c r="BM8" s="7" t="n">
        <v>202</v>
      </c>
      <c r="BN8" s="7" t="n">
        <v>16</v>
      </c>
      <c r="BO8" s="7" t="n">
        <v>55</v>
      </c>
      <c r="BP8" s="7" t="n">
        <v>22</v>
      </c>
      <c r="BQ8" s="7" t="n">
        <v>109</v>
      </c>
      <c r="BR8" s="9" t="n">
        <v>1.44</v>
      </c>
      <c r="BS8" s="9" t="n">
        <v>0.7</v>
      </c>
      <c r="BT8" s="7" t="n">
        <v>2.96</v>
      </c>
      <c r="BU8" s="10" t="n">
        <v>0.32</v>
      </c>
      <c r="BV8" s="12"/>
      <c r="BW8" s="12"/>
      <c r="BX8" s="6" t="n">
        <v>6</v>
      </c>
      <c r="BY8" s="11" t="s">
        <v>75</v>
      </c>
      <c r="BZ8" s="11" t="n">
        <v>2015</v>
      </c>
      <c r="CA8" s="11" t="n">
        <v>1062</v>
      </c>
      <c r="CB8" s="7" t="n">
        <v>70</v>
      </c>
      <c r="CC8" s="7" t="n">
        <v>142</v>
      </c>
      <c r="CD8" s="7" t="n">
        <v>184</v>
      </c>
      <c r="CE8" s="7" t="n">
        <v>665</v>
      </c>
      <c r="CF8" s="7" t="n">
        <v>1.8</v>
      </c>
      <c r="CG8" s="7" t="n">
        <v>1.2</v>
      </c>
      <c r="CH8" s="7" t="n">
        <v>2.5</v>
      </c>
      <c r="CI8" s="10" t="s">
        <v>23</v>
      </c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6" t="n">
        <v>1</v>
      </c>
      <c r="DA8" s="7" t="s">
        <v>54</v>
      </c>
      <c r="DB8" s="7" t="n">
        <v>2013</v>
      </c>
      <c r="DC8" s="7" t="n">
        <v>125242</v>
      </c>
      <c r="DD8" s="7" t="s">
        <v>19</v>
      </c>
      <c r="DE8" s="7" t="s">
        <v>19</v>
      </c>
      <c r="DF8" s="7" t="s">
        <v>19</v>
      </c>
      <c r="DG8" s="7" t="s">
        <v>19</v>
      </c>
      <c r="DH8" s="8" t="n">
        <v>0.96</v>
      </c>
      <c r="DI8" s="9" t="n">
        <v>0.92</v>
      </c>
      <c r="DJ8" s="9" t="n">
        <v>1</v>
      </c>
      <c r="DK8" s="10" t="s">
        <v>19</v>
      </c>
    </row>
    <row r="9" customFormat="false" ht="15" hidden="false" customHeight="false" outlineLevel="0" collapsed="false">
      <c r="A9" s="45" t="n">
        <v>7</v>
      </c>
      <c r="B9" s="46" t="s">
        <v>73</v>
      </c>
      <c r="C9" s="46" t="n">
        <v>2015</v>
      </c>
      <c r="D9" s="45" t="n">
        <v>4034</v>
      </c>
      <c r="E9" s="45" t="n">
        <v>698</v>
      </c>
      <c r="F9" s="45" t="n">
        <v>1319</v>
      </c>
      <c r="G9" s="45" t="n">
        <v>567</v>
      </c>
      <c r="H9" s="45" t="n">
        <v>1450</v>
      </c>
      <c r="I9" s="45" t="n">
        <v>1.4</v>
      </c>
      <c r="J9" s="45" t="n">
        <v>1.2</v>
      </c>
      <c r="K9" s="45" t="n">
        <v>1.6</v>
      </c>
      <c r="L9" s="45" t="s">
        <v>23</v>
      </c>
      <c r="M9" s="45" t="n">
        <v>3.12</v>
      </c>
      <c r="N9" s="45" t="n">
        <v>21.3</v>
      </c>
      <c r="O9" s="45" t="n">
        <v>0.428</v>
      </c>
      <c r="P9" s="45" t="n">
        <v>0.457</v>
      </c>
      <c r="Q9" s="45" t="n">
        <v>0.085</v>
      </c>
      <c r="R9" s="45" t="s">
        <v>19</v>
      </c>
      <c r="S9" s="12"/>
      <c r="T9" s="6" t="n">
        <v>1</v>
      </c>
      <c r="U9" s="7" t="s">
        <v>44</v>
      </c>
      <c r="V9" s="7" t="n">
        <v>2023</v>
      </c>
      <c r="W9" s="7" t="n">
        <v>53279</v>
      </c>
      <c r="X9" s="7" t="n">
        <v>189</v>
      </c>
      <c r="Y9" s="7" t="n">
        <v>645</v>
      </c>
      <c r="Z9" s="7" t="n">
        <v>6757</v>
      </c>
      <c r="AA9" s="7" t="n">
        <v>40936</v>
      </c>
      <c r="AB9" s="9" t="n">
        <v>1.59</v>
      </c>
      <c r="AC9" s="9" t="n">
        <v>1.33</v>
      </c>
      <c r="AD9" s="7" t="n">
        <v>1.91</v>
      </c>
      <c r="AE9" s="10" t="s">
        <v>45</v>
      </c>
      <c r="AF9" s="12"/>
      <c r="AG9" s="12"/>
      <c r="AH9" s="6" t="n">
        <v>7</v>
      </c>
      <c r="AI9" s="11" t="s">
        <v>74</v>
      </c>
      <c r="AJ9" s="11" t="n">
        <v>2015</v>
      </c>
      <c r="AK9" s="7" t="n">
        <v>1381</v>
      </c>
      <c r="AL9" s="7" t="n">
        <v>491</v>
      </c>
      <c r="AM9" s="7" t="n">
        <v>653</v>
      </c>
      <c r="AN9" s="7" t="n">
        <v>90</v>
      </c>
      <c r="AO9" s="7" t="n">
        <v>141</v>
      </c>
      <c r="AP9" s="7" t="n">
        <v>1.18</v>
      </c>
      <c r="AQ9" s="7" t="n">
        <v>0.88</v>
      </c>
      <c r="AR9" s="7" t="n">
        <v>1.58</v>
      </c>
      <c r="AS9" s="10" t="n">
        <v>0.267</v>
      </c>
      <c r="AT9" s="12"/>
      <c r="AU9" s="12"/>
      <c r="AV9" s="6" t="n">
        <v>7</v>
      </c>
      <c r="AW9" s="11" t="s">
        <v>76</v>
      </c>
      <c r="AX9" s="11" t="n">
        <v>2015</v>
      </c>
      <c r="AY9" s="7" t="n">
        <v>202</v>
      </c>
      <c r="AZ9" s="7" t="s">
        <v>19</v>
      </c>
      <c r="BA9" s="7" t="s">
        <v>19</v>
      </c>
      <c r="BB9" s="7" t="s">
        <v>19</v>
      </c>
      <c r="BC9" s="7" t="s">
        <v>19</v>
      </c>
      <c r="BD9" s="7" t="s">
        <v>19</v>
      </c>
      <c r="BE9" s="7" t="s">
        <v>19</v>
      </c>
      <c r="BF9" s="7" t="s">
        <v>19</v>
      </c>
      <c r="BG9" s="10" t="s">
        <v>19</v>
      </c>
      <c r="BH9" s="12"/>
      <c r="BI9" s="12"/>
      <c r="BJ9" s="6" t="n">
        <v>7</v>
      </c>
      <c r="BK9" s="11" t="s">
        <v>77</v>
      </c>
      <c r="BL9" s="11" t="n">
        <v>2015</v>
      </c>
      <c r="BM9" s="7" t="n">
        <v>352</v>
      </c>
      <c r="BN9" s="7" t="n">
        <v>52</v>
      </c>
      <c r="BO9" s="7" t="n">
        <v>79</v>
      </c>
      <c r="BP9" s="7" t="n">
        <v>82</v>
      </c>
      <c r="BQ9" s="7" t="n">
        <v>151</v>
      </c>
      <c r="BR9" s="9" t="n">
        <v>1.21</v>
      </c>
      <c r="BS9" s="9" t="n">
        <v>0.78</v>
      </c>
      <c r="BT9" s="7" t="n">
        <v>1.88</v>
      </c>
      <c r="BU9" s="10" t="n">
        <v>0.393</v>
      </c>
      <c r="BV9" s="12"/>
      <c r="BW9" s="12"/>
      <c r="BX9" s="6" t="n">
        <v>7</v>
      </c>
      <c r="BY9" s="11" t="s">
        <v>76</v>
      </c>
      <c r="BZ9" s="11" t="n">
        <v>2015</v>
      </c>
      <c r="CA9" s="11" t="n">
        <v>202</v>
      </c>
      <c r="CB9" s="7" t="s">
        <v>19</v>
      </c>
      <c r="CC9" s="7" t="s">
        <v>19</v>
      </c>
      <c r="CD9" s="7" t="s">
        <v>19</v>
      </c>
      <c r="CE9" s="7" t="s">
        <v>19</v>
      </c>
      <c r="CF9" s="7" t="s">
        <v>19</v>
      </c>
      <c r="CG9" s="7" t="s">
        <v>19</v>
      </c>
      <c r="CH9" s="7" t="s">
        <v>19</v>
      </c>
      <c r="CI9" s="10" t="s">
        <v>19</v>
      </c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6" t="n">
        <v>2</v>
      </c>
      <c r="DA9" s="7" t="s">
        <v>55</v>
      </c>
      <c r="DB9" s="11" t="n">
        <v>2015</v>
      </c>
      <c r="DC9" s="7" t="n">
        <v>1073</v>
      </c>
      <c r="DD9" s="7" t="s">
        <v>19</v>
      </c>
      <c r="DE9" s="7" t="s">
        <v>19</v>
      </c>
      <c r="DF9" s="7" t="s">
        <v>19</v>
      </c>
      <c r="DG9" s="7" t="s">
        <v>19</v>
      </c>
      <c r="DH9" s="11" t="n">
        <v>0.28</v>
      </c>
      <c r="DI9" s="11" t="n">
        <v>0.07</v>
      </c>
      <c r="DJ9" s="7" t="n">
        <v>1.15</v>
      </c>
      <c r="DK9" s="10" t="s">
        <v>19</v>
      </c>
    </row>
    <row r="10" customFormat="false" ht="15" hidden="false" customHeight="false" outlineLevel="0" collapsed="false">
      <c r="A10" s="45" t="n">
        <v>8</v>
      </c>
      <c r="B10" s="46" t="s">
        <v>74</v>
      </c>
      <c r="C10" s="46" t="n">
        <v>2015</v>
      </c>
      <c r="D10" s="45" t="n">
        <v>1381</v>
      </c>
      <c r="E10" s="45" t="n">
        <v>389</v>
      </c>
      <c r="F10" s="45" t="n">
        <v>389</v>
      </c>
      <c r="G10" s="45" t="n">
        <v>197</v>
      </c>
      <c r="H10" s="45" t="n">
        <v>406</v>
      </c>
      <c r="I10" s="45" t="n">
        <v>1.7</v>
      </c>
      <c r="J10" s="45" t="n">
        <v>1.4</v>
      </c>
      <c r="K10" s="45" t="n">
        <v>2.2</v>
      </c>
      <c r="L10" s="45" t="s">
        <v>23</v>
      </c>
      <c r="M10" s="45" t="n">
        <v>2.58</v>
      </c>
      <c r="N10" s="45" t="n">
        <v>46.7</v>
      </c>
      <c r="O10" s="45" t="n">
        <v>0.828</v>
      </c>
      <c r="P10" s="45" t="n">
        <v>0.488</v>
      </c>
      <c r="Q10" s="45" t="s">
        <v>19</v>
      </c>
      <c r="R10" s="45" t="s">
        <v>19</v>
      </c>
      <c r="S10" s="12"/>
      <c r="T10" s="6" t="n">
        <v>2</v>
      </c>
      <c r="U10" s="7" t="s">
        <v>46</v>
      </c>
      <c r="V10" s="7" t="n">
        <v>2021</v>
      </c>
      <c r="W10" s="7" t="n">
        <v>346141</v>
      </c>
      <c r="X10" s="7" t="n">
        <v>2642</v>
      </c>
      <c r="Y10" s="7" t="n">
        <v>13205</v>
      </c>
      <c r="Z10" s="7" t="n">
        <v>41853</v>
      </c>
      <c r="AA10" s="7" t="n">
        <v>287958</v>
      </c>
      <c r="AB10" s="9" t="n">
        <v>1.444</v>
      </c>
      <c r="AC10" s="9" t="n">
        <v>1.345</v>
      </c>
      <c r="AD10" s="7" t="n">
        <v>1.55</v>
      </c>
      <c r="AE10" s="10" t="s">
        <v>23</v>
      </c>
      <c r="AF10" s="12"/>
      <c r="AG10" s="12"/>
      <c r="AH10" s="6" t="n">
        <v>8</v>
      </c>
      <c r="AI10" s="11" t="s">
        <v>75</v>
      </c>
      <c r="AJ10" s="11" t="n">
        <v>2015</v>
      </c>
      <c r="AK10" s="7" t="n">
        <v>1062</v>
      </c>
      <c r="AL10" s="7" t="s">
        <v>19</v>
      </c>
      <c r="AM10" s="7" t="s">
        <v>19</v>
      </c>
      <c r="AN10" s="7" t="s">
        <v>19</v>
      </c>
      <c r="AO10" s="7" t="s">
        <v>19</v>
      </c>
      <c r="AP10" s="7" t="s">
        <v>19</v>
      </c>
      <c r="AQ10" s="7" t="s">
        <v>19</v>
      </c>
      <c r="AR10" s="7" t="s">
        <v>19</v>
      </c>
      <c r="AS10" s="10" t="s">
        <v>19</v>
      </c>
      <c r="AT10" s="12"/>
      <c r="AU10" s="12"/>
      <c r="AV10" s="6" t="n">
        <v>8</v>
      </c>
      <c r="AW10" s="11" t="s">
        <v>77</v>
      </c>
      <c r="AX10" s="11" t="n">
        <v>2015</v>
      </c>
      <c r="AY10" s="7" t="n">
        <v>352</v>
      </c>
      <c r="AZ10" s="7" t="n">
        <v>72</v>
      </c>
      <c r="BA10" s="7" t="n">
        <v>96</v>
      </c>
      <c r="BB10" s="7" t="n">
        <v>62</v>
      </c>
      <c r="BC10" s="7" t="n">
        <v>122</v>
      </c>
      <c r="BD10" s="7" t="n">
        <v>1.48</v>
      </c>
      <c r="BE10" s="7" t="n">
        <v>0.96</v>
      </c>
      <c r="BF10" s="7" t="n">
        <v>2.27</v>
      </c>
      <c r="BG10" s="10" t="n">
        <v>0.0776</v>
      </c>
      <c r="BH10" s="12"/>
      <c r="BI10" s="12"/>
      <c r="BJ10" s="6" t="n">
        <v>8</v>
      </c>
      <c r="BK10" s="11" t="s">
        <v>78</v>
      </c>
      <c r="BL10" s="11" t="n">
        <v>2015</v>
      </c>
      <c r="BM10" s="7" t="n">
        <v>1565</v>
      </c>
      <c r="BN10" s="7" t="n">
        <v>748</v>
      </c>
      <c r="BO10" s="7" t="n">
        <v>281</v>
      </c>
      <c r="BP10" s="7" t="n">
        <v>420</v>
      </c>
      <c r="BQ10" s="7" t="n">
        <v>115</v>
      </c>
      <c r="BR10" s="9" t="n">
        <v>0.8</v>
      </c>
      <c r="BS10" s="9" t="n">
        <v>0.6</v>
      </c>
      <c r="BT10" s="7" t="n">
        <v>0.98</v>
      </c>
      <c r="BU10" s="10" t="s">
        <v>52</v>
      </c>
      <c r="BV10" s="12"/>
      <c r="BW10" s="12"/>
      <c r="BX10" s="6" t="n">
        <v>8</v>
      </c>
      <c r="BY10" s="11" t="s">
        <v>77</v>
      </c>
      <c r="BZ10" s="11" t="n">
        <v>2015</v>
      </c>
      <c r="CA10" s="11" t="n">
        <v>352</v>
      </c>
      <c r="CB10" s="7" t="n">
        <v>25</v>
      </c>
      <c r="CC10" s="7" t="n">
        <v>37</v>
      </c>
      <c r="CD10" s="7" t="n">
        <v>112</v>
      </c>
      <c r="CE10" s="7" t="n">
        <v>179</v>
      </c>
      <c r="CF10" s="7" t="n">
        <v>1.08</v>
      </c>
      <c r="CG10" s="7" t="n">
        <v>0.62</v>
      </c>
      <c r="CH10" s="7" t="n">
        <v>1.89</v>
      </c>
      <c r="CI10" s="10" t="n">
        <v>0.788</v>
      </c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</row>
    <row r="11" customFormat="false" ht="15" hidden="false" customHeight="false" outlineLevel="0" collapsed="false">
      <c r="A11" s="45" t="n">
        <v>9</v>
      </c>
      <c r="B11" s="46" t="s">
        <v>75</v>
      </c>
      <c r="C11" s="46" t="n">
        <v>2015</v>
      </c>
      <c r="D11" s="45" t="n">
        <v>1062</v>
      </c>
      <c r="E11" s="45" t="n">
        <v>140</v>
      </c>
      <c r="F11" s="45" t="n">
        <v>451</v>
      </c>
      <c r="G11" s="45" t="n">
        <v>116</v>
      </c>
      <c r="H11" s="45" t="n">
        <v>355</v>
      </c>
      <c r="I11" s="45" t="n">
        <v>0.95</v>
      </c>
      <c r="J11" s="45" t="n">
        <v>0.71</v>
      </c>
      <c r="K11" s="45" t="n">
        <v>1.26</v>
      </c>
      <c r="L11" s="45" t="n">
        <v>0.72</v>
      </c>
      <c r="M11" s="45" t="n">
        <v>1</v>
      </c>
      <c r="N11" s="45" t="n">
        <v>0</v>
      </c>
      <c r="O11" s="45" t="s">
        <v>19</v>
      </c>
      <c r="P11" s="45" t="n">
        <v>0.516</v>
      </c>
      <c r="Q11" s="45" t="n">
        <v>0.2</v>
      </c>
      <c r="R11" s="45" t="s">
        <v>19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6" t="n">
        <v>9</v>
      </c>
      <c r="AI11" s="11" t="s">
        <v>76</v>
      </c>
      <c r="AJ11" s="11" t="n">
        <v>2015</v>
      </c>
      <c r="AK11" s="7" t="n">
        <v>202</v>
      </c>
      <c r="AL11" s="7" t="s">
        <v>19</v>
      </c>
      <c r="AM11" s="7" t="s">
        <v>19</v>
      </c>
      <c r="AN11" s="7" t="s">
        <v>19</v>
      </c>
      <c r="AO11" s="7" t="s">
        <v>19</v>
      </c>
      <c r="AP11" s="7" t="s">
        <v>19</v>
      </c>
      <c r="AQ11" s="7" t="s">
        <v>19</v>
      </c>
      <c r="AR11" s="7" t="s">
        <v>19</v>
      </c>
      <c r="AS11" s="10" t="s">
        <v>19</v>
      </c>
      <c r="AT11" s="12"/>
      <c r="AU11" s="12"/>
      <c r="AV11" s="6" t="n">
        <v>9</v>
      </c>
      <c r="AW11" s="11" t="s">
        <v>78</v>
      </c>
      <c r="AX11" s="11" t="n">
        <v>2015</v>
      </c>
      <c r="AY11" s="7" t="n">
        <v>1565</v>
      </c>
      <c r="AZ11" s="7" t="n">
        <v>549</v>
      </c>
      <c r="BA11" s="7" t="n">
        <v>227</v>
      </c>
      <c r="BB11" s="7" t="n">
        <v>621</v>
      </c>
      <c r="BC11" s="7" t="n">
        <v>169</v>
      </c>
      <c r="BD11" s="7" t="n">
        <v>0.6</v>
      </c>
      <c r="BE11" s="7" t="n">
        <v>0.5</v>
      </c>
      <c r="BF11" s="7" t="n">
        <v>0.8</v>
      </c>
      <c r="BG11" s="10" t="s">
        <v>23</v>
      </c>
      <c r="BH11" s="12"/>
      <c r="BI11" s="12"/>
      <c r="BJ11" s="6" t="n">
        <v>9</v>
      </c>
      <c r="BK11" s="11" t="s">
        <v>79</v>
      </c>
      <c r="BL11" s="11" t="n">
        <v>2015</v>
      </c>
      <c r="BM11" s="7" t="n">
        <v>92</v>
      </c>
      <c r="BN11" s="7" t="n">
        <v>18</v>
      </c>
      <c r="BO11" s="7" t="n">
        <v>29</v>
      </c>
      <c r="BP11" s="7" t="n">
        <v>18</v>
      </c>
      <c r="BQ11" s="7" t="n">
        <v>27</v>
      </c>
      <c r="BR11" s="9" t="n">
        <v>0.93</v>
      </c>
      <c r="BS11" s="9" t="n">
        <v>0.4</v>
      </c>
      <c r="BT11" s="7" t="n">
        <v>2.15</v>
      </c>
      <c r="BU11" s="10" t="n">
        <v>0.867</v>
      </c>
      <c r="BV11" s="12"/>
      <c r="BW11" s="12"/>
      <c r="BX11" s="6" t="n">
        <v>9</v>
      </c>
      <c r="BY11" s="11" t="s">
        <v>78</v>
      </c>
      <c r="BZ11" s="11" t="n">
        <v>2015</v>
      </c>
      <c r="CA11" s="11" t="n">
        <v>1565</v>
      </c>
      <c r="CB11" s="7" t="n">
        <v>397</v>
      </c>
      <c r="CC11" s="7" t="n">
        <v>110</v>
      </c>
      <c r="CD11" s="7" t="n">
        <v>774</v>
      </c>
      <c r="CE11" s="7" t="n">
        <v>284</v>
      </c>
      <c r="CF11" s="7" t="n">
        <v>0.6</v>
      </c>
      <c r="CG11" s="7" t="n">
        <v>0.5</v>
      </c>
      <c r="CH11" s="7" t="n">
        <v>0.8</v>
      </c>
      <c r="CI11" s="10" t="n">
        <v>0.028</v>
      </c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3" t="s">
        <v>57</v>
      </c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  <row r="12" customFormat="false" ht="15" hidden="false" customHeight="false" outlineLevel="0" collapsed="false">
      <c r="A12" s="45" t="n">
        <v>10</v>
      </c>
      <c r="B12" s="46" t="s">
        <v>76</v>
      </c>
      <c r="C12" s="46" t="n">
        <v>2015</v>
      </c>
      <c r="D12" s="45" t="n">
        <v>202</v>
      </c>
      <c r="E12" s="45" t="n">
        <v>25</v>
      </c>
      <c r="F12" s="45" t="n">
        <v>81</v>
      </c>
      <c r="G12" s="45" t="n">
        <v>13</v>
      </c>
      <c r="H12" s="45" t="n">
        <v>83</v>
      </c>
      <c r="I12" s="45" t="n">
        <v>1.97</v>
      </c>
      <c r="J12" s="45" t="n">
        <v>0.94</v>
      </c>
      <c r="K12" s="45" t="n">
        <v>4.12</v>
      </c>
      <c r="L12" s="45" t="n">
        <v>0.071</v>
      </c>
      <c r="M12" s="45" t="n">
        <v>2.57</v>
      </c>
      <c r="N12" s="45" t="n">
        <v>50.4</v>
      </c>
      <c r="O12" s="45" t="s">
        <v>19</v>
      </c>
      <c r="P12" s="45" t="s">
        <v>19</v>
      </c>
      <c r="Q12" s="45" t="s">
        <v>19</v>
      </c>
      <c r="R12" s="45" t="s">
        <v>19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6" t="n">
        <v>10</v>
      </c>
      <c r="AI12" s="11" t="s">
        <v>77</v>
      </c>
      <c r="AJ12" s="11" t="n">
        <v>2015</v>
      </c>
      <c r="AK12" s="7" t="n">
        <v>352</v>
      </c>
      <c r="AL12" s="7" t="n">
        <v>73</v>
      </c>
      <c r="AM12" s="7" t="n">
        <v>122</v>
      </c>
      <c r="AN12" s="7" t="n">
        <v>61</v>
      </c>
      <c r="AO12" s="7" t="n">
        <v>96</v>
      </c>
      <c r="AP12" s="7" t="n">
        <v>0.94</v>
      </c>
      <c r="AQ12" s="7" t="n">
        <v>0.61</v>
      </c>
      <c r="AR12" s="7" t="n">
        <v>1.45</v>
      </c>
      <c r="AS12" s="10" t="n">
        <v>0.7854</v>
      </c>
      <c r="AT12" s="12"/>
      <c r="AU12" s="12"/>
      <c r="AV12" s="6" t="n">
        <v>10</v>
      </c>
      <c r="AW12" s="11" t="s">
        <v>79</v>
      </c>
      <c r="AX12" s="11" t="n">
        <v>2015</v>
      </c>
      <c r="AY12" s="7" t="n">
        <v>92</v>
      </c>
      <c r="AZ12" s="7" t="n">
        <v>21</v>
      </c>
      <c r="BA12" s="7" t="n">
        <v>29</v>
      </c>
      <c r="BB12" s="7" t="n">
        <v>15</v>
      </c>
      <c r="BC12" s="7" t="n">
        <v>26</v>
      </c>
      <c r="BD12" s="7" t="n">
        <v>1.26</v>
      </c>
      <c r="BE12" s="7" t="n">
        <v>0.54</v>
      </c>
      <c r="BF12" s="7" t="n">
        <v>2.93</v>
      </c>
      <c r="BG12" s="10" t="n">
        <v>0.599</v>
      </c>
      <c r="BH12" s="12"/>
      <c r="BI12" s="12"/>
      <c r="BJ12" s="6" t="n">
        <v>10</v>
      </c>
      <c r="BK12" s="11" t="s">
        <v>80</v>
      </c>
      <c r="BL12" s="11" t="n">
        <v>2015</v>
      </c>
      <c r="BM12" s="7" t="n">
        <v>241</v>
      </c>
      <c r="BN12" s="7" t="n">
        <v>88</v>
      </c>
      <c r="BO12" s="7" t="n">
        <v>58</v>
      </c>
      <c r="BP12" s="7" t="n">
        <v>57</v>
      </c>
      <c r="BQ12" s="7" t="n">
        <v>38</v>
      </c>
      <c r="BR12" s="9" t="n">
        <v>1.01</v>
      </c>
      <c r="BS12" s="9" t="n">
        <v>0.59</v>
      </c>
      <c r="BT12" s="7" t="n">
        <v>1.71</v>
      </c>
      <c r="BU12" s="10" t="n">
        <v>0.966</v>
      </c>
      <c r="BV12" s="12"/>
      <c r="BW12" s="12"/>
      <c r="BX12" s="6" t="n">
        <v>10</v>
      </c>
      <c r="BY12" s="11" t="s">
        <v>79</v>
      </c>
      <c r="BZ12" s="11" t="n">
        <v>2015</v>
      </c>
      <c r="CA12" s="11" t="n">
        <v>92</v>
      </c>
      <c r="CB12" s="7" t="n">
        <v>7</v>
      </c>
      <c r="CC12" s="7" t="n">
        <v>6</v>
      </c>
      <c r="CD12" s="7" t="n">
        <v>28</v>
      </c>
      <c r="CE12" s="7" t="n">
        <v>51</v>
      </c>
      <c r="CF12" s="7" t="n">
        <v>2.13</v>
      </c>
      <c r="CG12" s="7" t="n">
        <v>0.65</v>
      </c>
      <c r="CH12" s="7" t="n">
        <v>6.94</v>
      </c>
      <c r="CI12" s="10" t="n">
        <v>0.212</v>
      </c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4" t="s">
        <v>37</v>
      </c>
      <c r="DA12" s="15" t="s">
        <v>38</v>
      </c>
      <c r="DB12" s="15" t="s">
        <v>39</v>
      </c>
      <c r="DC12" s="15" t="s">
        <v>3</v>
      </c>
      <c r="DD12" s="15" t="s">
        <v>40</v>
      </c>
      <c r="DE12" s="15" t="s">
        <v>41</v>
      </c>
      <c r="DF12" s="15" t="s">
        <v>42</v>
      </c>
      <c r="DG12" s="15" t="s">
        <v>43</v>
      </c>
      <c r="DH12" s="15" t="s">
        <v>8</v>
      </c>
      <c r="DI12" s="15" t="s">
        <v>9</v>
      </c>
      <c r="DJ12" s="15" t="s">
        <v>10</v>
      </c>
      <c r="DK12" s="16" t="s">
        <v>11</v>
      </c>
    </row>
    <row r="13" customFormat="false" ht="15" hidden="false" customHeight="false" outlineLevel="0" collapsed="false">
      <c r="A13" s="45" t="n">
        <v>11</v>
      </c>
      <c r="B13" s="46" t="s">
        <v>77</v>
      </c>
      <c r="C13" s="46" t="n">
        <v>2015</v>
      </c>
      <c r="D13" s="45" t="n">
        <v>352</v>
      </c>
      <c r="E13" s="45" t="n">
        <v>76</v>
      </c>
      <c r="F13" s="45" t="n">
        <v>119</v>
      </c>
      <c r="G13" s="45" t="n">
        <v>58</v>
      </c>
      <c r="H13" s="45" t="n">
        <v>99</v>
      </c>
      <c r="I13" s="45" t="n">
        <v>1.09</v>
      </c>
      <c r="J13" s="45" t="n">
        <v>0.71</v>
      </c>
      <c r="K13" s="45" t="n">
        <v>1.69</v>
      </c>
      <c r="L13" s="45" t="n">
        <v>0.696</v>
      </c>
      <c r="M13" s="45" t="n">
        <v>2.96</v>
      </c>
      <c r="N13" s="45" t="n">
        <v>43.4</v>
      </c>
      <c r="O13" s="45" t="n">
        <v>0.554</v>
      </c>
      <c r="P13" s="45" t="n">
        <v>0.477</v>
      </c>
      <c r="Q13" s="45" t="n">
        <v>0.174</v>
      </c>
      <c r="R13" s="45" t="s">
        <v>19</v>
      </c>
      <c r="S13" s="12"/>
      <c r="T13" s="2" t="s">
        <v>48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2"/>
      <c r="AG13" s="12"/>
      <c r="AH13" s="6" t="n">
        <v>11</v>
      </c>
      <c r="AI13" s="11" t="s">
        <v>78</v>
      </c>
      <c r="AJ13" s="11" t="n">
        <v>2015</v>
      </c>
      <c r="AK13" s="7" t="n">
        <v>1565</v>
      </c>
      <c r="AL13" s="7" t="n">
        <v>205</v>
      </c>
      <c r="AM13" s="7" t="n">
        <v>73</v>
      </c>
      <c r="AN13" s="7" t="n">
        <v>964</v>
      </c>
      <c r="AO13" s="7" t="n">
        <v>323</v>
      </c>
      <c r="AP13" s="7" t="n">
        <v>0.94</v>
      </c>
      <c r="AQ13" s="7" t="n">
        <v>0.7</v>
      </c>
      <c r="AR13" s="7" t="n">
        <v>1.26</v>
      </c>
      <c r="AS13" s="10" t="n">
        <v>0.686</v>
      </c>
      <c r="AT13" s="12"/>
      <c r="AU13" s="12"/>
      <c r="AV13" s="6" t="n">
        <v>11</v>
      </c>
      <c r="AW13" s="11" t="s">
        <v>80</v>
      </c>
      <c r="AX13" s="11" t="n">
        <v>2015</v>
      </c>
      <c r="AY13" s="7" t="n">
        <v>241</v>
      </c>
      <c r="AZ13" s="7" t="n">
        <v>84</v>
      </c>
      <c r="BA13" s="7" t="n">
        <v>40</v>
      </c>
      <c r="BB13" s="7" t="n">
        <v>61</v>
      </c>
      <c r="BC13" s="7" t="n">
        <v>56</v>
      </c>
      <c r="BD13" s="7" t="n">
        <v>2</v>
      </c>
      <c r="BE13" s="7" t="n">
        <v>1.2</v>
      </c>
      <c r="BF13" s="7" t="n">
        <v>3.4</v>
      </c>
      <c r="BG13" s="10" t="n">
        <v>0.0139</v>
      </c>
      <c r="BH13" s="12"/>
      <c r="BI13" s="12"/>
      <c r="BJ13" s="6" t="n">
        <v>11</v>
      </c>
      <c r="BK13" s="11" t="s">
        <v>81</v>
      </c>
      <c r="BL13" s="11" t="n">
        <v>2015</v>
      </c>
      <c r="BM13" s="7" t="n">
        <v>20065</v>
      </c>
      <c r="BN13" s="7" t="n">
        <v>1335</v>
      </c>
      <c r="BO13" s="7" t="n">
        <v>5166</v>
      </c>
      <c r="BP13" s="7" t="n">
        <v>2143</v>
      </c>
      <c r="BQ13" s="7" t="n">
        <v>11438</v>
      </c>
      <c r="BR13" s="9" t="n">
        <v>1.3</v>
      </c>
      <c r="BS13" s="9" t="n">
        <v>1.2</v>
      </c>
      <c r="BT13" s="7" t="n">
        <v>1.4</v>
      </c>
      <c r="BU13" s="10" t="s">
        <v>23</v>
      </c>
      <c r="BV13" s="12"/>
      <c r="BW13" s="12"/>
      <c r="BX13" s="6" t="n">
        <v>11</v>
      </c>
      <c r="BY13" s="11" t="s">
        <v>80</v>
      </c>
      <c r="BZ13" s="11" t="n">
        <v>2015</v>
      </c>
      <c r="CA13" s="11" t="n">
        <v>241</v>
      </c>
      <c r="CB13" s="7" t="n">
        <v>52</v>
      </c>
      <c r="CC13" s="7" t="n">
        <v>26</v>
      </c>
      <c r="CD13" s="7" t="n">
        <v>99</v>
      </c>
      <c r="CE13" s="7" t="n">
        <v>73</v>
      </c>
      <c r="CF13" s="7" t="n">
        <v>1.47</v>
      </c>
      <c r="CG13" s="7" t="n">
        <v>0.84</v>
      </c>
      <c r="CH13" s="7" t="n">
        <v>2.58</v>
      </c>
      <c r="CI13" s="10" t="n">
        <v>0.176</v>
      </c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6" t="n">
        <v>1</v>
      </c>
      <c r="DA13" s="7" t="s">
        <v>54</v>
      </c>
      <c r="DB13" s="7" t="n">
        <v>2013</v>
      </c>
      <c r="DC13" s="7" t="n">
        <v>125242</v>
      </c>
      <c r="DD13" s="7" t="s">
        <v>19</v>
      </c>
      <c r="DE13" s="7" t="s">
        <v>19</v>
      </c>
      <c r="DF13" s="7" t="s">
        <v>19</v>
      </c>
      <c r="DG13" s="7" t="s">
        <v>19</v>
      </c>
      <c r="DH13" s="8" t="n">
        <v>1.1</v>
      </c>
      <c r="DI13" s="9" t="n">
        <v>1.07</v>
      </c>
      <c r="DJ13" s="9" t="n">
        <v>1.13</v>
      </c>
      <c r="DK13" s="10" t="s">
        <v>19</v>
      </c>
    </row>
    <row r="14" customFormat="false" ht="15" hidden="false" customHeight="false" outlineLevel="0" collapsed="false">
      <c r="A14" s="45" t="n">
        <v>12</v>
      </c>
      <c r="B14" s="46" t="s">
        <v>78</v>
      </c>
      <c r="C14" s="46" t="n">
        <v>2015</v>
      </c>
      <c r="D14" s="45" t="n">
        <v>1565</v>
      </c>
      <c r="E14" s="45" t="n">
        <v>507</v>
      </c>
      <c r="F14" s="45" t="n">
        <v>177</v>
      </c>
      <c r="G14" s="45" t="n">
        <v>662</v>
      </c>
      <c r="H14" s="45" t="n">
        <v>219</v>
      </c>
      <c r="I14" s="45" t="n">
        <v>0.95</v>
      </c>
      <c r="J14" s="45" t="n">
        <v>0.75</v>
      </c>
      <c r="K14" s="45" t="n">
        <v>1.19</v>
      </c>
      <c r="L14" s="45" t="n">
        <v>0.647</v>
      </c>
      <c r="M14" s="45" t="n">
        <v>12.77</v>
      </c>
      <c r="N14" s="45" t="n">
        <v>25</v>
      </c>
      <c r="O14" s="45" t="n">
        <v>0.178</v>
      </c>
      <c r="P14" s="45" t="n">
        <v>0.496</v>
      </c>
      <c r="Q14" s="45" t="n">
        <v>0.324</v>
      </c>
      <c r="R14" s="45" t="s">
        <v>19</v>
      </c>
      <c r="S14" s="12"/>
      <c r="T14" s="3" t="s">
        <v>37</v>
      </c>
      <c r="U14" s="4" t="s">
        <v>38</v>
      </c>
      <c r="V14" s="4" t="s">
        <v>39</v>
      </c>
      <c r="W14" s="4" t="s">
        <v>3</v>
      </c>
      <c r="X14" s="4" t="s">
        <v>40</v>
      </c>
      <c r="Y14" s="4" t="s">
        <v>41</v>
      </c>
      <c r="Z14" s="4" t="s">
        <v>42</v>
      </c>
      <c r="AA14" s="4" t="s">
        <v>43</v>
      </c>
      <c r="AB14" s="4" t="s">
        <v>8</v>
      </c>
      <c r="AC14" s="4" t="s">
        <v>9</v>
      </c>
      <c r="AD14" s="4" t="s">
        <v>10</v>
      </c>
      <c r="AE14" s="5" t="s">
        <v>11</v>
      </c>
      <c r="AF14" s="12"/>
      <c r="AG14" s="12"/>
      <c r="AH14" s="6" t="n">
        <v>12</v>
      </c>
      <c r="AI14" s="11" t="s">
        <v>79</v>
      </c>
      <c r="AJ14" s="11" t="n">
        <v>2015</v>
      </c>
      <c r="AK14" s="7" t="n">
        <v>92</v>
      </c>
      <c r="AL14" s="7" t="s">
        <v>19</v>
      </c>
      <c r="AM14" s="7" t="s">
        <v>19</v>
      </c>
      <c r="AN14" s="7" t="s">
        <v>19</v>
      </c>
      <c r="AO14" s="7" t="s">
        <v>19</v>
      </c>
      <c r="AP14" s="7" t="s">
        <v>19</v>
      </c>
      <c r="AQ14" s="7" t="s">
        <v>19</v>
      </c>
      <c r="AR14" s="7" t="s">
        <v>19</v>
      </c>
      <c r="AS14" s="10" t="s">
        <v>19</v>
      </c>
      <c r="AT14" s="12"/>
      <c r="AU14" s="12"/>
      <c r="AV14" s="6" t="n">
        <v>12</v>
      </c>
      <c r="AW14" s="11" t="s">
        <v>81</v>
      </c>
      <c r="AX14" s="11" t="n">
        <v>2015</v>
      </c>
      <c r="AY14" s="7" t="n">
        <v>20065</v>
      </c>
      <c r="AZ14" s="7" t="n">
        <v>1884</v>
      </c>
      <c r="BA14" s="7" t="n">
        <v>7827</v>
      </c>
      <c r="BB14" s="7" t="n">
        <v>1597</v>
      </c>
      <c r="BC14" s="7" t="n">
        <v>8756</v>
      </c>
      <c r="BD14" s="7" t="n">
        <v>1.1</v>
      </c>
      <c r="BE14" s="7" t="n">
        <v>1.02</v>
      </c>
      <c r="BF14" s="7" t="n">
        <v>1.2</v>
      </c>
      <c r="BG14" s="10" t="s">
        <v>23</v>
      </c>
      <c r="BH14" s="12"/>
      <c r="BI14" s="12"/>
      <c r="BJ14" s="49" t="n">
        <v>12</v>
      </c>
      <c r="BK14" s="50" t="s">
        <v>86</v>
      </c>
      <c r="BL14" s="50" t="n">
        <v>2015</v>
      </c>
      <c r="BM14" s="51" t="n">
        <v>34459</v>
      </c>
      <c r="BN14" s="51" t="n">
        <v>3825</v>
      </c>
      <c r="BO14" s="51" t="n">
        <v>8003</v>
      </c>
      <c r="BP14" s="51" t="n">
        <v>5334</v>
      </c>
      <c r="BQ14" s="51" t="n">
        <v>17297</v>
      </c>
      <c r="BR14" s="51" t="n">
        <v>1.55</v>
      </c>
      <c r="BS14" s="51" t="n">
        <v>1.48</v>
      </c>
      <c r="BT14" s="51" t="n">
        <v>1.63</v>
      </c>
      <c r="BU14" s="52" t="s">
        <v>50</v>
      </c>
      <c r="BV14" s="12"/>
      <c r="BW14" s="12"/>
      <c r="BX14" s="6" t="n">
        <v>12</v>
      </c>
      <c r="BY14" s="11" t="s">
        <v>81</v>
      </c>
      <c r="BZ14" s="11" t="n">
        <v>2015</v>
      </c>
      <c r="CA14" s="11" t="n">
        <v>20065</v>
      </c>
      <c r="CB14" s="7" t="n">
        <v>2897</v>
      </c>
      <c r="CC14" s="7" t="n">
        <v>13898</v>
      </c>
      <c r="CD14" s="7" t="n">
        <v>593</v>
      </c>
      <c r="CE14" s="7" t="n">
        <v>2678</v>
      </c>
      <c r="CF14" s="7" t="n">
        <v>0.94</v>
      </c>
      <c r="CG14" s="7" t="n">
        <v>0.85</v>
      </c>
      <c r="CH14" s="7" t="n">
        <v>1.04</v>
      </c>
      <c r="CI14" s="10" t="n">
        <v>0.225</v>
      </c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6" t="n">
        <v>2</v>
      </c>
      <c r="DA14" s="7" t="s">
        <v>55</v>
      </c>
      <c r="DB14" s="11" t="n">
        <v>2015</v>
      </c>
      <c r="DC14" s="7" t="n">
        <v>1073</v>
      </c>
      <c r="DD14" s="7" t="s">
        <v>19</v>
      </c>
      <c r="DE14" s="7" t="s">
        <v>19</v>
      </c>
      <c r="DF14" s="7" t="s">
        <v>19</v>
      </c>
      <c r="DG14" s="7" t="s">
        <v>19</v>
      </c>
      <c r="DH14" s="11" t="n">
        <v>1.32</v>
      </c>
      <c r="DI14" s="11" t="n">
        <v>0.69</v>
      </c>
      <c r="DJ14" s="7" t="n">
        <v>2.52</v>
      </c>
      <c r="DK14" s="10" t="s">
        <v>19</v>
      </c>
    </row>
    <row r="15" customFormat="false" ht="15" hidden="false" customHeight="false" outlineLevel="0" collapsed="false">
      <c r="A15" s="45" t="n">
        <v>13</v>
      </c>
      <c r="B15" s="46" t="s">
        <v>79</v>
      </c>
      <c r="C15" s="46" t="n">
        <v>2015</v>
      </c>
      <c r="D15" s="45" t="n">
        <v>92</v>
      </c>
      <c r="E15" s="45" t="n">
        <v>21</v>
      </c>
      <c r="F15" s="45" t="n">
        <v>33</v>
      </c>
      <c r="G15" s="45" t="n">
        <v>15</v>
      </c>
      <c r="H15" s="45" t="n">
        <v>23</v>
      </c>
      <c r="I15" s="45" t="n">
        <v>0.97</v>
      </c>
      <c r="J15" s="45" t="n">
        <v>0.42</v>
      </c>
      <c r="K15" s="45" t="n">
        <v>2.28</v>
      </c>
      <c r="L15" s="45" t="n">
        <v>0.955</v>
      </c>
      <c r="M15" s="45" t="n">
        <v>6.66</v>
      </c>
      <c r="N15" s="45" t="n">
        <v>34.9</v>
      </c>
      <c r="O15" s="45" t="s">
        <v>19</v>
      </c>
      <c r="P15" s="45" t="n">
        <v>0.543</v>
      </c>
      <c r="Q15" s="45" t="n">
        <v>0.146</v>
      </c>
      <c r="R15" s="45" t="s">
        <v>19</v>
      </c>
      <c r="S15" s="12"/>
      <c r="T15" s="6" t="n">
        <v>1</v>
      </c>
      <c r="U15" s="7" t="s">
        <v>44</v>
      </c>
      <c r="V15" s="7" t="n">
        <v>2023</v>
      </c>
      <c r="W15" s="7" t="n">
        <v>53279</v>
      </c>
      <c r="X15" s="7" t="n">
        <v>240</v>
      </c>
      <c r="Y15" s="7" t="n">
        <v>576</v>
      </c>
      <c r="Z15" s="7" t="n">
        <v>6757</v>
      </c>
      <c r="AA15" s="7" t="n">
        <v>40936</v>
      </c>
      <c r="AB15" s="9" t="n">
        <v>2.49</v>
      </c>
      <c r="AC15" s="9" t="n">
        <v>2.1</v>
      </c>
      <c r="AD15" s="7" t="n">
        <v>2.96</v>
      </c>
      <c r="AE15" s="10" t="s">
        <v>45</v>
      </c>
      <c r="AF15" s="12"/>
      <c r="AG15" s="12"/>
      <c r="AH15" s="6" t="n">
        <v>13</v>
      </c>
      <c r="AI15" s="11" t="s">
        <v>80</v>
      </c>
      <c r="AJ15" s="11" t="n">
        <v>2015</v>
      </c>
      <c r="AK15" s="7" t="n">
        <v>241</v>
      </c>
      <c r="AL15" s="7" t="n">
        <v>58</v>
      </c>
      <c r="AM15" s="7" t="n">
        <v>28</v>
      </c>
      <c r="AN15" s="7" t="n">
        <v>87</v>
      </c>
      <c r="AO15" s="7" t="n">
        <v>68</v>
      </c>
      <c r="AP15" s="7" t="n">
        <v>1.62</v>
      </c>
      <c r="AQ15" s="7" t="n">
        <v>0.93</v>
      </c>
      <c r="AR15" s="7" t="n">
        <v>2.81</v>
      </c>
      <c r="AS15" s="10" t="n">
        <v>0.0868</v>
      </c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6" t="n">
        <v>13</v>
      </c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4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</row>
    <row r="16" customFormat="false" ht="15" hidden="false" customHeight="false" outlineLevel="0" collapsed="false">
      <c r="A16" s="45" t="n">
        <v>14</v>
      </c>
      <c r="B16" s="46" t="s">
        <v>80</v>
      </c>
      <c r="C16" s="46" t="n">
        <v>2015</v>
      </c>
      <c r="D16" s="45" t="n">
        <v>241</v>
      </c>
      <c r="E16" s="45" t="n">
        <v>90</v>
      </c>
      <c r="F16" s="45" t="n">
        <v>51</v>
      </c>
      <c r="G16" s="45" t="n">
        <v>55</v>
      </c>
      <c r="H16" s="45" t="n">
        <v>45</v>
      </c>
      <c r="I16" s="45" t="n">
        <v>1.44</v>
      </c>
      <c r="J16" s="45" t="n">
        <v>0.86</v>
      </c>
      <c r="K16" s="45" t="n">
        <v>2.43</v>
      </c>
      <c r="L16" s="45" t="n">
        <v>0.168</v>
      </c>
      <c r="M16" s="45" t="n">
        <v>6.79</v>
      </c>
      <c r="N16" s="45" t="n">
        <v>42.6</v>
      </c>
      <c r="O16" s="45" t="n">
        <v>0.357</v>
      </c>
      <c r="P16" s="45" t="n">
        <v>0.515</v>
      </c>
      <c r="Q16" s="45" t="n">
        <v>0.323</v>
      </c>
      <c r="R16" s="45" t="s">
        <v>19</v>
      </c>
      <c r="S16" s="12"/>
      <c r="T16" s="6" t="n">
        <v>2</v>
      </c>
      <c r="U16" s="7" t="s">
        <v>46</v>
      </c>
      <c r="V16" s="7" t="n">
        <v>2021</v>
      </c>
      <c r="W16" s="7" t="n">
        <v>346141</v>
      </c>
      <c r="X16" s="7" t="n">
        <v>1543</v>
      </c>
      <c r="Y16" s="7" t="n">
        <v>5453</v>
      </c>
      <c r="Z16" s="7" t="n">
        <v>40083</v>
      </c>
      <c r="AA16" s="7" t="n">
        <v>284111</v>
      </c>
      <c r="AB16" s="9" t="n">
        <v>2.093</v>
      </c>
      <c r="AC16" s="9" t="n">
        <v>1.911</v>
      </c>
      <c r="AD16" s="7" t="n">
        <v>2.292</v>
      </c>
      <c r="AE16" s="10" t="s">
        <v>23</v>
      </c>
      <c r="AF16" s="12"/>
      <c r="AG16" s="12"/>
      <c r="AH16" s="6" t="n">
        <v>14</v>
      </c>
      <c r="AI16" s="11" t="s">
        <v>81</v>
      </c>
      <c r="AJ16" s="11" t="n">
        <v>2015</v>
      </c>
      <c r="AK16" s="7" t="n">
        <v>20065</v>
      </c>
      <c r="AL16" s="7" t="s">
        <v>19</v>
      </c>
      <c r="AM16" s="7" t="s">
        <v>19</v>
      </c>
      <c r="AN16" s="7" t="s">
        <v>19</v>
      </c>
      <c r="AO16" s="7" t="s">
        <v>19</v>
      </c>
      <c r="AP16" s="7" t="s">
        <v>19</v>
      </c>
      <c r="AQ16" s="7" t="s">
        <v>19</v>
      </c>
      <c r="AR16" s="7" t="s">
        <v>19</v>
      </c>
      <c r="AS16" s="10" t="s">
        <v>19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6" t="n">
        <v>14</v>
      </c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3" t="s">
        <v>58</v>
      </c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</row>
    <row r="17" customFormat="false" ht="15" hidden="false" customHeight="false" outlineLevel="0" collapsed="false">
      <c r="A17" s="45" t="n">
        <v>15</v>
      </c>
      <c r="B17" s="46" t="s">
        <v>81</v>
      </c>
      <c r="C17" s="46" t="n">
        <v>2015</v>
      </c>
      <c r="D17" s="45" t="n">
        <v>20065</v>
      </c>
      <c r="E17" s="45" t="n">
        <v>2288</v>
      </c>
      <c r="F17" s="45" t="n">
        <v>9269</v>
      </c>
      <c r="G17" s="45" t="n">
        <v>1200</v>
      </c>
      <c r="H17" s="45" t="n">
        <v>7308</v>
      </c>
      <c r="I17" s="45" t="n">
        <v>1.4</v>
      </c>
      <c r="J17" s="45" t="n">
        <v>1.3</v>
      </c>
      <c r="K17" s="45" t="n">
        <v>1.5</v>
      </c>
      <c r="L17" s="45" t="s">
        <v>23</v>
      </c>
      <c r="M17" s="45" t="n">
        <v>2.77</v>
      </c>
      <c r="N17" s="45" t="n">
        <v>28.9</v>
      </c>
      <c r="O17" s="45" t="s">
        <v>19</v>
      </c>
      <c r="P17" s="45" t="n">
        <v>0.484</v>
      </c>
      <c r="Q17" s="45" t="n">
        <v>0.837</v>
      </c>
      <c r="R17" s="45" t="s">
        <v>19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6" t="n">
        <v>15</v>
      </c>
      <c r="AI17" s="11" t="s">
        <v>70</v>
      </c>
      <c r="AJ17" s="11" t="n">
        <v>2022</v>
      </c>
      <c r="AK17" s="7" t="n">
        <v>291276</v>
      </c>
      <c r="AL17" s="7" t="s">
        <v>19</v>
      </c>
      <c r="AM17" s="7" t="s">
        <v>19</v>
      </c>
      <c r="AN17" s="7" t="s">
        <v>19</v>
      </c>
      <c r="AO17" s="7" t="s">
        <v>19</v>
      </c>
      <c r="AP17" s="7" t="n">
        <v>0.7</v>
      </c>
      <c r="AQ17" s="7" t="n">
        <v>0.58</v>
      </c>
      <c r="AR17" s="7" t="n">
        <v>0.85</v>
      </c>
      <c r="AS17" s="10" t="s">
        <v>19</v>
      </c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6" t="n">
        <v>15</v>
      </c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4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4" t="s">
        <v>37</v>
      </c>
      <c r="DA17" s="15" t="s">
        <v>38</v>
      </c>
      <c r="DB17" s="15" t="s">
        <v>39</v>
      </c>
      <c r="DC17" s="15" t="s">
        <v>3</v>
      </c>
      <c r="DD17" s="15" t="s">
        <v>40</v>
      </c>
      <c r="DE17" s="15" t="s">
        <v>41</v>
      </c>
      <c r="DF17" s="15" t="s">
        <v>42</v>
      </c>
      <c r="DG17" s="15" t="s">
        <v>43</v>
      </c>
      <c r="DH17" s="15" t="s">
        <v>8</v>
      </c>
      <c r="DI17" s="15" t="s">
        <v>9</v>
      </c>
      <c r="DJ17" s="15" t="s">
        <v>10</v>
      </c>
      <c r="DK17" s="16" t="s">
        <v>11</v>
      </c>
    </row>
    <row r="18" customFormat="false" ht="15" hidden="false" customHeight="false" outlineLevel="0" collapsed="false">
      <c r="A18" s="45" t="n">
        <v>16</v>
      </c>
      <c r="B18" s="46" t="s">
        <v>70</v>
      </c>
      <c r="C18" s="46" t="n">
        <v>2022</v>
      </c>
      <c r="D18" s="45" t="n">
        <v>291276</v>
      </c>
      <c r="E18" s="45" t="s">
        <v>19</v>
      </c>
      <c r="F18" s="45" t="s">
        <v>19</v>
      </c>
      <c r="G18" s="45" t="s">
        <v>19</v>
      </c>
      <c r="H18" s="45" t="s">
        <v>19</v>
      </c>
      <c r="I18" s="48" t="n">
        <v>1.04</v>
      </c>
      <c r="J18" s="48" t="n">
        <v>0.92</v>
      </c>
      <c r="K18" s="45" t="n">
        <v>1.17</v>
      </c>
      <c r="L18" s="45" t="s">
        <v>19</v>
      </c>
      <c r="M18" s="45" t="n">
        <v>2.58</v>
      </c>
      <c r="N18" s="45" t="n">
        <v>46.7</v>
      </c>
      <c r="O18" s="45" t="s">
        <v>19</v>
      </c>
      <c r="P18" s="45" t="s">
        <v>19</v>
      </c>
      <c r="Q18" s="45" t="s">
        <v>19</v>
      </c>
      <c r="R18" s="45" t="n">
        <v>77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6" t="n">
        <v>16</v>
      </c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4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6" t="n">
        <v>1</v>
      </c>
      <c r="DA18" s="7" t="s">
        <v>54</v>
      </c>
      <c r="DB18" s="7" t="n">
        <v>2013</v>
      </c>
      <c r="DC18" s="7" t="n">
        <v>125242</v>
      </c>
      <c r="DD18" s="7" t="s">
        <v>19</v>
      </c>
      <c r="DE18" s="7" t="s">
        <v>19</v>
      </c>
      <c r="DF18" s="7" t="s">
        <v>19</v>
      </c>
      <c r="DG18" s="7" t="s">
        <v>19</v>
      </c>
      <c r="DH18" s="8" t="n">
        <v>1.05</v>
      </c>
      <c r="DI18" s="9" t="n">
        <v>1.02</v>
      </c>
      <c r="DJ18" s="9" t="n">
        <v>1.08</v>
      </c>
      <c r="DK18" s="10" t="s">
        <v>19</v>
      </c>
    </row>
    <row r="19" customFormat="false" ht="15" hidden="false" customHeight="false" outlineLevel="0" collapsed="false">
      <c r="A19" s="55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12"/>
      <c r="T19" s="2" t="s">
        <v>49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6" t="n">
        <v>2</v>
      </c>
      <c r="DA19" s="7" t="s">
        <v>55</v>
      </c>
      <c r="DB19" s="11" t="n">
        <v>2015</v>
      </c>
      <c r="DC19" s="7" t="n">
        <v>1073</v>
      </c>
      <c r="DD19" s="7" t="s">
        <v>19</v>
      </c>
      <c r="DE19" s="7" t="s">
        <v>19</v>
      </c>
      <c r="DF19" s="7" t="s">
        <v>19</v>
      </c>
      <c r="DG19" s="7" t="s">
        <v>19</v>
      </c>
      <c r="DH19" s="9" t="n">
        <v>1.28</v>
      </c>
      <c r="DI19" s="9" t="n">
        <v>0.52</v>
      </c>
      <c r="DJ19" s="7" t="n">
        <v>3.12</v>
      </c>
      <c r="DK19" s="10" t="s">
        <v>19</v>
      </c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3" t="s">
        <v>37</v>
      </c>
      <c r="U20" s="4" t="s">
        <v>38</v>
      </c>
      <c r="V20" s="4" t="s">
        <v>39</v>
      </c>
      <c r="W20" s="4" t="s">
        <v>3</v>
      </c>
      <c r="X20" s="4" t="s">
        <v>40</v>
      </c>
      <c r="Y20" s="4" t="s">
        <v>41</v>
      </c>
      <c r="Z20" s="4" t="s">
        <v>42</v>
      </c>
      <c r="AA20" s="4" t="s">
        <v>43</v>
      </c>
      <c r="AB20" s="4" t="s">
        <v>8</v>
      </c>
      <c r="AC20" s="4" t="s">
        <v>9</v>
      </c>
      <c r="AD20" s="4" t="s">
        <v>10</v>
      </c>
      <c r="AE20" s="5" t="s">
        <v>11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6" t="n">
        <v>1</v>
      </c>
      <c r="U21" s="7" t="s">
        <v>44</v>
      </c>
      <c r="V21" s="7" t="n">
        <v>2023</v>
      </c>
      <c r="W21" s="7" t="n">
        <v>53279</v>
      </c>
      <c r="X21" s="7" t="n">
        <v>48</v>
      </c>
      <c r="Y21" s="7" t="n">
        <v>179</v>
      </c>
      <c r="Z21" s="7" t="n">
        <v>6757</v>
      </c>
      <c r="AA21" s="7" t="n">
        <v>40936</v>
      </c>
      <c r="AB21" s="9" t="n">
        <v>1.49</v>
      </c>
      <c r="AC21" s="9" t="n">
        <v>1.05</v>
      </c>
      <c r="AD21" s="7" t="n">
        <v>2.1</v>
      </c>
      <c r="AE21" s="10" t="s">
        <v>45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3" t="s">
        <v>59</v>
      </c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6" t="n">
        <v>2</v>
      </c>
      <c r="U22" s="7" t="s">
        <v>46</v>
      </c>
      <c r="V22" s="7" t="n">
        <v>2021</v>
      </c>
      <c r="W22" s="7" t="n">
        <v>346141</v>
      </c>
      <c r="X22" s="7" t="n">
        <v>213</v>
      </c>
      <c r="Y22" s="7" t="n">
        <v>860</v>
      </c>
      <c r="Z22" s="7" t="n">
        <v>40083</v>
      </c>
      <c r="AA22" s="7" t="n">
        <v>284111</v>
      </c>
      <c r="AB22" s="9" t="n">
        <v>1.674</v>
      </c>
      <c r="AC22" s="9" t="n">
        <v>1.29</v>
      </c>
      <c r="AD22" s="7" t="n">
        <v>2.173</v>
      </c>
      <c r="AE22" s="10" t="s">
        <v>23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4" t="s">
        <v>37</v>
      </c>
      <c r="DA22" s="15" t="s">
        <v>38</v>
      </c>
      <c r="DB22" s="15" t="s">
        <v>39</v>
      </c>
      <c r="DC22" s="15" t="s">
        <v>3</v>
      </c>
      <c r="DD22" s="15" t="s">
        <v>40</v>
      </c>
      <c r="DE22" s="15" t="s">
        <v>41</v>
      </c>
      <c r="DF22" s="15" t="s">
        <v>42</v>
      </c>
      <c r="DG22" s="15" t="s">
        <v>43</v>
      </c>
      <c r="DH22" s="15" t="s">
        <v>8</v>
      </c>
      <c r="DI22" s="15" t="s">
        <v>9</v>
      </c>
      <c r="DJ22" s="15" t="s">
        <v>10</v>
      </c>
      <c r="DK22" s="16" t="s">
        <v>11</v>
      </c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6" t="n">
        <v>1</v>
      </c>
      <c r="DA23" s="7" t="s">
        <v>54</v>
      </c>
      <c r="DB23" s="7" t="n">
        <v>2013</v>
      </c>
      <c r="DC23" s="7" t="n">
        <v>125242</v>
      </c>
      <c r="DD23" s="7" t="s">
        <v>19</v>
      </c>
      <c r="DE23" s="7" t="s">
        <v>19</v>
      </c>
      <c r="DF23" s="7" t="s">
        <v>19</v>
      </c>
      <c r="DG23" s="7" t="s">
        <v>19</v>
      </c>
      <c r="DH23" s="8" t="n">
        <v>0.76</v>
      </c>
      <c r="DI23" s="9" t="n">
        <v>0.71</v>
      </c>
      <c r="DJ23" s="9" t="n">
        <v>0.82</v>
      </c>
      <c r="DK23" s="10" t="s">
        <v>19</v>
      </c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6" t="n">
        <v>2</v>
      </c>
      <c r="DA24" s="7" t="s">
        <v>55</v>
      </c>
      <c r="DB24" s="11" t="n">
        <v>2015</v>
      </c>
      <c r="DC24" s="7" t="n">
        <v>1073</v>
      </c>
      <c r="DD24" s="7" t="s">
        <v>19</v>
      </c>
      <c r="DE24" s="7" t="s">
        <v>19</v>
      </c>
      <c r="DF24" s="7" t="s">
        <v>19</v>
      </c>
      <c r="DG24" s="7" t="s">
        <v>19</v>
      </c>
      <c r="DH24" s="7" t="n">
        <v>0.44</v>
      </c>
      <c r="DI24" s="7" t="n">
        <v>0.1</v>
      </c>
      <c r="DJ24" s="7" t="n">
        <v>1.87</v>
      </c>
      <c r="DK24" s="10" t="s">
        <v>19</v>
      </c>
    </row>
    <row r="25" customFormat="false" ht="14.2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</row>
  </sheetData>
  <mergeCells count="15">
    <mergeCell ref="A1:Q1"/>
    <mergeCell ref="T1:AE1"/>
    <mergeCell ref="AH1:AS1"/>
    <mergeCell ref="AV1:BG1"/>
    <mergeCell ref="BJ1:BU1"/>
    <mergeCell ref="BX1:CI1"/>
    <mergeCell ref="CL1:CW1"/>
    <mergeCell ref="CZ1:DK1"/>
    <mergeCell ref="CZ6:DK6"/>
    <mergeCell ref="T7:AE7"/>
    <mergeCell ref="CZ11:DK11"/>
    <mergeCell ref="T13:AE13"/>
    <mergeCell ref="CZ16:DK16"/>
    <mergeCell ref="T19:AE19"/>
    <mergeCell ref="CZ21:DK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1" t="s">
        <v>36</v>
      </c>
    </row>
    <row r="2" customFormat="false" ht="14.25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3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8</v>
      </c>
      <c r="J2" s="1" t="s">
        <v>9</v>
      </c>
      <c r="K2" s="1" t="s">
        <v>10</v>
      </c>
      <c r="L2" s="1" t="s">
        <v>11</v>
      </c>
    </row>
    <row r="3" customFormat="false" ht="14.25" hidden="false" customHeight="false" outlineLevel="0" collapsed="false">
      <c r="A3" s="1" t="n">
        <v>1</v>
      </c>
      <c r="B3" s="1" t="s">
        <v>44</v>
      </c>
      <c r="C3" s="1" t="n">
        <v>2023</v>
      </c>
      <c r="D3" s="1" t="n">
        <v>53279</v>
      </c>
      <c r="E3" s="1" t="n">
        <v>550</v>
      </c>
      <c r="F3" s="1" t="n">
        <v>2323</v>
      </c>
      <c r="G3" s="1" t="n">
        <v>6757</v>
      </c>
      <c r="H3" s="1" t="n">
        <v>40936</v>
      </c>
      <c r="I3" s="1" t="n">
        <v>1.11</v>
      </c>
      <c r="J3" s="1" t="n">
        <v>1</v>
      </c>
      <c r="K3" s="1" t="n">
        <v>1.24</v>
      </c>
      <c r="L3" s="1" t="s">
        <v>45</v>
      </c>
    </row>
    <row r="4" customFormat="false" ht="14.25" hidden="false" customHeight="false" outlineLevel="0" collapsed="false">
      <c r="A4" s="1" t="n">
        <v>2</v>
      </c>
      <c r="B4" s="1" t="s">
        <v>46</v>
      </c>
      <c r="C4" s="1" t="n">
        <v>2021</v>
      </c>
      <c r="D4" s="1" t="n">
        <v>346141</v>
      </c>
      <c r="E4" s="1" t="n">
        <v>2748</v>
      </c>
      <c r="F4" s="1" t="n">
        <v>11130</v>
      </c>
      <c r="G4" s="1" t="n">
        <v>40083</v>
      </c>
      <c r="H4" s="1" t="n">
        <v>284111</v>
      </c>
      <c r="I4" s="1" t="n">
        <v>1.773</v>
      </c>
      <c r="J4" s="1" t="n">
        <v>1.649</v>
      </c>
      <c r="K4" s="1" t="n">
        <v>1.905</v>
      </c>
      <c r="L4" s="1" t="s">
        <v>23</v>
      </c>
    </row>
    <row r="7" customFormat="false" ht="14.25" hidden="false" customHeight="false" outlineLevel="0" collapsed="false">
      <c r="A7" s="1" t="s">
        <v>47</v>
      </c>
    </row>
    <row r="8" customFormat="false" ht="14.25" hidden="false" customHeight="false" outlineLevel="0" collapsed="false">
      <c r="A8" s="1" t="s">
        <v>37</v>
      </c>
      <c r="B8" s="1" t="s">
        <v>38</v>
      </c>
      <c r="C8" s="1" t="s">
        <v>39</v>
      </c>
      <c r="D8" s="1" t="s">
        <v>3</v>
      </c>
      <c r="E8" s="1" t="s">
        <v>40</v>
      </c>
      <c r="F8" s="1" t="s">
        <v>41</v>
      </c>
      <c r="G8" s="1" t="s">
        <v>42</v>
      </c>
      <c r="H8" s="1" t="s">
        <v>43</v>
      </c>
      <c r="I8" s="1" t="s">
        <v>8</v>
      </c>
      <c r="J8" s="1" t="s">
        <v>9</v>
      </c>
      <c r="K8" s="1" t="s">
        <v>10</v>
      </c>
      <c r="L8" s="1" t="s">
        <v>11</v>
      </c>
    </row>
    <row r="9" customFormat="false" ht="14.25" hidden="false" customHeight="false" outlineLevel="0" collapsed="false">
      <c r="A9" s="1" t="n">
        <v>1</v>
      </c>
      <c r="B9" s="1" t="s">
        <v>44</v>
      </c>
      <c r="C9" s="1" t="n">
        <v>2023</v>
      </c>
      <c r="D9" s="1" t="n">
        <v>53279</v>
      </c>
      <c r="E9" s="1" t="n">
        <v>189</v>
      </c>
      <c r="F9" s="1" t="n">
        <v>645</v>
      </c>
      <c r="G9" s="1" t="n">
        <v>6757</v>
      </c>
      <c r="H9" s="1" t="n">
        <v>40936</v>
      </c>
      <c r="I9" s="1" t="n">
        <v>1.59</v>
      </c>
      <c r="J9" s="1" t="n">
        <v>1.33</v>
      </c>
      <c r="K9" s="1" t="n">
        <v>1.91</v>
      </c>
      <c r="L9" s="1" t="s">
        <v>45</v>
      </c>
    </row>
    <row r="10" customFormat="false" ht="14.25" hidden="false" customHeight="false" outlineLevel="0" collapsed="false">
      <c r="A10" s="1" t="n">
        <v>2</v>
      </c>
      <c r="B10" s="1" t="s">
        <v>46</v>
      </c>
      <c r="C10" s="1" t="n">
        <v>2021</v>
      </c>
      <c r="D10" s="1" t="n">
        <v>346141</v>
      </c>
      <c r="E10" s="1" t="n">
        <v>2642</v>
      </c>
      <c r="F10" s="1" t="n">
        <v>13205</v>
      </c>
      <c r="G10" s="1" t="n">
        <v>41853</v>
      </c>
      <c r="H10" s="1" t="n">
        <v>287958</v>
      </c>
      <c r="I10" s="1" t="n">
        <v>1.444</v>
      </c>
      <c r="J10" s="1" t="n">
        <v>1.345</v>
      </c>
      <c r="K10" s="1" t="n">
        <v>1.55</v>
      </c>
      <c r="L10" s="1" t="s">
        <v>23</v>
      </c>
    </row>
    <row r="13" customFormat="false" ht="14.25" hidden="false" customHeight="false" outlineLevel="0" collapsed="false">
      <c r="A13" s="1" t="s">
        <v>48</v>
      </c>
    </row>
    <row r="14" customFormat="false" ht="14.25" hidden="false" customHeight="false" outlineLevel="0" collapsed="false">
      <c r="A14" s="1" t="s">
        <v>37</v>
      </c>
      <c r="B14" s="1" t="s">
        <v>38</v>
      </c>
      <c r="C14" s="1" t="s">
        <v>39</v>
      </c>
      <c r="D14" s="1" t="s">
        <v>3</v>
      </c>
      <c r="E14" s="1" t="s">
        <v>40</v>
      </c>
      <c r="F14" s="1" t="s">
        <v>41</v>
      </c>
      <c r="G14" s="1" t="s">
        <v>42</v>
      </c>
      <c r="H14" s="1" t="s">
        <v>43</v>
      </c>
      <c r="I14" s="1" t="s">
        <v>8</v>
      </c>
      <c r="J14" s="1" t="s">
        <v>9</v>
      </c>
      <c r="K14" s="1" t="s">
        <v>10</v>
      </c>
      <c r="L14" s="1" t="s">
        <v>11</v>
      </c>
    </row>
    <row r="15" customFormat="false" ht="14.25" hidden="false" customHeight="false" outlineLevel="0" collapsed="false">
      <c r="A15" s="1" t="n">
        <v>1</v>
      </c>
      <c r="B15" s="1" t="s">
        <v>44</v>
      </c>
      <c r="C15" s="1" t="n">
        <v>2023</v>
      </c>
      <c r="D15" s="1" t="n">
        <v>53279</v>
      </c>
      <c r="E15" s="1" t="n">
        <v>240</v>
      </c>
      <c r="F15" s="1" t="n">
        <v>576</v>
      </c>
      <c r="G15" s="1" t="n">
        <v>6757</v>
      </c>
      <c r="H15" s="1" t="n">
        <v>40936</v>
      </c>
      <c r="I15" s="1" t="n">
        <v>2.49</v>
      </c>
      <c r="J15" s="1" t="n">
        <v>2.1</v>
      </c>
      <c r="K15" s="1" t="n">
        <v>2.96</v>
      </c>
      <c r="L15" s="1" t="s">
        <v>45</v>
      </c>
    </row>
    <row r="16" customFormat="false" ht="14.25" hidden="false" customHeight="false" outlineLevel="0" collapsed="false">
      <c r="A16" s="1" t="n">
        <v>2</v>
      </c>
      <c r="B16" s="1" t="s">
        <v>46</v>
      </c>
      <c r="C16" s="1" t="n">
        <v>2021</v>
      </c>
      <c r="D16" s="1" t="n">
        <v>346141</v>
      </c>
      <c r="E16" s="1" t="n">
        <v>1543</v>
      </c>
      <c r="F16" s="1" t="n">
        <v>5453</v>
      </c>
      <c r="G16" s="1" t="n">
        <v>40083</v>
      </c>
      <c r="H16" s="1" t="n">
        <v>284111</v>
      </c>
      <c r="I16" s="1" t="n">
        <v>2.093</v>
      </c>
      <c r="J16" s="1" t="n">
        <v>1.911</v>
      </c>
      <c r="K16" s="1" t="n">
        <v>2.292</v>
      </c>
      <c r="L16" s="1" t="s">
        <v>23</v>
      </c>
    </row>
    <row r="19" customFormat="false" ht="14.25" hidden="false" customHeight="false" outlineLevel="0" collapsed="false">
      <c r="A19" s="1" t="s">
        <v>49</v>
      </c>
    </row>
    <row r="20" customFormat="false" ht="14.25" hidden="false" customHeight="false" outlineLevel="0" collapsed="false">
      <c r="A20" s="1" t="s">
        <v>37</v>
      </c>
      <c r="B20" s="1" t="s">
        <v>38</v>
      </c>
      <c r="C20" s="1" t="s">
        <v>39</v>
      </c>
      <c r="D20" s="1" t="s">
        <v>3</v>
      </c>
      <c r="E20" s="1" t="s">
        <v>40</v>
      </c>
      <c r="F20" s="1" t="s">
        <v>41</v>
      </c>
      <c r="G20" s="1" t="s">
        <v>42</v>
      </c>
      <c r="H20" s="1" t="s">
        <v>43</v>
      </c>
      <c r="I20" s="1" t="s">
        <v>8</v>
      </c>
      <c r="J20" s="1" t="s">
        <v>9</v>
      </c>
      <c r="K20" s="1" t="s">
        <v>10</v>
      </c>
      <c r="L20" s="1" t="s">
        <v>11</v>
      </c>
    </row>
    <row r="21" customFormat="false" ht="14.25" hidden="false" customHeight="false" outlineLevel="0" collapsed="false">
      <c r="A21" s="1" t="n">
        <v>1</v>
      </c>
      <c r="B21" s="1" t="s">
        <v>44</v>
      </c>
      <c r="C21" s="1" t="n">
        <v>2023</v>
      </c>
      <c r="D21" s="1" t="n">
        <v>53279</v>
      </c>
      <c r="E21" s="1" t="n">
        <v>48</v>
      </c>
      <c r="F21" s="1" t="n">
        <v>179</v>
      </c>
      <c r="G21" s="1" t="n">
        <v>6757</v>
      </c>
      <c r="H21" s="1" t="n">
        <v>40936</v>
      </c>
      <c r="I21" s="1" t="n">
        <v>1.49</v>
      </c>
      <c r="J21" s="1" t="n">
        <v>1.05</v>
      </c>
      <c r="K21" s="1" t="n">
        <v>2.1</v>
      </c>
      <c r="L21" s="1" t="s">
        <v>45</v>
      </c>
    </row>
    <row r="22" customFormat="false" ht="14.25" hidden="false" customHeight="false" outlineLevel="0" collapsed="false">
      <c r="A22" s="1" t="n">
        <v>2</v>
      </c>
      <c r="B22" s="1" t="s">
        <v>46</v>
      </c>
      <c r="C22" s="1" t="n">
        <v>2021</v>
      </c>
      <c r="D22" s="1" t="n">
        <v>346141</v>
      </c>
      <c r="E22" s="1" t="n">
        <v>213</v>
      </c>
      <c r="F22" s="1" t="n">
        <v>860</v>
      </c>
      <c r="G22" s="1" t="n">
        <v>40083</v>
      </c>
      <c r="H22" s="1" t="n">
        <v>284111</v>
      </c>
      <c r="I22" s="1" t="n">
        <v>1.674</v>
      </c>
      <c r="J22" s="1" t="n">
        <v>1.29</v>
      </c>
      <c r="K22" s="1" t="n">
        <v>2.173</v>
      </c>
      <c r="L22" s="1" t="s">
        <v>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10.6796875" defaultRowHeight="14.25" zeroHeight="false" outlineLevelRow="0" outlineLevelCol="0"/>
  <cols>
    <col collapsed="false" customWidth="true" hidden="false" outlineLevel="0" max="2" min="2" style="0" width="27.82"/>
    <col collapsed="false" customWidth="true" hidden="false" outlineLevel="0" max="14" min="14" style="1" width="24.86"/>
    <col collapsed="false" customWidth="true" hidden="false" outlineLevel="0" max="26" min="15" style="1" width="9.0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18</v>
      </c>
      <c r="C2" s="1" t="n">
        <v>2023</v>
      </c>
      <c r="D2" s="1" t="n">
        <v>53279</v>
      </c>
      <c r="E2" s="1" t="n">
        <v>6390</v>
      </c>
      <c r="F2" s="1" t="n">
        <v>19996</v>
      </c>
      <c r="G2" s="1" t="n">
        <v>1580</v>
      </c>
      <c r="H2" s="1" t="n">
        <v>5141</v>
      </c>
      <c r="I2" s="1" t="n">
        <v>1.04</v>
      </c>
      <c r="J2" s="1" t="n">
        <v>0.98</v>
      </c>
      <c r="K2" s="1" t="n">
        <v>1.1</v>
      </c>
      <c r="L2" s="1" t="n">
        <v>0.23</v>
      </c>
      <c r="M2" s="1" t="n">
        <v>2.77</v>
      </c>
      <c r="N2" s="1" t="n">
        <v>32.3</v>
      </c>
    </row>
    <row r="3" customFormat="false" ht="14.25" hidden="false" customHeight="false" outlineLevel="0" collapsed="false">
      <c r="A3" s="1" t="n">
        <v>2</v>
      </c>
      <c r="B3" s="1" t="s">
        <v>22</v>
      </c>
      <c r="C3" s="1" t="n">
        <v>2021</v>
      </c>
      <c r="D3" s="1" t="n">
        <v>346141</v>
      </c>
      <c r="E3" s="1" t="n">
        <v>36538</v>
      </c>
      <c r="F3" s="1" t="n">
        <v>250631</v>
      </c>
      <c r="G3" s="1" t="n">
        <v>8049</v>
      </c>
      <c r="H3" s="1" t="n">
        <v>50923</v>
      </c>
      <c r="I3" s="1" t="n">
        <v>0.92</v>
      </c>
      <c r="J3" s="1" t="n">
        <v>0.9</v>
      </c>
      <c r="K3" s="1" t="n">
        <v>0.95</v>
      </c>
      <c r="L3" s="1" t="s">
        <v>50</v>
      </c>
      <c r="M3" s="1" t="n">
        <v>2.77</v>
      </c>
      <c r="N3" s="1" t="n">
        <v>53.9</v>
      </c>
    </row>
    <row r="4" customFormat="false" ht="14.25" hidden="false" customHeight="false" outlineLevel="0" collapsed="false">
      <c r="A4" s="1" t="n">
        <v>3</v>
      </c>
      <c r="B4" s="1" t="s">
        <v>51</v>
      </c>
      <c r="C4" s="1" t="n">
        <v>2022</v>
      </c>
      <c r="D4" s="1" t="n">
        <v>1226</v>
      </c>
      <c r="E4" s="1" t="s">
        <v>19</v>
      </c>
      <c r="F4" s="1" t="s">
        <v>19</v>
      </c>
      <c r="G4" s="1" t="s">
        <v>19</v>
      </c>
      <c r="H4" s="1" t="s">
        <v>19</v>
      </c>
      <c r="I4" s="1" t="n">
        <v>0.38</v>
      </c>
      <c r="J4" s="1" t="n">
        <v>0.29</v>
      </c>
      <c r="K4" s="1" t="n">
        <v>0.5</v>
      </c>
      <c r="L4" s="1" t="s">
        <v>23</v>
      </c>
      <c r="M4" s="1" t="s">
        <v>19</v>
      </c>
      <c r="N4" s="1" t="s">
        <v>19</v>
      </c>
    </row>
    <row r="5" customFormat="false" ht="14.25" hidden="false" customHeight="false" outlineLevel="0" collapsed="false">
      <c r="A5" s="1" t="n">
        <v>4</v>
      </c>
      <c r="B5" s="1" t="s">
        <v>24</v>
      </c>
      <c r="C5" s="1" t="n">
        <v>2015</v>
      </c>
      <c r="D5" s="1" t="n">
        <v>837</v>
      </c>
      <c r="E5" s="1" t="n">
        <v>141</v>
      </c>
      <c r="F5" s="1" t="n">
        <v>341</v>
      </c>
      <c r="G5" s="1" t="n">
        <v>84</v>
      </c>
      <c r="H5" s="1" t="n">
        <v>271</v>
      </c>
      <c r="I5" s="1" t="n">
        <v>1.33</v>
      </c>
      <c r="J5" s="1" t="n">
        <v>0.97</v>
      </c>
      <c r="K5" s="1" t="n">
        <v>1.83</v>
      </c>
      <c r="L5" s="1" t="n">
        <v>0.072</v>
      </c>
      <c r="M5" s="1" t="n">
        <v>5.47</v>
      </c>
      <c r="N5" s="1" t="n">
        <v>66.8</v>
      </c>
    </row>
    <row r="6" customFormat="false" ht="14.25" hidden="false" customHeight="false" outlineLevel="0" collapsed="false">
      <c r="A6" s="1" t="n">
        <v>5</v>
      </c>
      <c r="B6" s="1" t="s">
        <v>25</v>
      </c>
      <c r="C6" s="1" t="n">
        <v>2015</v>
      </c>
      <c r="D6" s="1" t="n">
        <v>4599</v>
      </c>
      <c r="E6" s="1" t="n">
        <v>591</v>
      </c>
      <c r="F6" s="1" t="n">
        <v>917</v>
      </c>
      <c r="G6" s="1" t="n">
        <v>1237</v>
      </c>
      <c r="H6" s="1" t="n">
        <v>1854</v>
      </c>
      <c r="I6" s="1" t="n">
        <v>0.97</v>
      </c>
      <c r="J6" s="1" t="n">
        <v>0.85</v>
      </c>
      <c r="K6" s="1" t="n">
        <v>1.09</v>
      </c>
      <c r="L6" s="1" t="n">
        <v>0.59</v>
      </c>
      <c r="M6" s="1" t="n">
        <v>5.65</v>
      </c>
      <c r="N6" s="1" t="n">
        <v>47.4</v>
      </c>
    </row>
    <row r="7" customFormat="false" ht="14.25" hidden="false" customHeight="false" outlineLevel="0" collapsed="false">
      <c r="A7" s="1" t="n">
        <v>6</v>
      </c>
      <c r="B7" s="1" t="s">
        <v>26</v>
      </c>
      <c r="C7" s="1" t="n">
        <v>2015</v>
      </c>
      <c r="D7" s="1" t="n">
        <v>4034</v>
      </c>
      <c r="E7" s="1" t="n">
        <v>609</v>
      </c>
      <c r="F7" s="1" t="n">
        <v>1117</v>
      </c>
      <c r="G7" s="1" t="n">
        <v>655</v>
      </c>
      <c r="H7" s="1" t="n">
        <v>1649</v>
      </c>
      <c r="I7" s="1" t="n">
        <v>1.4</v>
      </c>
      <c r="J7" s="1" t="n">
        <v>1.2</v>
      </c>
      <c r="K7" s="1" t="n">
        <v>1.6</v>
      </c>
      <c r="L7" s="1" t="s">
        <v>23</v>
      </c>
      <c r="M7" s="1" t="n">
        <v>3.12</v>
      </c>
      <c r="N7" s="1" t="n">
        <v>21.3</v>
      </c>
    </row>
    <row r="8" customFormat="false" ht="14.25" hidden="false" customHeight="false" outlineLevel="0" collapsed="false">
      <c r="A8" s="1" t="n">
        <v>7</v>
      </c>
      <c r="B8" s="1" t="s">
        <v>27</v>
      </c>
      <c r="C8" s="1" t="n">
        <v>2015</v>
      </c>
      <c r="D8" s="1" t="n">
        <v>1381</v>
      </c>
      <c r="E8" s="1" t="n">
        <v>491</v>
      </c>
      <c r="F8" s="1" t="n">
        <v>653</v>
      </c>
      <c r="G8" s="1" t="n">
        <v>90</v>
      </c>
      <c r="H8" s="1" t="n">
        <v>141</v>
      </c>
      <c r="I8" s="1" t="n">
        <v>1.18</v>
      </c>
      <c r="J8" s="1" t="n">
        <v>0.88</v>
      </c>
      <c r="K8" s="1" t="n">
        <v>1.58</v>
      </c>
      <c r="L8" s="1" t="n">
        <v>0.267</v>
      </c>
      <c r="M8" s="1" t="n">
        <v>2.58</v>
      </c>
      <c r="N8" s="1" t="n">
        <v>46.7</v>
      </c>
    </row>
    <row r="9" customFormat="false" ht="14.25" hidden="false" customHeight="false" outlineLevel="0" collapsed="false">
      <c r="A9" s="1" t="n">
        <v>8</v>
      </c>
      <c r="B9" s="1" t="s">
        <v>28</v>
      </c>
      <c r="C9" s="1" t="n">
        <v>2015</v>
      </c>
      <c r="D9" s="1" t="n">
        <v>1062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n">
        <v>1</v>
      </c>
      <c r="N9" s="1" t="n">
        <v>0</v>
      </c>
    </row>
    <row r="10" customFormat="false" ht="14.25" hidden="false" customHeight="false" outlineLevel="0" collapsed="false">
      <c r="A10" s="1" t="n">
        <v>9</v>
      </c>
      <c r="B10" s="1" t="s">
        <v>29</v>
      </c>
      <c r="C10" s="1" t="n">
        <v>2015</v>
      </c>
      <c r="D10" s="1" t="n">
        <v>202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n">
        <v>2.57</v>
      </c>
      <c r="N10" s="1" t="n">
        <v>50.4</v>
      </c>
    </row>
    <row r="11" customFormat="false" ht="14.25" hidden="false" customHeight="false" outlineLevel="0" collapsed="false">
      <c r="A11" s="1" t="n">
        <v>10</v>
      </c>
      <c r="B11" s="1" t="s">
        <v>30</v>
      </c>
      <c r="C11" s="1" t="n">
        <v>2015</v>
      </c>
      <c r="D11" s="1" t="n">
        <v>352</v>
      </c>
      <c r="E11" s="1" t="n">
        <v>73</v>
      </c>
      <c r="F11" s="1" t="n">
        <v>122</v>
      </c>
      <c r="G11" s="1" t="n">
        <v>61</v>
      </c>
      <c r="H11" s="1" t="n">
        <v>96</v>
      </c>
      <c r="I11" s="1" t="n">
        <v>0.94</v>
      </c>
      <c r="J11" s="1" t="n">
        <v>0.61</v>
      </c>
      <c r="K11" s="1" t="n">
        <v>1.45</v>
      </c>
      <c r="L11" s="1" t="n">
        <v>0.7854</v>
      </c>
      <c r="M11" s="1" t="n">
        <v>2.96</v>
      </c>
      <c r="N11" s="1" t="n">
        <v>43.4</v>
      </c>
    </row>
    <row r="12" customFormat="false" ht="14.25" hidden="false" customHeight="false" outlineLevel="0" collapsed="false">
      <c r="A12" s="1" t="n">
        <v>11</v>
      </c>
      <c r="B12" s="1" t="s">
        <v>31</v>
      </c>
      <c r="C12" s="1" t="n">
        <v>2015</v>
      </c>
      <c r="D12" s="1" t="n">
        <v>1565</v>
      </c>
      <c r="E12" s="1" t="n">
        <v>205</v>
      </c>
      <c r="F12" s="1" t="n">
        <v>73</v>
      </c>
      <c r="G12" s="1" t="n">
        <v>964</v>
      </c>
      <c r="H12" s="1" t="n">
        <v>323</v>
      </c>
      <c r="I12" s="1" t="n">
        <v>0.94</v>
      </c>
      <c r="J12" s="1" t="n">
        <v>0.7</v>
      </c>
      <c r="K12" s="1" t="n">
        <v>1.26</v>
      </c>
      <c r="L12" s="1" t="n">
        <v>0.686</v>
      </c>
      <c r="M12" s="1" t="n">
        <v>12.77</v>
      </c>
      <c r="N12" s="1" t="n">
        <v>25</v>
      </c>
    </row>
    <row r="13" customFormat="false" ht="14.25" hidden="false" customHeight="false" outlineLevel="0" collapsed="false">
      <c r="A13" s="1" t="n">
        <v>12</v>
      </c>
      <c r="B13" s="1" t="s">
        <v>32</v>
      </c>
      <c r="C13" s="1" t="n">
        <v>2015</v>
      </c>
      <c r="D13" s="1" t="n">
        <v>92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n">
        <v>6.66</v>
      </c>
      <c r="N13" s="1" t="n">
        <v>34.9</v>
      </c>
    </row>
    <row r="14" customFormat="false" ht="14.25" hidden="false" customHeight="false" outlineLevel="0" collapsed="false">
      <c r="A14" s="1" t="n">
        <v>13</v>
      </c>
      <c r="B14" s="1" t="s">
        <v>33</v>
      </c>
      <c r="C14" s="1" t="n">
        <v>2015</v>
      </c>
      <c r="D14" s="1" t="n">
        <v>241</v>
      </c>
      <c r="E14" s="1" t="n">
        <v>58</v>
      </c>
      <c r="F14" s="1" t="n">
        <v>28</v>
      </c>
      <c r="G14" s="1" t="n">
        <v>87</v>
      </c>
      <c r="H14" s="1" t="n">
        <v>68</v>
      </c>
      <c r="I14" s="1" t="n">
        <v>1.62</v>
      </c>
      <c r="J14" s="1" t="n">
        <v>0.93</v>
      </c>
      <c r="K14" s="1" t="n">
        <v>2.81</v>
      </c>
      <c r="L14" s="1" t="n">
        <v>0.0868</v>
      </c>
      <c r="M14" s="1" t="n">
        <v>6.79</v>
      </c>
      <c r="N14" s="1" t="n">
        <v>42.6</v>
      </c>
    </row>
    <row r="15" customFormat="false" ht="14.25" hidden="false" customHeight="false" outlineLevel="0" collapsed="false">
      <c r="A15" s="1" t="n">
        <v>14</v>
      </c>
      <c r="B15" s="1" t="s">
        <v>34</v>
      </c>
      <c r="C15" s="1" t="n">
        <v>2015</v>
      </c>
      <c r="D15" s="1" t="n">
        <v>20065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n">
        <v>2.77</v>
      </c>
      <c r="N15" s="1" t="n">
        <v>28.9</v>
      </c>
    </row>
    <row r="16" customFormat="false" ht="14.25" hidden="false" customHeight="false" outlineLevel="0" collapsed="false">
      <c r="A16" s="1" t="n">
        <v>15</v>
      </c>
      <c r="B16" s="1" t="s">
        <v>35</v>
      </c>
      <c r="C16" s="1" t="n">
        <v>2022</v>
      </c>
      <c r="D16" s="1" t="n">
        <v>291276</v>
      </c>
      <c r="E16" s="1" t="s">
        <v>19</v>
      </c>
      <c r="F16" s="1" t="s">
        <v>19</v>
      </c>
      <c r="G16" s="1" t="s">
        <v>19</v>
      </c>
      <c r="H16" s="1" t="s">
        <v>19</v>
      </c>
      <c r="I16" s="1" t="n">
        <v>0.7</v>
      </c>
      <c r="J16" s="1" t="n">
        <v>0.58</v>
      </c>
      <c r="K16" s="1" t="n">
        <v>0.85</v>
      </c>
      <c r="L16" s="1" t="s">
        <v>19</v>
      </c>
      <c r="M16" s="1" t="n">
        <v>2.58</v>
      </c>
      <c r="N16" s="1" t="n">
        <v>46.7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22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22</v>
      </c>
      <c r="C2" s="1" t="n">
        <v>2021</v>
      </c>
      <c r="D2" s="1" t="n">
        <v>346141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1.1</v>
      </c>
      <c r="J2" s="1" t="n">
        <v>1.05</v>
      </c>
      <c r="K2" s="1" t="n">
        <v>1.14</v>
      </c>
      <c r="L2" s="1" t="s">
        <v>23</v>
      </c>
      <c r="M2" s="1" t="n">
        <v>2.77</v>
      </c>
      <c r="N2" s="1" t="n">
        <v>53.9</v>
      </c>
    </row>
    <row r="3" customFormat="false" ht="14.25" hidden="false" customHeight="false" outlineLevel="0" collapsed="false">
      <c r="A3" s="1" t="n">
        <v>2</v>
      </c>
      <c r="B3" s="1" t="s">
        <v>24</v>
      </c>
      <c r="C3" s="1" t="n">
        <v>2015</v>
      </c>
      <c r="D3" s="1" t="n">
        <v>837</v>
      </c>
      <c r="E3" s="1" t="n">
        <v>126</v>
      </c>
      <c r="F3" s="1" t="n">
        <v>280</v>
      </c>
      <c r="G3" s="1" t="n">
        <v>98</v>
      </c>
      <c r="H3" s="1" t="n">
        <v>333</v>
      </c>
      <c r="I3" s="1" t="n">
        <v>1.53</v>
      </c>
      <c r="J3" s="1" t="n">
        <v>1.12</v>
      </c>
      <c r="K3" s="1" t="n">
        <v>2.08</v>
      </c>
      <c r="L3" s="1" t="n">
        <v>0.0069</v>
      </c>
      <c r="M3" s="1" t="n">
        <v>5.47</v>
      </c>
      <c r="N3" s="1" t="n">
        <v>66.8</v>
      </c>
    </row>
    <row r="4" customFormat="false" ht="14.25" hidden="false" customHeight="false" outlineLevel="0" collapsed="false">
      <c r="A4" s="1" t="n">
        <v>3</v>
      </c>
      <c r="B4" s="1" t="s">
        <v>25</v>
      </c>
      <c r="C4" s="1" t="n">
        <v>2015</v>
      </c>
      <c r="D4" s="1" t="n">
        <v>4599</v>
      </c>
      <c r="E4" s="1" t="n">
        <v>1003</v>
      </c>
      <c r="F4" s="1" t="n">
        <v>1131</v>
      </c>
      <c r="G4" s="1" t="n">
        <v>831</v>
      </c>
      <c r="H4" s="1" t="n">
        <v>1630</v>
      </c>
      <c r="I4" s="1" t="n">
        <v>1.4</v>
      </c>
      <c r="J4" s="1" t="n">
        <v>1.2</v>
      </c>
      <c r="K4" s="1" t="n">
        <v>1.6</v>
      </c>
      <c r="L4" s="1" t="s">
        <v>23</v>
      </c>
      <c r="M4" s="1" t="n">
        <v>5.65</v>
      </c>
      <c r="N4" s="1" t="n">
        <v>47.4</v>
      </c>
    </row>
    <row r="5" customFormat="false" ht="14.25" hidden="false" customHeight="false" outlineLevel="0" collapsed="false">
      <c r="A5" s="1" t="n">
        <v>4</v>
      </c>
      <c r="B5" s="1" t="s">
        <v>26</v>
      </c>
      <c r="C5" s="1" t="n">
        <v>2015</v>
      </c>
      <c r="D5" s="1" t="n">
        <v>4034</v>
      </c>
      <c r="E5" s="1" t="n">
        <v>603</v>
      </c>
      <c r="F5" s="1" t="n">
        <v>1241</v>
      </c>
      <c r="G5" s="1" t="n">
        <v>769</v>
      </c>
      <c r="H5" s="1" t="n">
        <v>1394</v>
      </c>
      <c r="I5" s="1" t="n">
        <v>1.13</v>
      </c>
      <c r="J5" s="1" t="n">
        <v>0.99</v>
      </c>
      <c r="K5" s="1" t="n">
        <v>1.29</v>
      </c>
      <c r="L5" s="1" t="n">
        <v>0.058</v>
      </c>
      <c r="M5" s="1" t="n">
        <v>3.12</v>
      </c>
      <c r="N5" s="1" t="n">
        <v>21.3</v>
      </c>
    </row>
    <row r="6" customFormat="false" ht="14.25" hidden="false" customHeight="false" outlineLevel="0" collapsed="false">
      <c r="A6" s="1" t="n">
        <v>5</v>
      </c>
      <c r="B6" s="1" t="s">
        <v>27</v>
      </c>
      <c r="C6" s="1" t="n">
        <v>2015</v>
      </c>
      <c r="D6" s="1" t="n">
        <v>1381</v>
      </c>
      <c r="E6" s="1" t="n">
        <v>339</v>
      </c>
      <c r="F6" s="1" t="n">
        <v>335</v>
      </c>
      <c r="G6" s="1" t="n">
        <v>249</v>
      </c>
      <c r="H6" s="1" t="n">
        <v>458</v>
      </c>
      <c r="I6" s="1" t="n">
        <v>1.5</v>
      </c>
      <c r="J6" s="1" t="n">
        <v>1.3</v>
      </c>
      <c r="K6" s="1" t="n">
        <v>1.9</v>
      </c>
      <c r="L6" s="1" t="s">
        <v>23</v>
      </c>
      <c r="M6" s="1" t="n">
        <v>2.58</v>
      </c>
      <c r="N6" s="1" t="n">
        <v>46.7</v>
      </c>
    </row>
    <row r="7" customFormat="false" ht="14.25" hidden="false" customHeight="false" outlineLevel="0" collapsed="false">
      <c r="A7" s="1" t="n">
        <v>6</v>
      </c>
      <c r="B7" s="1" t="s">
        <v>28</v>
      </c>
      <c r="C7" s="1" t="n">
        <v>2015</v>
      </c>
      <c r="D7" s="1" t="n">
        <v>1062</v>
      </c>
      <c r="E7" s="1" t="n">
        <v>127</v>
      </c>
      <c r="F7" s="1" t="n">
        <v>421</v>
      </c>
      <c r="G7" s="1" t="n">
        <v>126</v>
      </c>
      <c r="H7" s="1" t="n">
        <v>388</v>
      </c>
      <c r="I7" s="1" t="n">
        <v>0.93</v>
      </c>
      <c r="J7" s="1" t="n">
        <v>0.7</v>
      </c>
      <c r="K7" s="1" t="n">
        <v>1.23</v>
      </c>
      <c r="L7" s="1" t="n">
        <v>0.512</v>
      </c>
      <c r="M7" s="1" t="n">
        <v>1</v>
      </c>
      <c r="N7" s="1" t="n">
        <v>0</v>
      </c>
    </row>
    <row r="8" customFormat="false" ht="14.25" hidden="false" customHeight="false" outlineLevel="0" collapsed="false">
      <c r="A8" s="1" t="n">
        <v>7</v>
      </c>
      <c r="B8" s="1" t="s">
        <v>29</v>
      </c>
      <c r="C8" s="1" t="n">
        <v>2015</v>
      </c>
      <c r="D8" s="1" t="n">
        <v>202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n">
        <v>2.57</v>
      </c>
      <c r="N8" s="1" t="n">
        <v>50.4</v>
      </c>
    </row>
    <row r="9" customFormat="false" ht="14.25" hidden="false" customHeight="false" outlineLevel="0" collapsed="false">
      <c r="A9" s="1" t="n">
        <v>8</v>
      </c>
      <c r="B9" s="1" t="s">
        <v>30</v>
      </c>
      <c r="C9" s="1" t="n">
        <v>2015</v>
      </c>
      <c r="D9" s="1" t="n">
        <v>352</v>
      </c>
      <c r="E9" s="1" t="n">
        <v>72</v>
      </c>
      <c r="F9" s="1" t="n">
        <v>96</v>
      </c>
      <c r="G9" s="1" t="n">
        <v>62</v>
      </c>
      <c r="H9" s="1" t="n">
        <v>122</v>
      </c>
      <c r="I9" s="1" t="n">
        <v>1.48</v>
      </c>
      <c r="J9" s="1" t="n">
        <v>0.96</v>
      </c>
      <c r="K9" s="1" t="n">
        <v>2.27</v>
      </c>
      <c r="L9" s="1" t="n">
        <v>0.0776</v>
      </c>
      <c r="M9" s="1" t="n">
        <v>2.96</v>
      </c>
      <c r="N9" s="1" t="n">
        <v>43.4</v>
      </c>
    </row>
    <row r="10" customFormat="false" ht="14.25" hidden="false" customHeight="false" outlineLevel="0" collapsed="false">
      <c r="A10" s="1" t="n">
        <v>9</v>
      </c>
      <c r="B10" s="1" t="s">
        <v>31</v>
      </c>
      <c r="C10" s="1" t="n">
        <v>2015</v>
      </c>
      <c r="D10" s="1" t="n">
        <v>1565</v>
      </c>
      <c r="E10" s="1" t="n">
        <v>549</v>
      </c>
      <c r="F10" s="1" t="n">
        <v>227</v>
      </c>
      <c r="G10" s="1" t="n">
        <v>621</v>
      </c>
      <c r="H10" s="1" t="n">
        <v>169</v>
      </c>
      <c r="I10" s="1" t="n">
        <v>0.6</v>
      </c>
      <c r="J10" s="1" t="n">
        <v>0.5</v>
      </c>
      <c r="K10" s="1" t="n">
        <v>0.8</v>
      </c>
      <c r="L10" s="1" t="s">
        <v>23</v>
      </c>
      <c r="M10" s="1" t="n">
        <v>12.77</v>
      </c>
      <c r="N10" s="1" t="n">
        <v>25</v>
      </c>
    </row>
    <row r="11" customFormat="false" ht="14.25" hidden="false" customHeight="false" outlineLevel="0" collapsed="false">
      <c r="A11" s="1" t="n">
        <v>10</v>
      </c>
      <c r="B11" s="1" t="s">
        <v>32</v>
      </c>
      <c r="C11" s="1" t="n">
        <v>2015</v>
      </c>
      <c r="D11" s="1" t="n">
        <v>92</v>
      </c>
      <c r="E11" s="1" t="n">
        <v>21</v>
      </c>
      <c r="F11" s="1" t="n">
        <v>29</v>
      </c>
      <c r="G11" s="1" t="n">
        <v>15</v>
      </c>
      <c r="H11" s="1" t="n">
        <v>26</v>
      </c>
      <c r="I11" s="1" t="n">
        <v>1.26</v>
      </c>
      <c r="J11" s="1" t="n">
        <v>0.54</v>
      </c>
      <c r="K11" s="1" t="n">
        <v>2.93</v>
      </c>
      <c r="L11" s="1" t="n">
        <v>0.599</v>
      </c>
      <c r="M11" s="1" t="n">
        <v>6.66</v>
      </c>
      <c r="N11" s="1" t="n">
        <v>34.9</v>
      </c>
    </row>
    <row r="12" customFormat="false" ht="14.25" hidden="false" customHeight="false" outlineLevel="0" collapsed="false">
      <c r="A12" s="1" t="n">
        <v>11</v>
      </c>
      <c r="B12" s="1" t="s">
        <v>33</v>
      </c>
      <c r="C12" s="1" t="n">
        <v>2015</v>
      </c>
      <c r="D12" s="1" t="n">
        <v>241</v>
      </c>
      <c r="E12" s="1" t="n">
        <v>84</v>
      </c>
      <c r="F12" s="1" t="n">
        <v>40</v>
      </c>
      <c r="G12" s="1" t="n">
        <v>61</v>
      </c>
      <c r="H12" s="1" t="n">
        <v>56</v>
      </c>
      <c r="I12" s="1" t="n">
        <v>2</v>
      </c>
      <c r="J12" s="1" t="n">
        <v>1.2</v>
      </c>
      <c r="K12" s="1" t="n">
        <v>3.4</v>
      </c>
      <c r="L12" s="1" t="n">
        <v>0.0139</v>
      </c>
      <c r="M12" s="1" t="n">
        <v>6.79</v>
      </c>
      <c r="N12" s="1" t="n">
        <v>42.6</v>
      </c>
    </row>
    <row r="13" customFormat="false" ht="14.25" hidden="false" customHeight="false" outlineLevel="0" collapsed="false">
      <c r="A13" s="1" t="n">
        <v>12</v>
      </c>
      <c r="B13" s="1" t="s">
        <v>34</v>
      </c>
      <c r="C13" s="1" t="n">
        <v>2015</v>
      </c>
      <c r="D13" s="1" t="n">
        <v>20065</v>
      </c>
      <c r="E13" s="1" t="n">
        <v>1884</v>
      </c>
      <c r="F13" s="1" t="n">
        <v>7827</v>
      </c>
      <c r="G13" s="1" t="n">
        <v>1597</v>
      </c>
      <c r="H13" s="1" t="n">
        <v>8756</v>
      </c>
      <c r="I13" s="1" t="n">
        <v>1.1</v>
      </c>
      <c r="J13" s="1" t="n">
        <v>1.02</v>
      </c>
      <c r="K13" s="1" t="n">
        <v>1.2</v>
      </c>
      <c r="L13" s="1" t="s">
        <v>23</v>
      </c>
      <c r="M13" s="1" t="n">
        <v>2.77</v>
      </c>
      <c r="N13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23.9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24</v>
      </c>
      <c r="C2" s="1" t="n">
        <v>2015</v>
      </c>
      <c r="D2" s="1" t="n">
        <v>837</v>
      </c>
      <c r="E2" s="1" t="n">
        <v>118</v>
      </c>
      <c r="F2" s="1" t="n">
        <v>203</v>
      </c>
      <c r="G2" s="1" t="n">
        <v>107</v>
      </c>
      <c r="H2" s="1" t="n">
        <v>409</v>
      </c>
      <c r="I2" s="1" t="n">
        <v>1.8</v>
      </c>
      <c r="J2" s="1" t="n">
        <v>1.2</v>
      </c>
      <c r="K2" s="1" t="n">
        <v>2.7</v>
      </c>
      <c r="L2" s="1" t="s">
        <v>23</v>
      </c>
      <c r="M2" s="1" t="n">
        <v>5.47</v>
      </c>
      <c r="N2" s="1" t="n">
        <v>66.8</v>
      </c>
    </row>
    <row r="3" customFormat="false" ht="14.25" hidden="false" customHeight="false" outlineLevel="0" collapsed="false">
      <c r="A3" s="1" t="n">
        <v>2</v>
      </c>
      <c r="B3" s="1" t="s">
        <v>25</v>
      </c>
      <c r="C3" s="1" t="n">
        <v>2015</v>
      </c>
      <c r="D3" s="1" t="n">
        <v>4599</v>
      </c>
      <c r="E3" s="1" t="n">
        <v>625</v>
      </c>
      <c r="F3" s="1" t="n">
        <v>686</v>
      </c>
      <c r="G3" s="1" t="n">
        <v>1204</v>
      </c>
      <c r="H3" s="1" t="n">
        <v>2085</v>
      </c>
      <c r="I3" s="1" t="n">
        <v>1.4</v>
      </c>
      <c r="J3" s="1" t="n">
        <v>1.2</v>
      </c>
      <c r="K3" s="1" t="n">
        <v>1.6</v>
      </c>
      <c r="L3" s="1" t="s">
        <v>23</v>
      </c>
      <c r="M3" s="1" t="n">
        <v>5.65</v>
      </c>
      <c r="N3" s="1" t="n">
        <v>47.4</v>
      </c>
    </row>
    <row r="4" customFormat="false" ht="14.25" hidden="false" customHeight="false" outlineLevel="0" collapsed="false">
      <c r="A4" s="1" t="n">
        <v>3</v>
      </c>
      <c r="B4" s="1" t="s">
        <v>26</v>
      </c>
      <c r="C4" s="1" t="n">
        <v>2015</v>
      </c>
      <c r="D4" s="1" t="n">
        <v>4034</v>
      </c>
      <c r="E4" s="1" t="n">
        <v>470</v>
      </c>
      <c r="F4" s="1" t="n">
        <v>837</v>
      </c>
      <c r="G4" s="1" t="n">
        <v>794</v>
      </c>
      <c r="H4" s="1" t="n">
        <v>1933</v>
      </c>
      <c r="I4" s="1" t="n">
        <v>1.4</v>
      </c>
      <c r="J4" s="1" t="n">
        <v>1.2</v>
      </c>
      <c r="K4" s="1" t="n">
        <v>1.7</v>
      </c>
      <c r="L4" s="1" t="s">
        <v>23</v>
      </c>
      <c r="M4" s="1" t="n">
        <v>3.12</v>
      </c>
      <c r="N4" s="1" t="n">
        <v>21.3</v>
      </c>
    </row>
    <row r="5" customFormat="false" ht="14.25" hidden="false" customHeight="false" outlineLevel="0" collapsed="false">
      <c r="A5" s="1" t="n">
        <v>4</v>
      </c>
      <c r="B5" s="1" t="s">
        <v>27</v>
      </c>
      <c r="C5" s="1" t="n">
        <v>2015</v>
      </c>
      <c r="D5" s="1" t="n">
        <v>1381</v>
      </c>
      <c r="E5" s="1" t="n">
        <v>214</v>
      </c>
      <c r="F5" s="1" t="n">
        <v>234</v>
      </c>
      <c r="G5" s="1" t="n">
        <v>372</v>
      </c>
      <c r="H5" s="1" t="n">
        <v>561</v>
      </c>
      <c r="I5" s="1" t="n">
        <v>1.38</v>
      </c>
      <c r="J5" s="1" t="n">
        <v>1.09</v>
      </c>
      <c r="K5" s="1" t="n">
        <v>1.73</v>
      </c>
      <c r="L5" s="1" t="s">
        <v>23</v>
      </c>
      <c r="M5" s="1" t="n">
        <v>2.58</v>
      </c>
      <c r="N5" s="1" t="n">
        <v>46.7</v>
      </c>
    </row>
    <row r="6" customFormat="false" ht="14.25" hidden="false" customHeight="false" outlineLevel="0" collapsed="false">
      <c r="A6" s="1" t="n">
        <v>5</v>
      </c>
      <c r="B6" s="1" t="s">
        <v>28</v>
      </c>
      <c r="C6" s="1" t="n">
        <v>2015</v>
      </c>
      <c r="D6" s="1" t="n">
        <v>1062</v>
      </c>
      <c r="E6" s="1" t="n">
        <v>141</v>
      </c>
      <c r="F6" s="1" t="n">
        <v>374</v>
      </c>
      <c r="G6" s="1" t="n">
        <v>116</v>
      </c>
      <c r="H6" s="1" t="n">
        <v>431</v>
      </c>
      <c r="I6" s="1" t="n">
        <v>1.4</v>
      </c>
      <c r="J6" s="1" t="n">
        <v>1.1</v>
      </c>
      <c r="K6" s="1" t="n">
        <v>1.9</v>
      </c>
      <c r="L6" s="1" t="n">
        <v>0.0192</v>
      </c>
      <c r="M6" s="1" t="n">
        <v>1</v>
      </c>
      <c r="N6" s="1" t="n">
        <v>0</v>
      </c>
    </row>
    <row r="7" customFormat="false" ht="14.25" hidden="false" customHeight="false" outlineLevel="0" collapsed="false">
      <c r="A7" s="1" t="n">
        <v>6</v>
      </c>
      <c r="B7" s="1" t="s">
        <v>29</v>
      </c>
      <c r="C7" s="1" t="n">
        <v>2015</v>
      </c>
      <c r="D7" s="1" t="n">
        <v>202</v>
      </c>
      <c r="E7" s="1" t="n">
        <v>16</v>
      </c>
      <c r="F7" s="1" t="n">
        <v>55</v>
      </c>
      <c r="G7" s="1" t="n">
        <v>22</v>
      </c>
      <c r="H7" s="1" t="n">
        <v>109</v>
      </c>
      <c r="I7" s="1" t="n">
        <v>1.44</v>
      </c>
      <c r="J7" s="1" t="n">
        <v>0.7</v>
      </c>
      <c r="K7" s="1" t="n">
        <v>2.96</v>
      </c>
      <c r="L7" s="1" t="n">
        <v>0.32</v>
      </c>
      <c r="M7" s="1" t="n">
        <v>2.57</v>
      </c>
      <c r="N7" s="1" t="n">
        <v>50.4</v>
      </c>
    </row>
    <row r="8" customFormat="false" ht="14.25" hidden="false" customHeight="false" outlineLevel="0" collapsed="false">
      <c r="A8" s="1" t="n">
        <v>7</v>
      </c>
      <c r="B8" s="1" t="s">
        <v>30</v>
      </c>
      <c r="C8" s="1" t="n">
        <v>2015</v>
      </c>
      <c r="D8" s="1" t="n">
        <v>352</v>
      </c>
      <c r="E8" s="1" t="n">
        <v>52</v>
      </c>
      <c r="F8" s="1" t="n">
        <v>79</v>
      </c>
      <c r="G8" s="1" t="n">
        <v>82</v>
      </c>
      <c r="H8" s="1" t="n">
        <v>151</v>
      </c>
      <c r="I8" s="1" t="n">
        <v>1.21</v>
      </c>
      <c r="J8" s="1" t="n">
        <v>0.78</v>
      </c>
      <c r="K8" s="1" t="n">
        <v>1.88</v>
      </c>
      <c r="L8" s="1" t="n">
        <v>0.393</v>
      </c>
      <c r="M8" s="1" t="n">
        <v>2.96</v>
      </c>
      <c r="N8" s="1" t="n">
        <v>43.4</v>
      </c>
    </row>
    <row r="9" customFormat="false" ht="14.25" hidden="false" customHeight="false" outlineLevel="0" collapsed="false">
      <c r="A9" s="1" t="n">
        <v>8</v>
      </c>
      <c r="B9" s="1" t="s">
        <v>31</v>
      </c>
      <c r="C9" s="1" t="n">
        <v>2015</v>
      </c>
      <c r="D9" s="1" t="n">
        <v>1565</v>
      </c>
      <c r="E9" s="1" t="n">
        <v>748</v>
      </c>
      <c r="F9" s="1" t="n">
        <v>281</v>
      </c>
      <c r="G9" s="1" t="n">
        <v>420</v>
      </c>
      <c r="H9" s="1" t="n">
        <v>115</v>
      </c>
      <c r="I9" s="1" t="n">
        <v>0.8</v>
      </c>
      <c r="J9" s="1" t="n">
        <v>0.6</v>
      </c>
      <c r="K9" s="1" t="n">
        <v>0.98</v>
      </c>
      <c r="L9" s="1" t="s">
        <v>52</v>
      </c>
      <c r="M9" s="1" t="n">
        <v>12.77</v>
      </c>
      <c r="N9" s="1" t="n">
        <v>25</v>
      </c>
    </row>
    <row r="10" customFormat="false" ht="14.25" hidden="false" customHeight="false" outlineLevel="0" collapsed="false">
      <c r="A10" s="1" t="n">
        <v>9</v>
      </c>
      <c r="B10" s="1" t="s">
        <v>32</v>
      </c>
      <c r="C10" s="1" t="n">
        <v>2015</v>
      </c>
      <c r="D10" s="1" t="n">
        <v>92</v>
      </c>
      <c r="E10" s="1" t="n">
        <v>18</v>
      </c>
      <c r="F10" s="1" t="n">
        <v>29</v>
      </c>
      <c r="G10" s="1" t="n">
        <v>18</v>
      </c>
      <c r="H10" s="1" t="n">
        <v>27</v>
      </c>
      <c r="I10" s="1" t="n">
        <v>0.93</v>
      </c>
      <c r="J10" s="1" t="n">
        <v>0.4</v>
      </c>
      <c r="K10" s="1" t="n">
        <v>2.15</v>
      </c>
      <c r="L10" s="1" t="n">
        <v>0.867</v>
      </c>
      <c r="M10" s="1" t="n">
        <v>6.66</v>
      </c>
      <c r="N10" s="1" t="n">
        <v>34.9</v>
      </c>
    </row>
    <row r="11" customFormat="false" ht="14.25" hidden="false" customHeight="false" outlineLevel="0" collapsed="false">
      <c r="A11" s="1" t="n">
        <v>10</v>
      </c>
      <c r="B11" s="1" t="s">
        <v>33</v>
      </c>
      <c r="C11" s="1" t="n">
        <v>2015</v>
      </c>
      <c r="D11" s="1" t="n">
        <v>241</v>
      </c>
      <c r="E11" s="1" t="n">
        <v>88</v>
      </c>
      <c r="F11" s="1" t="n">
        <v>58</v>
      </c>
      <c r="G11" s="1" t="n">
        <v>57</v>
      </c>
      <c r="H11" s="1" t="n">
        <v>38</v>
      </c>
      <c r="I11" s="1" t="n">
        <v>1.01</v>
      </c>
      <c r="J11" s="1" t="n">
        <v>0.59</v>
      </c>
      <c r="K11" s="1" t="n">
        <v>1.71</v>
      </c>
      <c r="L11" s="1" t="n">
        <v>0.966</v>
      </c>
      <c r="M11" s="1" t="n">
        <v>6.79</v>
      </c>
      <c r="N11" s="1" t="n">
        <v>42.6</v>
      </c>
    </row>
    <row r="12" customFormat="false" ht="14.25" hidden="false" customHeight="false" outlineLevel="0" collapsed="false">
      <c r="A12" s="1" t="n">
        <v>11</v>
      </c>
      <c r="B12" s="1" t="s">
        <v>34</v>
      </c>
      <c r="C12" s="1" t="n">
        <v>2015</v>
      </c>
      <c r="D12" s="1" t="n">
        <v>20065</v>
      </c>
      <c r="E12" s="1" t="n">
        <v>1335</v>
      </c>
      <c r="F12" s="1" t="n">
        <v>5166</v>
      </c>
      <c r="G12" s="1" t="n">
        <v>2143</v>
      </c>
      <c r="H12" s="1" t="n">
        <v>11438</v>
      </c>
      <c r="I12" s="1" t="n">
        <v>1.3</v>
      </c>
      <c r="J12" s="1" t="n">
        <v>1.2</v>
      </c>
      <c r="K12" s="1" t="n">
        <v>1.4</v>
      </c>
      <c r="L12" s="1" t="s">
        <v>23</v>
      </c>
      <c r="M12" s="1" t="n">
        <v>2.77</v>
      </c>
      <c r="N12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23.9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22</v>
      </c>
      <c r="C2" s="1" t="n">
        <v>2021</v>
      </c>
      <c r="D2" s="1" t="n">
        <v>346141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0.933</v>
      </c>
      <c r="J2" s="1" t="n">
        <v>0.9</v>
      </c>
      <c r="K2" s="1" t="n">
        <v>0.968</v>
      </c>
      <c r="L2" s="1" t="s">
        <v>19</v>
      </c>
      <c r="M2" s="1" t="n">
        <v>2.77</v>
      </c>
      <c r="N2" s="1" t="n">
        <v>53.9</v>
      </c>
    </row>
    <row r="3" customFormat="false" ht="14.25" hidden="false" customHeight="false" outlineLevel="0" collapsed="false">
      <c r="A3" s="1" t="n">
        <v>2</v>
      </c>
      <c r="B3" s="1" t="s">
        <v>24</v>
      </c>
      <c r="C3" s="1" t="n">
        <v>2015</v>
      </c>
      <c r="D3" s="1" t="n">
        <v>837</v>
      </c>
      <c r="E3" s="1" t="n">
        <v>82</v>
      </c>
      <c r="F3" s="1" t="n">
        <v>180</v>
      </c>
      <c r="G3" s="1" t="n">
        <v>168</v>
      </c>
      <c r="H3" s="1" t="n">
        <v>407</v>
      </c>
      <c r="I3" s="1" t="n">
        <v>1.1</v>
      </c>
      <c r="J3" s="1" t="n">
        <v>0.8</v>
      </c>
      <c r="K3" s="1" t="n">
        <v>1.52</v>
      </c>
      <c r="L3" s="1" t="n">
        <v>0.542</v>
      </c>
      <c r="M3" s="1" t="n">
        <v>5.47</v>
      </c>
      <c r="N3" s="1" t="n">
        <v>66.8</v>
      </c>
    </row>
    <row r="4" customFormat="false" ht="14.25" hidden="false" customHeight="false" outlineLevel="0" collapsed="false">
      <c r="A4" s="1" t="n">
        <v>3</v>
      </c>
      <c r="B4" s="1" t="s">
        <v>25</v>
      </c>
      <c r="C4" s="1" t="n">
        <v>2015</v>
      </c>
      <c r="D4" s="1" t="n">
        <v>4599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n">
        <v>5.65</v>
      </c>
      <c r="N4" s="1" t="n">
        <v>47.4</v>
      </c>
    </row>
    <row r="5" customFormat="false" ht="14.25" hidden="false" customHeight="false" outlineLevel="0" collapsed="false">
      <c r="A5" s="1" t="n">
        <v>4</v>
      </c>
      <c r="B5" s="1" t="s">
        <v>26</v>
      </c>
      <c r="C5" s="1" t="n">
        <v>2015</v>
      </c>
      <c r="D5" s="1" t="n">
        <v>4034</v>
      </c>
      <c r="E5" s="1" t="n">
        <v>104</v>
      </c>
      <c r="F5" s="1" t="n">
        <v>239</v>
      </c>
      <c r="G5" s="1" t="n">
        <v>1159</v>
      </c>
      <c r="H5" s="1" t="n">
        <v>2532</v>
      </c>
      <c r="I5" s="1" t="n">
        <v>0.95</v>
      </c>
      <c r="J5" s="1" t="n">
        <v>0.75</v>
      </c>
      <c r="K5" s="1" t="n">
        <v>1.21</v>
      </c>
      <c r="L5" s="1" t="n">
        <v>0.68</v>
      </c>
      <c r="M5" s="1" t="n">
        <v>3.12</v>
      </c>
      <c r="N5" s="1" t="n">
        <v>21.3</v>
      </c>
    </row>
    <row r="6" customFormat="false" ht="14.25" hidden="false" customHeight="false" outlineLevel="0" collapsed="false">
      <c r="A6" s="1" t="n">
        <v>5</v>
      </c>
      <c r="B6" s="1" t="s">
        <v>27</v>
      </c>
      <c r="C6" s="1" t="n">
        <v>2015</v>
      </c>
      <c r="D6" s="1" t="n">
        <v>1381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n">
        <v>2.58</v>
      </c>
      <c r="N6" s="1" t="n">
        <v>46.7</v>
      </c>
    </row>
    <row r="7" customFormat="false" ht="14.25" hidden="false" customHeight="false" outlineLevel="0" collapsed="false">
      <c r="A7" s="1" t="n">
        <v>6</v>
      </c>
      <c r="B7" s="1" t="s">
        <v>28</v>
      </c>
      <c r="C7" s="1" t="n">
        <v>2015</v>
      </c>
      <c r="D7" s="1" t="n">
        <v>1062</v>
      </c>
      <c r="E7" s="1" t="n">
        <v>70</v>
      </c>
      <c r="F7" s="1" t="n">
        <v>142</v>
      </c>
      <c r="G7" s="1" t="n">
        <v>184</v>
      </c>
      <c r="H7" s="1" t="n">
        <v>665</v>
      </c>
      <c r="I7" s="1" t="n">
        <v>1.8</v>
      </c>
      <c r="J7" s="1" t="n">
        <v>1.2</v>
      </c>
      <c r="K7" s="1" t="n">
        <v>2.5</v>
      </c>
      <c r="L7" s="1" t="s">
        <v>23</v>
      </c>
      <c r="M7" s="1" t="n">
        <v>1</v>
      </c>
      <c r="N7" s="1" t="n">
        <v>0</v>
      </c>
    </row>
    <row r="8" customFormat="false" ht="14.25" hidden="false" customHeight="false" outlineLevel="0" collapsed="false">
      <c r="A8" s="1" t="n">
        <v>7</v>
      </c>
      <c r="B8" s="1" t="s">
        <v>29</v>
      </c>
      <c r="C8" s="1" t="n">
        <v>2015</v>
      </c>
      <c r="D8" s="1" t="n">
        <v>202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n">
        <v>2.57</v>
      </c>
      <c r="N8" s="1" t="n">
        <v>50.4</v>
      </c>
    </row>
    <row r="9" customFormat="false" ht="14.25" hidden="false" customHeight="false" outlineLevel="0" collapsed="false">
      <c r="A9" s="1" t="n">
        <v>8</v>
      </c>
      <c r="B9" s="1" t="s">
        <v>30</v>
      </c>
      <c r="C9" s="1" t="n">
        <v>2015</v>
      </c>
      <c r="D9" s="1" t="n">
        <v>352</v>
      </c>
      <c r="E9" s="1" t="n">
        <v>25</v>
      </c>
      <c r="F9" s="1" t="n">
        <v>37</v>
      </c>
      <c r="G9" s="1" t="n">
        <v>112</v>
      </c>
      <c r="H9" s="1" t="n">
        <v>179</v>
      </c>
      <c r="I9" s="1" t="n">
        <v>1.08</v>
      </c>
      <c r="J9" s="1" t="n">
        <v>0.62</v>
      </c>
      <c r="K9" s="1" t="n">
        <v>1.89</v>
      </c>
      <c r="L9" s="1" t="n">
        <v>0.788</v>
      </c>
      <c r="M9" s="1" t="n">
        <v>2.96</v>
      </c>
      <c r="N9" s="1" t="n">
        <v>43.4</v>
      </c>
    </row>
    <row r="10" customFormat="false" ht="14.25" hidden="false" customHeight="false" outlineLevel="0" collapsed="false">
      <c r="A10" s="1" t="n">
        <v>9</v>
      </c>
      <c r="B10" s="1" t="s">
        <v>31</v>
      </c>
      <c r="C10" s="1" t="n">
        <v>2015</v>
      </c>
      <c r="D10" s="1" t="n">
        <v>1565</v>
      </c>
      <c r="E10" s="1" t="n">
        <v>397</v>
      </c>
      <c r="F10" s="1" t="n">
        <v>110</v>
      </c>
      <c r="G10" s="1" t="n">
        <v>774</v>
      </c>
      <c r="H10" s="1" t="n">
        <v>284</v>
      </c>
      <c r="I10" s="1" t="n">
        <v>0.6</v>
      </c>
      <c r="J10" s="1" t="n">
        <v>0.5</v>
      </c>
      <c r="K10" s="1" t="n">
        <v>0.8</v>
      </c>
      <c r="L10" s="1" t="n">
        <v>0.028</v>
      </c>
      <c r="M10" s="1" t="n">
        <v>12.77</v>
      </c>
      <c r="N10" s="1" t="n">
        <v>25</v>
      </c>
    </row>
    <row r="11" customFormat="false" ht="14.25" hidden="false" customHeight="false" outlineLevel="0" collapsed="false">
      <c r="A11" s="1" t="n">
        <v>10</v>
      </c>
      <c r="B11" s="1" t="s">
        <v>32</v>
      </c>
      <c r="C11" s="1" t="n">
        <v>2015</v>
      </c>
      <c r="D11" s="1" t="n">
        <v>92</v>
      </c>
      <c r="E11" s="1" t="n">
        <v>7</v>
      </c>
      <c r="F11" s="1" t="n">
        <v>6</v>
      </c>
      <c r="G11" s="1" t="n">
        <v>28</v>
      </c>
      <c r="H11" s="1" t="n">
        <v>51</v>
      </c>
      <c r="I11" s="1" t="n">
        <v>2.13</v>
      </c>
      <c r="J11" s="1" t="n">
        <v>0.65</v>
      </c>
      <c r="K11" s="1" t="n">
        <v>6.94</v>
      </c>
      <c r="L11" s="1" t="n">
        <v>0.212</v>
      </c>
      <c r="M11" s="1" t="n">
        <v>6.66</v>
      </c>
      <c r="N11" s="1" t="n">
        <v>34.9</v>
      </c>
    </row>
    <row r="12" customFormat="false" ht="14.25" hidden="false" customHeight="false" outlineLevel="0" collapsed="false">
      <c r="A12" s="1" t="n">
        <v>11</v>
      </c>
      <c r="B12" s="1" t="s">
        <v>33</v>
      </c>
      <c r="C12" s="1" t="n">
        <v>2015</v>
      </c>
      <c r="D12" s="1" t="n">
        <v>241</v>
      </c>
      <c r="E12" s="1" t="n">
        <v>52</v>
      </c>
      <c r="F12" s="1" t="n">
        <v>26</v>
      </c>
      <c r="G12" s="1" t="n">
        <v>99</v>
      </c>
      <c r="H12" s="1" t="n">
        <v>73</v>
      </c>
      <c r="I12" s="1" t="n">
        <v>1.47</v>
      </c>
      <c r="J12" s="1" t="n">
        <v>0.84</v>
      </c>
      <c r="K12" s="1" t="n">
        <v>2.58</v>
      </c>
      <c r="L12" s="1" t="n">
        <v>0.176</v>
      </c>
      <c r="M12" s="1" t="n">
        <v>6.79</v>
      </c>
      <c r="N12" s="1" t="n">
        <v>42.6</v>
      </c>
    </row>
    <row r="13" customFormat="false" ht="14.25" hidden="false" customHeight="false" outlineLevel="0" collapsed="false">
      <c r="A13" s="1" t="n">
        <v>12</v>
      </c>
      <c r="B13" s="1" t="s">
        <v>34</v>
      </c>
      <c r="C13" s="1" t="n">
        <v>2015</v>
      </c>
      <c r="D13" s="1" t="n">
        <v>20065</v>
      </c>
      <c r="E13" s="1" t="n">
        <v>2897</v>
      </c>
      <c r="F13" s="1" t="n">
        <v>13898</v>
      </c>
      <c r="G13" s="1" t="n">
        <v>593</v>
      </c>
      <c r="H13" s="1" t="n">
        <v>2678</v>
      </c>
      <c r="I13" s="1" t="n">
        <v>0.94</v>
      </c>
      <c r="J13" s="1" t="n">
        <v>0.85</v>
      </c>
      <c r="K13" s="1" t="n">
        <v>1.04</v>
      </c>
      <c r="L13" s="1" t="n">
        <v>0.225</v>
      </c>
      <c r="M13" s="1" t="n">
        <v>2.77</v>
      </c>
      <c r="N13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12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false" outlineLevel="0" collapsed="false">
      <c r="A2" s="1" t="n">
        <v>1</v>
      </c>
      <c r="B2" s="1" t="s">
        <v>51</v>
      </c>
      <c r="C2" s="1" t="n">
        <v>2022</v>
      </c>
      <c r="D2" s="1" t="n">
        <v>1226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0.59</v>
      </c>
      <c r="J2" s="1" t="n">
        <v>0.41</v>
      </c>
      <c r="K2" s="1" t="n">
        <v>0.87</v>
      </c>
      <c r="L2" s="1" t="s">
        <v>19</v>
      </c>
    </row>
    <row r="3" customFormat="false" ht="14.25" hidden="false" customHeight="false" outlineLevel="0" collapsed="false">
      <c r="A3" s="1" t="n">
        <v>2</v>
      </c>
      <c r="B3" s="1" t="s">
        <v>35</v>
      </c>
      <c r="C3" s="1" t="n">
        <v>2022</v>
      </c>
      <c r="D3" s="1" t="n">
        <v>291276</v>
      </c>
      <c r="E3" s="1" t="s">
        <v>19</v>
      </c>
      <c r="F3" s="1" t="s">
        <v>19</v>
      </c>
      <c r="G3" s="1" t="s">
        <v>19</v>
      </c>
      <c r="H3" s="1" t="s">
        <v>19</v>
      </c>
      <c r="I3" s="1" t="n">
        <v>0.24</v>
      </c>
      <c r="J3" s="1" t="n">
        <v>0.2</v>
      </c>
      <c r="K3" s="1" t="n">
        <v>0.3</v>
      </c>
      <c r="L3" s="1" t="s">
        <v>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6796875" defaultRowHeight="14.25" zeroHeight="false" outlineLevelRow="0" outlineLevelCol="0"/>
  <sheetData>
    <row r="1" customFormat="false" ht="15" hidden="false" customHeight="false" outlineLevel="0" collapsed="false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3" t="s">
        <v>37</v>
      </c>
      <c r="B2" s="4" t="s">
        <v>38</v>
      </c>
      <c r="C2" s="4" t="s">
        <v>39</v>
      </c>
      <c r="D2" s="4" t="s">
        <v>3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8</v>
      </c>
      <c r="J2" s="4" t="s">
        <v>9</v>
      </c>
      <c r="K2" s="4" t="s">
        <v>10</v>
      </c>
      <c r="L2" s="5" t="s">
        <v>11</v>
      </c>
    </row>
    <row r="3" customFormat="false" ht="15" hidden="false" customHeight="false" outlineLevel="0" collapsed="false">
      <c r="A3" s="6" t="n">
        <v>1</v>
      </c>
      <c r="B3" s="7" t="s">
        <v>54</v>
      </c>
      <c r="C3" s="7" t="n">
        <v>2013</v>
      </c>
      <c r="D3" s="7" t="n">
        <v>125242</v>
      </c>
      <c r="E3" s="7" t="s">
        <v>19</v>
      </c>
      <c r="F3" s="7" t="s">
        <v>19</v>
      </c>
      <c r="G3" s="7" t="s">
        <v>19</v>
      </c>
      <c r="H3" s="7" t="s">
        <v>19</v>
      </c>
      <c r="I3" s="8" t="n">
        <v>1.24</v>
      </c>
      <c r="J3" s="9" t="n">
        <v>1.17</v>
      </c>
      <c r="K3" s="9" t="n">
        <v>1.31</v>
      </c>
      <c r="L3" s="10" t="s">
        <v>19</v>
      </c>
    </row>
    <row r="4" customFormat="false" ht="15" hidden="false" customHeight="false" outlineLevel="0" collapsed="false">
      <c r="A4" s="6" t="n">
        <v>2</v>
      </c>
      <c r="B4" s="7" t="s">
        <v>55</v>
      </c>
      <c r="C4" s="11" t="n">
        <v>2015</v>
      </c>
      <c r="D4" s="7" t="n">
        <v>1073</v>
      </c>
      <c r="E4" s="7" t="s">
        <v>19</v>
      </c>
      <c r="F4" s="7" t="s">
        <v>19</v>
      </c>
      <c r="G4" s="7" t="s">
        <v>19</v>
      </c>
      <c r="H4" s="7" t="s">
        <v>19</v>
      </c>
      <c r="I4" s="11" t="n">
        <v>1.41</v>
      </c>
      <c r="J4" s="11" t="n">
        <v>0.4</v>
      </c>
      <c r="K4" s="7" t="n">
        <v>4.94</v>
      </c>
      <c r="L4" s="10" t="s">
        <v>19</v>
      </c>
    </row>
    <row r="5" customFormat="false" ht="14.2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13" t="s">
        <v>56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customFormat="false" ht="15" hidden="false" customHeight="false" outlineLevel="0" collapsed="false">
      <c r="A7" s="14" t="s">
        <v>37</v>
      </c>
      <c r="B7" s="15" t="s">
        <v>38</v>
      </c>
      <c r="C7" s="15" t="s">
        <v>39</v>
      </c>
      <c r="D7" s="15" t="s">
        <v>3</v>
      </c>
      <c r="E7" s="15" t="s">
        <v>40</v>
      </c>
      <c r="F7" s="15" t="s">
        <v>41</v>
      </c>
      <c r="G7" s="15" t="s">
        <v>42</v>
      </c>
      <c r="H7" s="15" t="s">
        <v>43</v>
      </c>
      <c r="I7" s="15" t="s">
        <v>8</v>
      </c>
      <c r="J7" s="15" t="s">
        <v>9</v>
      </c>
      <c r="K7" s="15" t="s">
        <v>10</v>
      </c>
      <c r="L7" s="16" t="s">
        <v>11</v>
      </c>
    </row>
    <row r="8" customFormat="false" ht="15" hidden="false" customHeight="false" outlineLevel="0" collapsed="false">
      <c r="A8" s="6" t="n">
        <v>1</v>
      </c>
      <c r="B8" s="7" t="s">
        <v>54</v>
      </c>
      <c r="C8" s="7" t="n">
        <v>2013</v>
      </c>
      <c r="D8" s="7" t="n">
        <v>125242</v>
      </c>
      <c r="E8" s="7" t="s">
        <v>19</v>
      </c>
      <c r="F8" s="7" t="s">
        <v>19</v>
      </c>
      <c r="G8" s="7" t="s">
        <v>19</v>
      </c>
      <c r="H8" s="7" t="s">
        <v>19</v>
      </c>
      <c r="I8" s="8" t="n">
        <v>0.96</v>
      </c>
      <c r="J8" s="9" t="n">
        <v>0.92</v>
      </c>
      <c r="K8" s="9" t="n">
        <v>1</v>
      </c>
      <c r="L8" s="10" t="s">
        <v>19</v>
      </c>
    </row>
    <row r="9" customFormat="false" ht="15" hidden="false" customHeight="false" outlineLevel="0" collapsed="false">
      <c r="A9" s="6" t="n">
        <v>2</v>
      </c>
      <c r="B9" s="7" t="s">
        <v>55</v>
      </c>
      <c r="C9" s="11" t="n">
        <v>2015</v>
      </c>
      <c r="D9" s="7" t="n">
        <v>1073</v>
      </c>
      <c r="E9" s="7" t="s">
        <v>19</v>
      </c>
      <c r="F9" s="7" t="s">
        <v>19</v>
      </c>
      <c r="G9" s="7" t="s">
        <v>19</v>
      </c>
      <c r="H9" s="7" t="s">
        <v>19</v>
      </c>
      <c r="I9" s="11" t="n">
        <v>0.28</v>
      </c>
      <c r="J9" s="11" t="n">
        <v>0.07</v>
      </c>
      <c r="K9" s="7" t="n">
        <v>1.15</v>
      </c>
      <c r="L9" s="10" t="s">
        <v>19</v>
      </c>
    </row>
    <row r="10" customFormat="false" ht="14.2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13" t="s">
        <v>57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customFormat="false" ht="15" hidden="false" customHeight="false" outlineLevel="0" collapsed="false">
      <c r="A12" s="14" t="s">
        <v>37</v>
      </c>
      <c r="B12" s="15" t="s">
        <v>38</v>
      </c>
      <c r="C12" s="15" t="s">
        <v>39</v>
      </c>
      <c r="D12" s="15" t="s">
        <v>3</v>
      </c>
      <c r="E12" s="15" t="s">
        <v>40</v>
      </c>
      <c r="F12" s="15" t="s">
        <v>41</v>
      </c>
      <c r="G12" s="15" t="s">
        <v>42</v>
      </c>
      <c r="H12" s="15" t="s">
        <v>43</v>
      </c>
      <c r="I12" s="15" t="s">
        <v>8</v>
      </c>
      <c r="J12" s="15" t="s">
        <v>9</v>
      </c>
      <c r="K12" s="15" t="s">
        <v>10</v>
      </c>
      <c r="L12" s="16" t="s">
        <v>11</v>
      </c>
    </row>
    <row r="13" customFormat="false" ht="15" hidden="false" customHeight="false" outlineLevel="0" collapsed="false">
      <c r="A13" s="6" t="n">
        <v>1</v>
      </c>
      <c r="B13" s="7" t="s">
        <v>54</v>
      </c>
      <c r="C13" s="7" t="n">
        <v>2013</v>
      </c>
      <c r="D13" s="7" t="n">
        <v>125242</v>
      </c>
      <c r="E13" s="7" t="s">
        <v>19</v>
      </c>
      <c r="F13" s="7" t="s">
        <v>19</v>
      </c>
      <c r="G13" s="7" t="s">
        <v>19</v>
      </c>
      <c r="H13" s="7" t="s">
        <v>19</v>
      </c>
      <c r="I13" s="8" t="n">
        <v>1.1</v>
      </c>
      <c r="J13" s="9" t="n">
        <v>1.07</v>
      </c>
      <c r="K13" s="9" t="n">
        <v>1.13</v>
      </c>
      <c r="L13" s="10" t="s">
        <v>19</v>
      </c>
    </row>
    <row r="14" customFormat="false" ht="15" hidden="false" customHeight="false" outlineLevel="0" collapsed="false">
      <c r="A14" s="6" t="n">
        <v>2</v>
      </c>
      <c r="B14" s="7" t="s">
        <v>55</v>
      </c>
      <c r="C14" s="11" t="n">
        <v>2015</v>
      </c>
      <c r="D14" s="7" t="n">
        <v>1073</v>
      </c>
      <c r="E14" s="7" t="s">
        <v>19</v>
      </c>
      <c r="F14" s="7" t="s">
        <v>19</v>
      </c>
      <c r="G14" s="7" t="s">
        <v>19</v>
      </c>
      <c r="H14" s="7" t="s">
        <v>19</v>
      </c>
      <c r="I14" s="11" t="n">
        <v>1.32</v>
      </c>
      <c r="J14" s="11" t="n">
        <v>0.69</v>
      </c>
      <c r="K14" s="7" t="n">
        <v>2.52</v>
      </c>
      <c r="L14" s="10" t="s">
        <v>19</v>
      </c>
    </row>
    <row r="15" customFormat="false" ht="14.2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13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customFormat="false" ht="15" hidden="false" customHeight="false" outlineLevel="0" collapsed="false">
      <c r="A17" s="14" t="s">
        <v>37</v>
      </c>
      <c r="B17" s="15" t="s">
        <v>38</v>
      </c>
      <c r="C17" s="15" t="s">
        <v>39</v>
      </c>
      <c r="D17" s="15" t="s">
        <v>3</v>
      </c>
      <c r="E17" s="15" t="s">
        <v>40</v>
      </c>
      <c r="F17" s="15" t="s">
        <v>41</v>
      </c>
      <c r="G17" s="15" t="s">
        <v>42</v>
      </c>
      <c r="H17" s="15" t="s">
        <v>43</v>
      </c>
      <c r="I17" s="15" t="s">
        <v>8</v>
      </c>
      <c r="J17" s="15" t="s">
        <v>9</v>
      </c>
      <c r="K17" s="15" t="s">
        <v>10</v>
      </c>
      <c r="L17" s="16" t="s">
        <v>11</v>
      </c>
    </row>
    <row r="18" customFormat="false" ht="15" hidden="false" customHeight="false" outlineLevel="0" collapsed="false">
      <c r="A18" s="6" t="n">
        <v>1</v>
      </c>
      <c r="B18" s="7" t="s">
        <v>54</v>
      </c>
      <c r="C18" s="7" t="n">
        <v>2013</v>
      </c>
      <c r="D18" s="7" t="n">
        <v>125242</v>
      </c>
      <c r="E18" s="7" t="s">
        <v>19</v>
      </c>
      <c r="F18" s="7" t="s">
        <v>19</v>
      </c>
      <c r="G18" s="7" t="s">
        <v>19</v>
      </c>
      <c r="H18" s="7" t="s">
        <v>19</v>
      </c>
      <c r="I18" s="8" t="n">
        <v>1.05</v>
      </c>
      <c r="J18" s="9" t="n">
        <v>1.02</v>
      </c>
      <c r="K18" s="9" t="n">
        <v>1.08</v>
      </c>
      <c r="L18" s="10" t="s">
        <v>19</v>
      </c>
    </row>
    <row r="19" customFormat="false" ht="15" hidden="false" customHeight="false" outlineLevel="0" collapsed="false">
      <c r="A19" s="6" t="n">
        <v>2</v>
      </c>
      <c r="B19" s="7" t="s">
        <v>55</v>
      </c>
      <c r="C19" s="11" t="n">
        <v>2015</v>
      </c>
      <c r="D19" s="7" t="n">
        <v>1073</v>
      </c>
      <c r="E19" s="7" t="s">
        <v>19</v>
      </c>
      <c r="F19" s="7" t="s">
        <v>19</v>
      </c>
      <c r="G19" s="7" t="s">
        <v>19</v>
      </c>
      <c r="H19" s="7" t="s">
        <v>19</v>
      </c>
      <c r="I19" s="9" t="n">
        <v>1.28</v>
      </c>
      <c r="J19" s="9" t="n">
        <v>0.52</v>
      </c>
      <c r="K19" s="7" t="n">
        <v>3.12</v>
      </c>
      <c r="L19" s="10" t="s">
        <v>19</v>
      </c>
    </row>
    <row r="20" customFormat="false" ht="14.2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13" t="s">
        <v>59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customFormat="false" ht="15" hidden="false" customHeight="false" outlineLevel="0" collapsed="false">
      <c r="A22" s="14" t="s">
        <v>37</v>
      </c>
      <c r="B22" s="15" t="s">
        <v>38</v>
      </c>
      <c r="C22" s="15" t="s">
        <v>39</v>
      </c>
      <c r="D22" s="15" t="s">
        <v>3</v>
      </c>
      <c r="E22" s="15" t="s">
        <v>40</v>
      </c>
      <c r="F22" s="15" t="s">
        <v>41</v>
      </c>
      <c r="G22" s="15" t="s">
        <v>42</v>
      </c>
      <c r="H22" s="15" t="s">
        <v>43</v>
      </c>
      <c r="I22" s="15" t="s">
        <v>8</v>
      </c>
      <c r="J22" s="15" t="s">
        <v>9</v>
      </c>
      <c r="K22" s="15" t="s">
        <v>10</v>
      </c>
      <c r="L22" s="16" t="s">
        <v>11</v>
      </c>
    </row>
    <row r="23" customFormat="false" ht="15" hidden="false" customHeight="false" outlineLevel="0" collapsed="false">
      <c r="A23" s="6" t="n">
        <v>1</v>
      </c>
      <c r="B23" s="7" t="s">
        <v>54</v>
      </c>
      <c r="C23" s="7" t="n">
        <v>2013</v>
      </c>
      <c r="D23" s="7" t="n">
        <v>125242</v>
      </c>
      <c r="E23" s="7" t="s">
        <v>19</v>
      </c>
      <c r="F23" s="7" t="s">
        <v>19</v>
      </c>
      <c r="G23" s="7" t="s">
        <v>19</v>
      </c>
      <c r="H23" s="7" t="s">
        <v>19</v>
      </c>
      <c r="I23" s="8" t="n">
        <v>0.76</v>
      </c>
      <c r="J23" s="9" t="n">
        <v>0.71</v>
      </c>
      <c r="K23" s="9" t="n">
        <v>0.82</v>
      </c>
      <c r="L23" s="10" t="s">
        <v>19</v>
      </c>
    </row>
    <row r="24" customFormat="false" ht="15" hidden="false" customHeight="false" outlineLevel="0" collapsed="false">
      <c r="A24" s="6" t="n">
        <v>2</v>
      </c>
      <c r="B24" s="7" t="s">
        <v>55</v>
      </c>
      <c r="C24" s="11" t="n">
        <v>2015</v>
      </c>
      <c r="D24" s="7" t="n">
        <v>1073</v>
      </c>
      <c r="E24" s="7" t="s">
        <v>19</v>
      </c>
      <c r="F24" s="7" t="s">
        <v>19</v>
      </c>
      <c r="G24" s="7" t="s">
        <v>19</v>
      </c>
      <c r="H24" s="7" t="s">
        <v>19</v>
      </c>
      <c r="I24" s="7" t="n">
        <v>0.44</v>
      </c>
      <c r="J24" s="7" t="n">
        <v>0.1</v>
      </c>
      <c r="K24" s="7" t="n">
        <v>1.87</v>
      </c>
      <c r="L24" s="10" t="s">
        <v>19</v>
      </c>
    </row>
  </sheetData>
  <mergeCells count="5">
    <mergeCell ref="A1:L1"/>
    <mergeCell ref="A6:L6"/>
    <mergeCell ref="A11:L11"/>
    <mergeCell ref="A16:L16"/>
    <mergeCell ref="A21:L2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Z1" activeCellId="0" sqref="CZ1"/>
    </sheetView>
  </sheetViews>
  <sheetFormatPr defaultColWidth="9.06640625" defaultRowHeight="14.25" zeroHeight="false" outlineLevelRow="0" outlineLevelCol="0"/>
  <sheetData>
    <row r="1" customFormat="false" ht="15" hidden="false" customHeight="fals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O1" s="18" t="s">
        <v>36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C1" s="17" t="s">
        <v>60</v>
      </c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Q1" s="17" t="s">
        <v>61</v>
      </c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E1" s="17" t="s">
        <v>62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S1" s="18" t="s">
        <v>63</v>
      </c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</row>
    <row r="2" customFormat="false" ht="15" hidden="false" customHeight="false" outlineLevel="0" collapsed="false">
      <c r="A2" s="19" t="s">
        <v>37</v>
      </c>
      <c r="B2" s="20" t="s">
        <v>38</v>
      </c>
      <c r="C2" s="20" t="s">
        <v>39</v>
      </c>
      <c r="D2" s="20" t="s">
        <v>3</v>
      </c>
      <c r="E2" s="20" t="s">
        <v>40</v>
      </c>
      <c r="F2" s="20" t="s">
        <v>41</v>
      </c>
      <c r="G2" s="20" t="s">
        <v>42</v>
      </c>
      <c r="H2" s="20" t="s">
        <v>43</v>
      </c>
      <c r="I2" s="20" t="s">
        <v>8</v>
      </c>
      <c r="J2" s="20" t="s">
        <v>64</v>
      </c>
      <c r="K2" s="20" t="s">
        <v>65</v>
      </c>
      <c r="L2" s="20" t="s">
        <v>66</v>
      </c>
      <c r="O2" s="21" t="s">
        <v>37</v>
      </c>
      <c r="P2" s="22" t="s">
        <v>38</v>
      </c>
      <c r="Q2" s="22" t="s">
        <v>39</v>
      </c>
      <c r="R2" s="22" t="s">
        <v>3</v>
      </c>
      <c r="S2" s="22" t="s">
        <v>40</v>
      </c>
      <c r="T2" s="22" t="s">
        <v>41</v>
      </c>
      <c r="U2" s="22" t="s">
        <v>42</v>
      </c>
      <c r="V2" s="22" t="s">
        <v>43</v>
      </c>
      <c r="W2" s="22" t="s">
        <v>8</v>
      </c>
      <c r="X2" s="22" t="s">
        <v>64</v>
      </c>
      <c r="Y2" s="22" t="s">
        <v>65</v>
      </c>
      <c r="Z2" s="22" t="s">
        <v>66</v>
      </c>
      <c r="AC2" s="19" t="s">
        <v>37</v>
      </c>
      <c r="AD2" s="20" t="s">
        <v>38</v>
      </c>
      <c r="AE2" s="20" t="s">
        <v>39</v>
      </c>
      <c r="AF2" s="20" t="s">
        <v>3</v>
      </c>
      <c r="AG2" s="20" t="s">
        <v>40</v>
      </c>
      <c r="AH2" s="20" t="s">
        <v>41</v>
      </c>
      <c r="AI2" s="20" t="s">
        <v>42</v>
      </c>
      <c r="AJ2" s="20" t="s">
        <v>43</v>
      </c>
      <c r="AK2" s="20" t="s">
        <v>8</v>
      </c>
      <c r="AL2" s="20" t="s">
        <v>64</v>
      </c>
      <c r="AM2" s="20" t="s">
        <v>65</v>
      </c>
      <c r="AN2" s="20" t="s">
        <v>66</v>
      </c>
      <c r="AQ2" s="19" t="s">
        <v>37</v>
      </c>
      <c r="AR2" s="20" t="s">
        <v>38</v>
      </c>
      <c r="AS2" s="20" t="s">
        <v>39</v>
      </c>
      <c r="AT2" s="20" t="s">
        <v>3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8</v>
      </c>
      <c r="AZ2" s="20" t="s">
        <v>64</v>
      </c>
      <c r="BA2" s="20" t="s">
        <v>65</v>
      </c>
      <c r="BB2" s="20" t="s">
        <v>66</v>
      </c>
      <c r="BE2" s="19" t="s">
        <v>37</v>
      </c>
      <c r="BF2" s="20" t="s">
        <v>38</v>
      </c>
      <c r="BG2" s="20" t="s">
        <v>39</v>
      </c>
      <c r="BH2" s="20" t="s">
        <v>3</v>
      </c>
      <c r="BI2" s="20" t="s">
        <v>40</v>
      </c>
      <c r="BJ2" s="20" t="s">
        <v>41</v>
      </c>
      <c r="BK2" s="20" t="s">
        <v>42</v>
      </c>
      <c r="BL2" s="20" t="s">
        <v>43</v>
      </c>
      <c r="BM2" s="20" t="s">
        <v>8</v>
      </c>
      <c r="BN2" s="20" t="s">
        <v>64</v>
      </c>
      <c r="BO2" s="20" t="s">
        <v>65</v>
      </c>
      <c r="BP2" s="20" t="s">
        <v>66</v>
      </c>
      <c r="BS2" s="21" t="s">
        <v>37</v>
      </c>
      <c r="BT2" s="22" t="s">
        <v>38</v>
      </c>
      <c r="BU2" s="22" t="s">
        <v>39</v>
      </c>
      <c r="BV2" s="22" t="s">
        <v>3</v>
      </c>
      <c r="BW2" s="22" t="s">
        <v>40</v>
      </c>
      <c r="BX2" s="22" t="s">
        <v>41</v>
      </c>
      <c r="BY2" s="22" t="s">
        <v>42</v>
      </c>
      <c r="BZ2" s="22" t="s">
        <v>43</v>
      </c>
      <c r="CA2" s="22" t="s">
        <v>8</v>
      </c>
      <c r="CB2" s="22" t="s">
        <v>64</v>
      </c>
      <c r="CC2" s="22" t="s">
        <v>65</v>
      </c>
      <c r="CD2" s="22" t="s">
        <v>66</v>
      </c>
    </row>
    <row r="3" customFormat="false" ht="15" hidden="false" customHeight="false" outlineLevel="0" collapsed="false">
      <c r="A3" s="23" t="n">
        <v>1</v>
      </c>
      <c r="B3" s="24" t="s">
        <v>44</v>
      </c>
      <c r="C3" s="24" t="n">
        <v>2023</v>
      </c>
      <c r="D3" s="23" t="n">
        <v>53279</v>
      </c>
      <c r="E3" s="23" t="n">
        <v>4831</v>
      </c>
      <c r="F3" s="23" t="n">
        <f aca="false">19811-4831</f>
        <v>14980</v>
      </c>
      <c r="G3" s="23" t="n">
        <v>3139</v>
      </c>
      <c r="H3" s="23" t="n">
        <f aca="false">13296-3139</f>
        <v>10157</v>
      </c>
      <c r="I3" s="23" t="n">
        <v>1.06</v>
      </c>
      <c r="J3" s="23" t="n">
        <v>1</v>
      </c>
      <c r="K3" s="23" t="n">
        <v>1.12</v>
      </c>
      <c r="L3" s="25" t="n">
        <v>0.1</v>
      </c>
      <c r="O3" s="21" t="n">
        <v>1</v>
      </c>
      <c r="P3" s="21" t="s">
        <v>44</v>
      </c>
      <c r="Q3" s="21" t="n">
        <v>2023</v>
      </c>
      <c r="R3" s="21" t="n">
        <v>53279</v>
      </c>
      <c r="S3" s="21" t="n">
        <v>550</v>
      </c>
      <c r="T3" s="21" t="n">
        <f aca="false">2873-550</f>
        <v>2323</v>
      </c>
      <c r="U3" s="21" t="n">
        <v>6757</v>
      </c>
      <c r="V3" s="21" t="n">
        <f aca="false">47693-6757</f>
        <v>40936</v>
      </c>
      <c r="W3" s="26" t="n">
        <v>1.11</v>
      </c>
      <c r="X3" s="27" t="n">
        <v>1</v>
      </c>
      <c r="Y3" s="21" t="n">
        <v>1.24</v>
      </c>
      <c r="Z3" s="28" t="s">
        <v>45</v>
      </c>
      <c r="AC3" s="23" t="n">
        <v>1</v>
      </c>
      <c r="AD3" s="24" t="s">
        <v>44</v>
      </c>
      <c r="AE3" s="29" t="n">
        <v>2023</v>
      </c>
      <c r="AF3" s="23" t="n">
        <v>53279</v>
      </c>
      <c r="AG3" s="23" t="n">
        <v>6390</v>
      </c>
      <c r="AH3" s="30" t="n">
        <f aca="false">26386-6390</f>
        <v>19996</v>
      </c>
      <c r="AI3" s="30" t="n">
        <v>1580</v>
      </c>
      <c r="AJ3" s="30" t="n">
        <f aca="false">6721-1580</f>
        <v>5141</v>
      </c>
      <c r="AK3" s="25" t="n">
        <v>1.04</v>
      </c>
      <c r="AL3" s="23" t="n">
        <v>0.98</v>
      </c>
      <c r="AM3" s="23" t="n">
        <v>1.1</v>
      </c>
      <c r="AN3" s="23" t="n">
        <v>0.23</v>
      </c>
      <c r="AQ3" s="23" t="n">
        <v>1</v>
      </c>
      <c r="AR3" s="24" t="s">
        <v>46</v>
      </c>
      <c r="AS3" s="29" t="n">
        <v>2021</v>
      </c>
      <c r="AT3" s="23" t="n">
        <v>346141</v>
      </c>
      <c r="AU3" s="23" t="s">
        <v>19</v>
      </c>
      <c r="AV3" s="23" t="s">
        <v>19</v>
      </c>
      <c r="AW3" s="23" t="s">
        <v>19</v>
      </c>
      <c r="AX3" s="25" t="s">
        <v>19</v>
      </c>
      <c r="AY3" s="25" t="n">
        <v>1.1</v>
      </c>
      <c r="AZ3" s="23" t="n">
        <v>1.05</v>
      </c>
      <c r="BA3" s="23" t="n">
        <v>1.14</v>
      </c>
      <c r="BB3" s="23" t="s">
        <v>23</v>
      </c>
      <c r="BE3" s="23" t="n">
        <v>1</v>
      </c>
      <c r="BF3" s="31" t="s">
        <v>46</v>
      </c>
      <c r="BG3" s="29" t="n">
        <v>2021</v>
      </c>
      <c r="BH3" s="29" t="n">
        <v>346141</v>
      </c>
      <c r="BI3" s="30" t="s">
        <v>19</v>
      </c>
      <c r="BJ3" s="30" t="s">
        <v>19</v>
      </c>
      <c r="BK3" s="30" t="s">
        <v>19</v>
      </c>
      <c r="BL3" s="30" t="s">
        <v>19</v>
      </c>
      <c r="BM3" s="32" t="n">
        <v>0.933</v>
      </c>
      <c r="BN3" s="32" t="n">
        <v>0.9</v>
      </c>
      <c r="BO3" s="23" t="n">
        <v>0.968</v>
      </c>
      <c r="BP3" s="23" t="s">
        <v>19</v>
      </c>
      <c r="BS3" s="21" t="n">
        <v>1</v>
      </c>
      <c r="BT3" s="21" t="s">
        <v>67</v>
      </c>
      <c r="BU3" s="33" t="n">
        <v>2022</v>
      </c>
      <c r="BV3" s="21" t="n">
        <v>1226</v>
      </c>
      <c r="BW3" s="21" t="s">
        <v>19</v>
      </c>
      <c r="BX3" s="21" t="s">
        <v>19</v>
      </c>
      <c r="BY3" s="21" t="s">
        <v>19</v>
      </c>
      <c r="BZ3" s="21" t="s">
        <v>19</v>
      </c>
      <c r="CA3" s="26" t="n">
        <v>0.59</v>
      </c>
      <c r="CB3" s="26" t="n">
        <v>0.41</v>
      </c>
      <c r="CC3" s="26" t="n">
        <v>0.87</v>
      </c>
      <c r="CD3" s="28" t="s">
        <v>19</v>
      </c>
    </row>
    <row r="4" customFormat="false" ht="15" hidden="false" customHeight="false" outlineLevel="0" collapsed="false">
      <c r="A4" s="23" t="n">
        <v>2</v>
      </c>
      <c r="B4" s="24" t="s">
        <v>68</v>
      </c>
      <c r="C4" s="24" t="n">
        <v>2022</v>
      </c>
      <c r="D4" s="23" t="n">
        <v>27</v>
      </c>
      <c r="E4" s="23" t="n">
        <v>10</v>
      </c>
      <c r="F4" s="23" t="n">
        <v>5</v>
      </c>
      <c r="G4" s="23" t="n">
        <v>7</v>
      </c>
      <c r="H4" s="23" t="n">
        <v>5</v>
      </c>
      <c r="I4" s="32" t="n">
        <v>1.43</v>
      </c>
      <c r="J4" s="32" t="n">
        <v>0.3</v>
      </c>
      <c r="K4" s="23" t="n">
        <v>6.88</v>
      </c>
      <c r="L4" s="23" t="n">
        <v>0.24</v>
      </c>
      <c r="O4" s="21" t="n">
        <v>2</v>
      </c>
      <c r="P4" s="21" t="s">
        <v>46</v>
      </c>
      <c r="Q4" s="21" t="n">
        <v>2021</v>
      </c>
      <c r="R4" s="21" t="n">
        <v>346141</v>
      </c>
      <c r="S4" s="21" t="n">
        <v>2748</v>
      </c>
      <c r="T4" s="21" t="n">
        <f aca="false">13878-2748</f>
        <v>11130</v>
      </c>
      <c r="U4" s="21" t="n">
        <v>40083</v>
      </c>
      <c r="V4" s="21" t="n">
        <f aca="false">324194-40083</f>
        <v>284111</v>
      </c>
      <c r="W4" s="26" t="n">
        <v>1.773</v>
      </c>
      <c r="X4" s="26" t="n">
        <v>1.649</v>
      </c>
      <c r="Y4" s="21" t="n">
        <v>1.905</v>
      </c>
      <c r="Z4" s="34" t="s">
        <v>23</v>
      </c>
      <c r="AC4" s="23" t="n">
        <v>2</v>
      </c>
      <c r="AD4" s="24" t="s">
        <v>46</v>
      </c>
      <c r="AE4" s="35" t="n">
        <v>2021</v>
      </c>
      <c r="AF4" s="30" t="n">
        <v>346141</v>
      </c>
      <c r="AG4" s="23" t="n">
        <f aca="false">23616+8751+4171</f>
        <v>36538</v>
      </c>
      <c r="AH4" s="23" t="n">
        <f aca="false">(173114-23616)+(77376-8751)+(36679-4171)</f>
        <v>250631</v>
      </c>
      <c r="AI4" s="23" t="n">
        <v>8049</v>
      </c>
      <c r="AJ4" s="30" t="n">
        <f aca="false">58972-8049</f>
        <v>50923</v>
      </c>
      <c r="AK4" s="23" t="n">
        <v>0.92</v>
      </c>
      <c r="AL4" s="23" t="n">
        <v>0.9</v>
      </c>
      <c r="AM4" s="23" t="n">
        <v>0.95</v>
      </c>
      <c r="AN4" s="23" t="s">
        <v>50</v>
      </c>
      <c r="AQ4" s="23" t="n">
        <v>2</v>
      </c>
      <c r="AR4" s="24" t="s">
        <v>69</v>
      </c>
      <c r="AS4" s="29" t="n">
        <v>2015</v>
      </c>
      <c r="AT4" s="23" t="n">
        <v>837</v>
      </c>
      <c r="AU4" s="30" t="n">
        <f aca="false">837*0.485*0.311</f>
        <v>126.248895</v>
      </c>
      <c r="AV4" s="30" t="n">
        <f aca="false">837*0.485*(1-0.311)</f>
        <v>279.696105</v>
      </c>
      <c r="AW4" s="30" t="n">
        <f aca="false">(837*(0.059*0.245))+(837*(0.406*0.227))+(837*(0.05*0.214))</f>
        <v>98.194329</v>
      </c>
      <c r="AX4" s="30" t="n">
        <f aca="false">(837*(0.059*(1-0.245)))+(837*(0.406*(1-0.227)))+(837*(0.05*(1-0.214)))</f>
        <v>332.860671</v>
      </c>
      <c r="AY4" s="23" t="n">
        <v>1.53</v>
      </c>
      <c r="AZ4" s="23" t="n">
        <v>1.12</v>
      </c>
      <c r="BA4" s="23" t="n">
        <v>2.08</v>
      </c>
      <c r="BB4" s="23" t="n">
        <v>0.0069</v>
      </c>
      <c r="BE4" s="23" t="n">
        <v>2</v>
      </c>
      <c r="BF4" s="24" t="s">
        <v>69</v>
      </c>
      <c r="BG4" s="29" t="n">
        <v>2015</v>
      </c>
      <c r="BH4" s="24" t="n">
        <v>837</v>
      </c>
      <c r="BI4" s="30" t="n">
        <f aca="false">(837*0.224*0.327)+(837*0.089*0.273)</f>
        <v>81.645165</v>
      </c>
      <c r="BJ4" s="30" t="n">
        <f aca="false">(837*0.224*(1-0.327))+(837*0.089*(1-0.273))</f>
        <v>180.335835</v>
      </c>
      <c r="BK4" s="30" t="n">
        <f aca="false">(837*0.449*0.258)+(837*0.238*0.359)</f>
        <v>168.474708</v>
      </c>
      <c r="BL4" s="30" t="n">
        <f aca="false">(837*0.449*(1-0.258))+(837*0.238*(1-0.359))</f>
        <v>406.544292</v>
      </c>
      <c r="BM4" s="23" t="n">
        <v>1.1</v>
      </c>
      <c r="BN4" s="23" t="n">
        <v>0.8</v>
      </c>
      <c r="BO4" s="23" t="n">
        <v>1.52</v>
      </c>
      <c r="BP4" s="23" t="n">
        <v>0.542</v>
      </c>
      <c r="BS4" s="21" t="n">
        <v>2</v>
      </c>
      <c r="BT4" s="21" t="s">
        <v>70</v>
      </c>
      <c r="BU4" s="36" t="n">
        <v>2022</v>
      </c>
      <c r="BV4" s="21" t="n">
        <v>291276</v>
      </c>
      <c r="BW4" s="21" t="s">
        <v>19</v>
      </c>
      <c r="BX4" s="21" t="s">
        <v>19</v>
      </c>
      <c r="BY4" s="21" t="s">
        <v>19</v>
      </c>
      <c r="BZ4" s="21" t="s">
        <v>19</v>
      </c>
      <c r="CA4" s="21" t="n">
        <v>0.24</v>
      </c>
      <c r="CB4" s="21" t="n">
        <v>0.2</v>
      </c>
      <c r="CC4" s="21" t="n">
        <v>0.3</v>
      </c>
      <c r="CD4" s="34" t="s">
        <v>19</v>
      </c>
    </row>
    <row r="5" customFormat="false" ht="15" hidden="false" customHeight="false" outlineLevel="0" collapsed="false">
      <c r="A5" s="23" t="n">
        <v>3</v>
      </c>
      <c r="B5" s="24" t="s">
        <v>71</v>
      </c>
      <c r="C5" s="24" t="n">
        <v>2021</v>
      </c>
      <c r="D5" s="23" t="n">
        <v>40</v>
      </c>
      <c r="E5" s="23" t="n">
        <v>8</v>
      </c>
      <c r="F5" s="23" t="n">
        <f aca="false">19-8</f>
        <v>11</v>
      </c>
      <c r="G5" s="23" t="n">
        <v>2</v>
      </c>
      <c r="H5" s="23" t="n">
        <f aca="false">21-2</f>
        <v>19</v>
      </c>
      <c r="I5" s="23" t="n">
        <v>8.25</v>
      </c>
      <c r="J5" s="23" t="n">
        <v>1.8</v>
      </c>
      <c r="K5" s="23" t="n">
        <v>37.88</v>
      </c>
      <c r="L5" s="23" t="n">
        <v>0.0275</v>
      </c>
      <c r="O5" s="21"/>
      <c r="P5" s="21"/>
      <c r="Q5" s="21"/>
      <c r="R5" s="21"/>
      <c r="AC5" s="23" t="n">
        <v>3</v>
      </c>
      <c r="AD5" s="24" t="s">
        <v>67</v>
      </c>
      <c r="AE5" s="29" t="n">
        <v>2022</v>
      </c>
      <c r="AF5" s="23" t="n">
        <v>1226</v>
      </c>
      <c r="AG5" s="23" t="s">
        <v>19</v>
      </c>
      <c r="AH5" s="23" t="s">
        <v>19</v>
      </c>
      <c r="AI5" s="23" t="s">
        <v>19</v>
      </c>
      <c r="AJ5" s="25" t="s">
        <v>19</v>
      </c>
      <c r="AK5" s="23" t="n">
        <v>0.38</v>
      </c>
      <c r="AL5" s="23" t="n">
        <v>0.29</v>
      </c>
      <c r="AM5" s="23" t="n">
        <v>0.5</v>
      </c>
      <c r="AN5" s="23" t="s">
        <v>23</v>
      </c>
      <c r="AQ5" s="23" t="n">
        <v>3</v>
      </c>
      <c r="AR5" s="24" t="s">
        <v>72</v>
      </c>
      <c r="AS5" s="29" t="n">
        <v>2015</v>
      </c>
      <c r="AT5" s="23" t="n">
        <v>4599</v>
      </c>
      <c r="AU5" s="30" t="n">
        <f aca="false">4599*0.464*0.47</f>
        <v>1002.94992</v>
      </c>
      <c r="AV5" s="30" t="n">
        <f aca="false">4599*0.464*(1-0.47)</f>
        <v>1130.98608</v>
      </c>
      <c r="AW5" s="30" t="n">
        <f aca="false">(4599*(0.088*0.329))+(4599*(0.408*0.333))+(4599*(0.039*0.405))</f>
        <v>830.629989</v>
      </c>
      <c r="AX5" s="30" t="n">
        <f aca="false">(4599*(0.088*(1-0.329)))+(4599*(0.408*(1-0.333)))+(4599*(0.039*(1-0.405)))</f>
        <v>1629.835011</v>
      </c>
      <c r="AY5" s="25" t="n">
        <v>1.4</v>
      </c>
      <c r="AZ5" s="23" t="n">
        <v>1.2</v>
      </c>
      <c r="BA5" s="23" t="n">
        <v>1.6</v>
      </c>
      <c r="BB5" s="23" t="s">
        <v>23</v>
      </c>
      <c r="BE5" s="23" t="n">
        <v>3</v>
      </c>
      <c r="BF5" s="24" t="s">
        <v>72</v>
      </c>
      <c r="BG5" s="29" t="n">
        <v>2015</v>
      </c>
      <c r="BH5" s="24" t="n">
        <v>4599</v>
      </c>
      <c r="BI5" s="30" t="s">
        <v>19</v>
      </c>
      <c r="BJ5" s="30" t="s">
        <v>19</v>
      </c>
      <c r="BK5" s="30" t="s">
        <v>19</v>
      </c>
      <c r="BL5" s="30" t="s">
        <v>19</v>
      </c>
      <c r="BM5" s="23" t="s">
        <v>19</v>
      </c>
      <c r="BN5" s="23" t="s">
        <v>19</v>
      </c>
      <c r="BO5" s="23" t="s">
        <v>19</v>
      </c>
      <c r="BP5" s="23" t="s">
        <v>19</v>
      </c>
    </row>
    <row r="6" customFormat="false" ht="15" hidden="false" customHeight="false" outlineLevel="0" collapsed="false">
      <c r="A6" s="23" t="n">
        <v>4</v>
      </c>
      <c r="B6" s="24" t="s">
        <v>46</v>
      </c>
      <c r="C6" s="24" t="n">
        <v>2021</v>
      </c>
      <c r="D6" s="23" t="n">
        <v>346141</v>
      </c>
      <c r="E6" s="23" t="n">
        <v>30250</v>
      </c>
      <c r="F6" s="23" t="n">
        <f aca="false">204134-30250</f>
        <v>173884</v>
      </c>
      <c r="G6" s="23" t="n">
        <v>14337</v>
      </c>
      <c r="H6" s="23" t="n">
        <f aca="false">142007-14337</f>
        <v>127670</v>
      </c>
      <c r="I6" s="32" t="n">
        <v>1.454</v>
      </c>
      <c r="J6" s="32" t="n">
        <v>1.396</v>
      </c>
      <c r="K6" s="23" t="n">
        <v>1.515</v>
      </c>
      <c r="L6" s="23" t="s">
        <v>23</v>
      </c>
      <c r="O6" s="21"/>
      <c r="P6" s="21"/>
      <c r="Q6" s="21"/>
      <c r="R6" s="21"/>
      <c r="AC6" s="23" t="n">
        <v>4</v>
      </c>
      <c r="AD6" s="24" t="s">
        <v>69</v>
      </c>
      <c r="AE6" s="29" t="n">
        <v>2015</v>
      </c>
      <c r="AF6" s="23" t="n">
        <v>837</v>
      </c>
      <c r="AG6" s="30" t="n">
        <f aca="false">837*0.576*0.293</f>
        <v>141.258816</v>
      </c>
      <c r="AH6" s="30" t="n">
        <f aca="false">837*0.576*(1-0.293)</f>
        <v>340.853184</v>
      </c>
      <c r="AI6" s="30" t="n">
        <f aca="false">(837*(0.253*0.245))+(837*(0.171*0.224))</f>
        <v>83.941893</v>
      </c>
      <c r="AJ6" s="30" t="n">
        <f aca="false">(837*(0.253*(1-0.245)))+(837*(0.171*(1-0.224)))</f>
        <v>270.946107</v>
      </c>
      <c r="AK6" s="23" t="n">
        <v>1.33</v>
      </c>
      <c r="AL6" s="23" t="n">
        <v>0.97</v>
      </c>
      <c r="AM6" s="23" t="n">
        <v>1.83</v>
      </c>
      <c r="AN6" s="23" t="n">
        <v>0.072</v>
      </c>
      <c r="AQ6" s="23" t="n">
        <v>4</v>
      </c>
      <c r="AR6" s="24" t="s">
        <v>73</v>
      </c>
      <c r="AS6" s="29" t="n">
        <v>2015</v>
      </c>
      <c r="AT6" s="23" t="n">
        <v>4034</v>
      </c>
      <c r="AU6" s="30" t="n">
        <f aca="false">4034*0.457*0.327</f>
        <v>602.836926</v>
      </c>
      <c r="AV6" s="30" t="n">
        <f aca="false">4034*0.457*(1-0.327)</f>
        <v>1240.701074</v>
      </c>
      <c r="AW6" s="30" t="n">
        <f aca="false">(4043*0.087*0.353)+(4034*0.44*0.358)+(4034*0.009*0.246)</f>
        <v>768.531529</v>
      </c>
      <c r="AX6" s="30" t="n">
        <f aca="false">(4043*0.087*(1-0.353))+(4034*0.44*(1-0.358))+(4034*0.009*(1-0.246))</f>
        <v>1394.475471</v>
      </c>
      <c r="AY6" s="23" t="n">
        <v>1.13</v>
      </c>
      <c r="AZ6" s="23" t="n">
        <v>0.99</v>
      </c>
      <c r="BA6" s="23" t="n">
        <v>1.29</v>
      </c>
      <c r="BB6" s="23" t="n">
        <v>0.058</v>
      </c>
      <c r="BE6" s="23" t="n">
        <v>4</v>
      </c>
      <c r="BF6" s="24" t="s">
        <v>73</v>
      </c>
      <c r="BG6" s="29" t="n">
        <v>2015</v>
      </c>
      <c r="BH6" s="24" t="n">
        <v>4034</v>
      </c>
      <c r="BI6" s="30" t="n">
        <f aca="false">(4034*0.052*0.317)+(4034*0.033*0.282)</f>
        <v>104.03686</v>
      </c>
      <c r="BJ6" s="30" t="n">
        <f aca="false">(4034*0.052*(1-0.317))+(4034*0.033*(1-0.282))</f>
        <v>238.85314</v>
      </c>
      <c r="BK6" s="30" t="n">
        <f aca="false">(4034*0.806*0.307)+(4034*0.109*0.366)</f>
        <v>1159.113424</v>
      </c>
      <c r="BL6" s="30" t="n">
        <f aca="false">(4034*0.806*(1-0.307))+(4034*0.109*(1-0.366))</f>
        <v>2531.996576</v>
      </c>
      <c r="BM6" s="23" t="n">
        <v>0.95</v>
      </c>
      <c r="BN6" s="23" t="n">
        <v>0.75</v>
      </c>
      <c r="BO6" s="23" t="n">
        <v>1.21</v>
      </c>
      <c r="BP6" s="23" t="n">
        <v>0.68</v>
      </c>
    </row>
    <row r="7" customFormat="false" ht="15" hidden="false" customHeight="false" outlineLevel="0" collapsed="false">
      <c r="A7" s="23" t="n">
        <v>5</v>
      </c>
      <c r="B7" s="24" t="s">
        <v>69</v>
      </c>
      <c r="C7" s="24" t="n">
        <v>2015</v>
      </c>
      <c r="D7" s="23" t="n">
        <v>837</v>
      </c>
      <c r="E7" s="30" t="n">
        <f aca="false">837*0.52*0.331</f>
        <v>144.06444</v>
      </c>
      <c r="F7" s="30" t="n">
        <f aca="false">837*0.52*(1-0.331)</f>
        <v>291.17556</v>
      </c>
      <c r="G7" s="30" t="n">
        <f aca="false">837*0.48*0.201</f>
        <v>80.75376</v>
      </c>
      <c r="H7" s="30" t="n">
        <f aca="false">837*0.48*(1-0.201)</f>
        <v>321.00624</v>
      </c>
      <c r="I7" s="23" t="n">
        <v>2.3</v>
      </c>
      <c r="J7" s="23" t="n">
        <v>1.5</v>
      </c>
      <c r="K7" s="23" t="n">
        <v>3.5</v>
      </c>
      <c r="L7" s="23" t="s">
        <v>23</v>
      </c>
      <c r="O7" s="18" t="s">
        <v>47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C7" s="23" t="n">
        <v>5</v>
      </c>
      <c r="AD7" s="24" t="s">
        <v>72</v>
      </c>
      <c r="AE7" s="29" t="n">
        <v>2015</v>
      </c>
      <c r="AF7" s="23" t="n">
        <v>4599</v>
      </c>
      <c r="AG7" s="30" t="n">
        <f aca="false">4599*0.328*0.392</f>
        <v>591.321024</v>
      </c>
      <c r="AH7" s="30" t="n">
        <f aca="false">4599*0.328*(1-0.392)</f>
        <v>917.150976</v>
      </c>
      <c r="AI7" s="30" t="n">
        <f aca="false">(4599*(0.322*0.395))+(4599*(0.35*0.405))</f>
        <v>1236.85506</v>
      </c>
      <c r="AJ7" s="30" t="n">
        <f aca="false">(4599*(0.322*(1-0.395)))+(4599*(0.35*(1-0.405)))</f>
        <v>1853.67294</v>
      </c>
      <c r="AK7" s="23" t="n">
        <v>0.97</v>
      </c>
      <c r="AL7" s="23" t="n">
        <v>0.85</v>
      </c>
      <c r="AM7" s="23" t="n">
        <v>1.09</v>
      </c>
      <c r="AN7" s="23" t="n">
        <v>0.59</v>
      </c>
      <c r="AQ7" s="23" t="n">
        <v>5</v>
      </c>
      <c r="AR7" s="24" t="s">
        <v>74</v>
      </c>
      <c r="AS7" s="29" t="n">
        <v>2015</v>
      </c>
      <c r="AT7" s="23" t="n">
        <v>1381</v>
      </c>
      <c r="AU7" s="30" t="n">
        <f aca="false">1381*0.488*0.503</f>
        <v>338.985784</v>
      </c>
      <c r="AV7" s="30" t="n">
        <f aca="false">1381*0.488*(1-0.503)</f>
        <v>334.942216</v>
      </c>
      <c r="AW7" s="30" t="n">
        <f aca="false">(1381*0.063*0.372)+(1381*0.4*0.336)+(1381*0.049*0.463)</f>
        <v>249.302263</v>
      </c>
      <c r="AX7" s="30" t="n">
        <f aca="false">(1381*0.063*(1-0.372))+(1381*0.4*(1-0.336))+(1381*0.049*(1-0.463))</f>
        <v>457.769737</v>
      </c>
      <c r="AY7" s="25" t="n">
        <v>1.5</v>
      </c>
      <c r="AZ7" s="23" t="n">
        <v>1.3</v>
      </c>
      <c r="BA7" s="23" t="n">
        <v>1.9</v>
      </c>
      <c r="BB7" s="23" t="s">
        <v>23</v>
      </c>
      <c r="BE7" s="23" t="n">
        <v>5</v>
      </c>
      <c r="BF7" s="24" t="s">
        <v>74</v>
      </c>
      <c r="BG7" s="29" t="n">
        <v>2015</v>
      </c>
      <c r="BH7" s="24" t="n">
        <v>1381</v>
      </c>
      <c r="BI7" s="30" t="s">
        <v>19</v>
      </c>
      <c r="BJ7" s="30" t="s">
        <v>19</v>
      </c>
      <c r="BK7" s="30" t="s">
        <v>19</v>
      </c>
      <c r="BL7" s="30" t="s">
        <v>19</v>
      </c>
      <c r="BM7" s="23" t="s">
        <v>19</v>
      </c>
      <c r="BN7" s="23" t="s">
        <v>19</v>
      </c>
      <c r="BO7" s="23" t="s">
        <v>19</v>
      </c>
      <c r="BP7" s="23" t="s">
        <v>19</v>
      </c>
    </row>
    <row r="8" customFormat="false" ht="15" hidden="false" customHeight="false" outlineLevel="0" collapsed="false">
      <c r="A8" s="23" t="n">
        <v>6</v>
      </c>
      <c r="B8" s="24" t="s">
        <v>72</v>
      </c>
      <c r="C8" s="24" t="n">
        <v>2015</v>
      </c>
      <c r="D8" s="23" t="n">
        <v>4599</v>
      </c>
      <c r="E8" s="30" t="n">
        <f aca="false">4599*0.532*0.463</f>
        <v>1132.807284</v>
      </c>
      <c r="F8" s="30" t="n">
        <f aca="false">4599*0.532*(1-0.463)</f>
        <v>1313.860716</v>
      </c>
      <c r="G8" s="30" t="n">
        <f aca="false">4599*0.468*0.323</f>
        <v>695.203236</v>
      </c>
      <c r="H8" s="30" t="n">
        <f aca="false">4599*0.468*(1-0.323)</f>
        <v>1457.128764</v>
      </c>
      <c r="I8" s="37" t="n">
        <v>1.5</v>
      </c>
      <c r="J8" s="23" t="n">
        <v>1.3</v>
      </c>
      <c r="K8" s="23" t="n">
        <v>1.7</v>
      </c>
      <c r="L8" s="23" t="s">
        <v>23</v>
      </c>
      <c r="O8" s="21" t="s">
        <v>37</v>
      </c>
      <c r="P8" s="22" t="s">
        <v>38</v>
      </c>
      <c r="Q8" s="22" t="s">
        <v>39</v>
      </c>
      <c r="R8" s="22" t="s">
        <v>3</v>
      </c>
      <c r="S8" s="22" t="s">
        <v>40</v>
      </c>
      <c r="T8" s="22" t="s">
        <v>41</v>
      </c>
      <c r="U8" s="22" t="s">
        <v>42</v>
      </c>
      <c r="V8" s="22" t="s">
        <v>43</v>
      </c>
      <c r="W8" s="22" t="s">
        <v>8</v>
      </c>
      <c r="X8" s="22" t="s">
        <v>64</v>
      </c>
      <c r="Y8" s="22" t="s">
        <v>65</v>
      </c>
      <c r="Z8" s="22" t="s">
        <v>66</v>
      </c>
      <c r="AC8" s="23" t="n">
        <v>6</v>
      </c>
      <c r="AD8" s="24" t="s">
        <v>73</v>
      </c>
      <c r="AE8" s="29" t="n">
        <v>2015</v>
      </c>
      <c r="AF8" s="23" t="n">
        <v>4034</v>
      </c>
      <c r="AG8" s="30" t="n">
        <f aca="false">4034*0.428*0.353</f>
        <v>609.472856</v>
      </c>
      <c r="AH8" s="30" t="n">
        <f aca="false">4034*0.428*(1-0.353)</f>
        <v>1117.079144</v>
      </c>
      <c r="AI8" s="30" t="n">
        <f aca="false">(4034*(0.195*0.358))+(4034*(0.376*0.246))</f>
        <v>654.742404</v>
      </c>
      <c r="AJ8" s="30" t="n">
        <f aca="false">(4034*(0.195*(1-0.358)))+(4034*(0.376*(1-0.246)))</f>
        <v>1648.671596</v>
      </c>
      <c r="AK8" s="25" t="n">
        <v>1.4</v>
      </c>
      <c r="AL8" s="23" t="n">
        <v>1.2</v>
      </c>
      <c r="AM8" s="23" t="n">
        <v>1.6</v>
      </c>
      <c r="AN8" s="23" t="s">
        <v>23</v>
      </c>
      <c r="AQ8" s="23" t="n">
        <v>6</v>
      </c>
      <c r="AR8" s="24" t="s">
        <v>75</v>
      </c>
      <c r="AS8" s="29" t="n">
        <v>2015</v>
      </c>
      <c r="AT8" s="23" t="n">
        <v>1062</v>
      </c>
      <c r="AU8" s="30" t="n">
        <f aca="false">1062*0.516*0.231</f>
        <v>126.586152</v>
      </c>
      <c r="AV8" s="30" t="n">
        <f aca="false">1062*0.516*(1-0.231)</f>
        <v>421.405848</v>
      </c>
      <c r="AW8" s="30" t="n">
        <f aca="false">(1062*0.112*0.211)+(1062*0.355*0.253)+(1062*0.017*0.294)</f>
        <v>125.78859</v>
      </c>
      <c r="AX8" s="30" t="n">
        <f aca="false">(1062*0.112*(1-0.211))+(1062*0.355*(1-0.253))+(1062*0.017*(1-0.294))</f>
        <v>388.21941</v>
      </c>
      <c r="AY8" s="23" t="n">
        <v>0.93</v>
      </c>
      <c r="AZ8" s="23" t="n">
        <v>0.7</v>
      </c>
      <c r="BA8" s="23" t="n">
        <v>1.23</v>
      </c>
      <c r="BB8" s="23" t="n">
        <v>0.512</v>
      </c>
      <c r="BE8" s="23" t="n">
        <v>6</v>
      </c>
      <c r="BF8" s="24" t="s">
        <v>75</v>
      </c>
      <c r="BG8" s="29" t="n">
        <v>2015</v>
      </c>
      <c r="BH8" s="24" t="n">
        <v>1062</v>
      </c>
      <c r="BI8" s="30" t="n">
        <f aca="false">(1062*0.075*0.24)+(1062*0.125*0.384)</f>
        <v>70.092</v>
      </c>
      <c r="BJ8" s="30" t="n">
        <f aca="false">(1062*0.075*(1-0.24))+(1062*0.125*(1-0.384))</f>
        <v>142.308</v>
      </c>
      <c r="BK8" s="30" t="n">
        <f aca="false">(1062*0.784*0.215)+(1062*0.016*0.313)</f>
        <v>184.329216</v>
      </c>
      <c r="BL8" s="30" t="n">
        <f aca="false">(1062*0.784*(1-0.215))+(1062*0.016*(1-0.313))</f>
        <v>665.270784</v>
      </c>
      <c r="BM8" s="23" t="n">
        <v>1.8</v>
      </c>
      <c r="BN8" s="23" t="n">
        <v>1.2</v>
      </c>
      <c r="BO8" s="23" t="n">
        <v>2.5</v>
      </c>
      <c r="BP8" s="23" t="s">
        <v>23</v>
      </c>
    </row>
    <row r="9" customFormat="false" ht="15" hidden="false" customHeight="false" outlineLevel="0" collapsed="false">
      <c r="A9" s="23" t="n">
        <v>7</v>
      </c>
      <c r="B9" s="24" t="s">
        <v>73</v>
      </c>
      <c r="C9" s="24" t="n">
        <v>2015</v>
      </c>
      <c r="D9" s="23" t="n">
        <v>4034</v>
      </c>
      <c r="E9" s="30" t="n">
        <f aca="false">4034*0.5*0.346</f>
        <v>697.882</v>
      </c>
      <c r="F9" s="30" t="n">
        <f aca="false">4034*0.5*(1-0.346)</f>
        <v>1319.118</v>
      </c>
      <c r="G9" s="30" t="n">
        <f aca="false">4034*0.5*0.281</f>
        <v>566.777</v>
      </c>
      <c r="H9" s="30" t="n">
        <f aca="false">4034*0.5*(1-0.281)</f>
        <v>1450.223</v>
      </c>
      <c r="I9" s="23" t="n">
        <v>1.4</v>
      </c>
      <c r="J9" s="23" t="n">
        <v>1.2</v>
      </c>
      <c r="K9" s="23" t="n">
        <v>1.6</v>
      </c>
      <c r="L9" s="23" t="s">
        <v>23</v>
      </c>
      <c r="O9" s="21" t="n">
        <v>1</v>
      </c>
      <c r="P9" s="21" t="s">
        <v>44</v>
      </c>
      <c r="Q9" s="21" t="n">
        <v>2023</v>
      </c>
      <c r="R9" s="21" t="n">
        <v>53279</v>
      </c>
      <c r="S9" s="21" t="n">
        <v>189</v>
      </c>
      <c r="T9" s="21" t="n">
        <f aca="false">834-189</f>
        <v>645</v>
      </c>
      <c r="U9" s="21" t="n">
        <v>6757</v>
      </c>
      <c r="V9" s="21" t="n">
        <f aca="false">47693-6757</f>
        <v>40936</v>
      </c>
      <c r="W9" s="26" t="n">
        <v>1.59</v>
      </c>
      <c r="X9" s="26" t="n">
        <v>1.33</v>
      </c>
      <c r="Y9" s="21" t="n">
        <v>1.91</v>
      </c>
      <c r="Z9" s="28" t="s">
        <v>45</v>
      </c>
      <c r="AC9" s="23" t="n">
        <v>7</v>
      </c>
      <c r="AD9" s="24" t="s">
        <v>74</v>
      </c>
      <c r="AE9" s="29" t="n">
        <v>2015</v>
      </c>
      <c r="AF9" s="23" t="n">
        <v>1381</v>
      </c>
      <c r="AG9" s="30" t="n">
        <f aca="false">1381*0.828*0.429</f>
        <v>490.547772</v>
      </c>
      <c r="AH9" s="30" t="n">
        <f aca="false">1381*0.828*(1-0.429)</f>
        <v>652.920228</v>
      </c>
      <c r="AI9" s="30" t="n">
        <f aca="false">1381*0.167*0.39</f>
        <v>89.94453</v>
      </c>
      <c r="AJ9" s="30" t="n">
        <f aca="false">1381*0.167*(1-0.39)</f>
        <v>140.68247</v>
      </c>
      <c r="AK9" s="23" t="n">
        <v>1.18</v>
      </c>
      <c r="AL9" s="23" t="n">
        <v>0.88</v>
      </c>
      <c r="AM9" s="23" t="n">
        <v>1.58</v>
      </c>
      <c r="AN9" s="23" t="n">
        <v>0.267</v>
      </c>
      <c r="AQ9" s="23" t="n">
        <v>7</v>
      </c>
      <c r="AR9" s="24" t="s">
        <v>76</v>
      </c>
      <c r="AS9" s="29" t="n">
        <v>2015</v>
      </c>
      <c r="AT9" s="23" t="n">
        <v>202</v>
      </c>
      <c r="AU9" s="30" t="s">
        <v>19</v>
      </c>
      <c r="AV9" s="30" t="s">
        <v>19</v>
      </c>
      <c r="AW9" s="23" t="s">
        <v>19</v>
      </c>
      <c r="AX9" s="25" t="s">
        <v>19</v>
      </c>
      <c r="AY9" s="23" t="s">
        <v>19</v>
      </c>
      <c r="AZ9" s="23" t="s">
        <v>19</v>
      </c>
      <c r="BA9" s="23" t="s">
        <v>19</v>
      </c>
      <c r="BB9" s="23" t="s">
        <v>19</v>
      </c>
      <c r="BE9" s="23" t="n">
        <v>7</v>
      </c>
      <c r="BF9" s="24" t="s">
        <v>76</v>
      </c>
      <c r="BG9" s="29" t="n">
        <v>2015</v>
      </c>
      <c r="BH9" s="24" t="n">
        <v>202</v>
      </c>
      <c r="BI9" s="30" t="s">
        <v>19</v>
      </c>
      <c r="BJ9" s="30" t="s">
        <v>19</v>
      </c>
      <c r="BK9" s="30" t="s">
        <v>19</v>
      </c>
      <c r="BL9" s="30" t="s">
        <v>19</v>
      </c>
      <c r="BM9" s="23" t="s">
        <v>19</v>
      </c>
      <c r="BN9" s="23" t="s">
        <v>19</v>
      </c>
      <c r="BO9" s="23" t="s">
        <v>19</v>
      </c>
      <c r="BP9" s="23" t="s">
        <v>19</v>
      </c>
    </row>
    <row r="10" customFormat="false" ht="15" hidden="false" customHeight="false" outlineLevel="0" collapsed="false">
      <c r="A10" s="23" t="n">
        <v>8</v>
      </c>
      <c r="B10" s="24" t="s">
        <v>74</v>
      </c>
      <c r="C10" s="24" t="n">
        <v>2015</v>
      </c>
      <c r="D10" s="23" t="n">
        <v>1381</v>
      </c>
      <c r="E10" s="30" t="n">
        <f aca="false">1381*0.563*0.5</f>
        <v>388.7515</v>
      </c>
      <c r="F10" s="30" t="n">
        <f aca="false">1381*0.563*0.5</f>
        <v>388.7515</v>
      </c>
      <c r="G10" s="30" t="n">
        <f aca="false">1381*0.437*0.327</f>
        <v>197.343519</v>
      </c>
      <c r="H10" s="30" t="n">
        <f aca="false">1381*0.437*(1-0.327)</f>
        <v>406.153481</v>
      </c>
      <c r="I10" s="23" t="n">
        <v>1.7</v>
      </c>
      <c r="J10" s="23" t="n">
        <v>1.4</v>
      </c>
      <c r="K10" s="23" t="n">
        <v>2.2</v>
      </c>
      <c r="L10" s="23" t="s">
        <v>23</v>
      </c>
      <c r="O10" s="21" t="n">
        <v>2</v>
      </c>
      <c r="P10" s="21" t="s">
        <v>46</v>
      </c>
      <c r="Q10" s="21" t="n">
        <v>2021</v>
      </c>
      <c r="R10" s="21" t="n">
        <v>346141</v>
      </c>
      <c r="S10" s="21" t="n">
        <v>2642</v>
      </c>
      <c r="T10" s="21" t="n">
        <f aca="false">15847-2642</f>
        <v>13205</v>
      </c>
      <c r="U10" s="21" t="n">
        <v>41853</v>
      </c>
      <c r="V10" s="21" t="n">
        <f aca="false">329811-41853</f>
        <v>287958</v>
      </c>
      <c r="W10" s="26" t="n">
        <v>1.444</v>
      </c>
      <c r="X10" s="26" t="n">
        <v>1.345</v>
      </c>
      <c r="Y10" s="21" t="n">
        <v>1.55</v>
      </c>
      <c r="Z10" s="34" t="s">
        <v>23</v>
      </c>
      <c r="AC10" s="23" t="n">
        <v>8</v>
      </c>
      <c r="AD10" s="24" t="s">
        <v>75</v>
      </c>
      <c r="AE10" s="29" t="n">
        <v>2015</v>
      </c>
      <c r="AF10" s="23" t="n">
        <v>1062</v>
      </c>
      <c r="AG10" s="30" t="s">
        <v>19</v>
      </c>
      <c r="AH10" s="30" t="s">
        <v>19</v>
      </c>
      <c r="AI10" s="30" t="s">
        <v>19</v>
      </c>
      <c r="AJ10" s="25" t="s">
        <v>19</v>
      </c>
      <c r="AK10" s="23" t="s">
        <v>19</v>
      </c>
      <c r="AL10" s="23" t="s">
        <v>19</v>
      </c>
      <c r="AM10" s="23" t="s">
        <v>19</v>
      </c>
      <c r="AN10" s="23" t="s">
        <v>19</v>
      </c>
      <c r="AQ10" s="23" t="n">
        <v>8</v>
      </c>
      <c r="AR10" s="24" t="s">
        <v>77</v>
      </c>
      <c r="AS10" s="29" t="n">
        <v>2015</v>
      </c>
      <c r="AT10" s="23" t="n">
        <v>352</v>
      </c>
      <c r="AU10" s="30" t="n">
        <f aca="false">352*0.477*0.427</f>
        <v>71.695008</v>
      </c>
      <c r="AV10" s="30" t="n">
        <f aca="false">352*0.477*(1-0.427)</f>
        <v>96.208992</v>
      </c>
      <c r="AW10" s="30" t="n">
        <f aca="false">(352*0.087*0.267)+(352*0.424*0.342)+(352*0.012*0.75)</f>
        <v>62.387424</v>
      </c>
      <c r="AX10" s="30" t="n">
        <f aca="false">(352*0.087*(1-0.267))+(352*0.424*(1-0.342))+(352*0.012*(1-0.75))</f>
        <v>121.708576</v>
      </c>
      <c r="AY10" s="23" t="n">
        <v>1.48</v>
      </c>
      <c r="AZ10" s="23" t="n">
        <v>0.96</v>
      </c>
      <c r="BA10" s="23" t="n">
        <v>2.27</v>
      </c>
      <c r="BB10" s="23" t="n">
        <v>0.0776</v>
      </c>
      <c r="BE10" s="23" t="n">
        <v>8</v>
      </c>
      <c r="BF10" s="24" t="s">
        <v>77</v>
      </c>
      <c r="BG10" s="29" t="n">
        <v>2015</v>
      </c>
      <c r="BH10" s="24" t="n">
        <v>352</v>
      </c>
      <c r="BI10" s="30" t="n">
        <f aca="false">(352*0.136*0.419)+(352*0.038*0.333)</f>
        <v>24.512576</v>
      </c>
      <c r="BJ10" s="30" t="n">
        <f aca="false">(352*0.136*(1-0.419))+(352*0.038*(1-0.333))</f>
        <v>36.735424</v>
      </c>
      <c r="BK10" s="30" t="n">
        <f aca="false">(352*0.546*0.358)+(352*0.281*0.438)</f>
        <v>112.128192</v>
      </c>
      <c r="BL10" s="30" t="n">
        <f aca="false">(352*0.546*(1-0.358))+(352*0.281*(1-0.438))</f>
        <v>178.975808</v>
      </c>
      <c r="BM10" s="23" t="n">
        <v>1.08</v>
      </c>
      <c r="BN10" s="23" t="n">
        <v>0.62</v>
      </c>
      <c r="BO10" s="23" t="n">
        <v>1.89</v>
      </c>
      <c r="BP10" s="23" t="n">
        <v>0.788</v>
      </c>
    </row>
    <row r="11" customFormat="false" ht="15" hidden="false" customHeight="false" outlineLevel="0" collapsed="false">
      <c r="A11" s="23" t="n">
        <v>9</v>
      </c>
      <c r="B11" s="24" t="s">
        <v>75</v>
      </c>
      <c r="C11" s="24" t="n">
        <v>2015</v>
      </c>
      <c r="D11" s="23" t="n">
        <v>1062</v>
      </c>
      <c r="E11" s="30" t="n">
        <f aca="false">1062*0.557*0.237</f>
        <v>140.193558</v>
      </c>
      <c r="F11" s="30" t="n">
        <f aca="false">1062*0.557*(1-0.237)</f>
        <v>451.340442</v>
      </c>
      <c r="G11" s="30" t="n">
        <f aca="false">1062*0.443*0.246</f>
        <v>115.734636</v>
      </c>
      <c r="H11" s="30" t="n">
        <f aca="false">1062*0.443*(1-0.246)</f>
        <v>354.731364</v>
      </c>
      <c r="I11" s="23" t="n">
        <v>0.95</v>
      </c>
      <c r="J11" s="23" t="n">
        <v>0.71</v>
      </c>
      <c r="K11" s="23" t="n">
        <v>1.26</v>
      </c>
      <c r="L11" s="23" t="n">
        <v>0.72</v>
      </c>
      <c r="O11" s="21"/>
      <c r="P11" s="21"/>
      <c r="Q11" s="21"/>
      <c r="R11" s="21"/>
      <c r="AC11" s="23" t="n">
        <v>9</v>
      </c>
      <c r="AD11" s="24" t="s">
        <v>76</v>
      </c>
      <c r="AE11" s="29" t="n">
        <v>2015</v>
      </c>
      <c r="AF11" s="23" t="n">
        <v>202</v>
      </c>
      <c r="AG11" s="30" t="s">
        <v>19</v>
      </c>
      <c r="AH11" s="30" t="s">
        <v>19</v>
      </c>
      <c r="AI11" s="30" t="s">
        <v>19</v>
      </c>
      <c r="AJ11" s="25" t="s">
        <v>19</v>
      </c>
      <c r="AK11" s="23" t="s">
        <v>19</v>
      </c>
      <c r="AL11" s="23" t="s">
        <v>19</v>
      </c>
      <c r="AM11" s="23" t="s">
        <v>19</v>
      </c>
      <c r="AN11" s="23" t="s">
        <v>19</v>
      </c>
      <c r="AQ11" s="23" t="n">
        <v>9</v>
      </c>
      <c r="AR11" s="24" t="s">
        <v>78</v>
      </c>
      <c r="AS11" s="29" t="n">
        <v>2015</v>
      </c>
      <c r="AT11" s="23" t="n">
        <v>1565</v>
      </c>
      <c r="AU11" s="30" t="n">
        <f aca="false">1565*0.496*0.707</f>
        <v>548.80168</v>
      </c>
      <c r="AV11" s="30" t="n">
        <f aca="false">1565*0.496*(1-0.707)</f>
        <v>227.43832</v>
      </c>
      <c r="AW11" s="30" t="n">
        <f aca="false">(1565*0.019*0.655)+(1565*0.463*0.793)+(1565*0.023*0.75)</f>
        <v>621.07651</v>
      </c>
      <c r="AX11" s="30" t="n">
        <f aca="false">(1565*0.019*(1-0.655))+(1565*0.463*(1-0.793))+(1565*0.023*(1-0.75))</f>
        <v>169.24849</v>
      </c>
      <c r="AY11" s="23" t="n">
        <v>0.6</v>
      </c>
      <c r="AZ11" s="23" t="n">
        <v>0.5</v>
      </c>
      <c r="BA11" s="23" t="n">
        <v>0.8</v>
      </c>
      <c r="BB11" s="23" t="s">
        <v>23</v>
      </c>
      <c r="BE11" s="23" t="n">
        <v>9</v>
      </c>
      <c r="BF11" s="24" t="s">
        <v>78</v>
      </c>
      <c r="BG11" s="29" t="n">
        <v>2015</v>
      </c>
      <c r="BH11" s="24" t="n">
        <v>1565</v>
      </c>
      <c r="BI11" s="30" t="n">
        <f aca="false">(1565*0.231*0.778)+(1565*0.093*0.797)</f>
        <v>397.258035</v>
      </c>
      <c r="BJ11" s="30" t="n">
        <f aca="false">(1565*0.231*(1-0.778))+(1565*0.093*(1-0.7979))</f>
        <v>109.6709745</v>
      </c>
      <c r="BK11" s="30" t="n">
        <f aca="false">1565*0.676*0.732</f>
        <v>774.41208</v>
      </c>
      <c r="BL11" s="30" t="n">
        <f aca="false">1565*0.676*(1-0.732)</f>
        <v>283.52792</v>
      </c>
      <c r="BM11" s="23" t="n">
        <v>0.6</v>
      </c>
      <c r="BN11" s="23" t="n">
        <v>0.5</v>
      </c>
      <c r="BO11" s="23" t="n">
        <v>0.8</v>
      </c>
      <c r="BP11" s="23" t="n">
        <v>0.028</v>
      </c>
    </row>
    <row r="12" customFormat="false" ht="15" hidden="false" customHeight="false" outlineLevel="0" collapsed="false">
      <c r="A12" s="23" t="n">
        <v>10</v>
      </c>
      <c r="B12" s="24" t="s">
        <v>76</v>
      </c>
      <c r="C12" s="24" t="n">
        <v>2015</v>
      </c>
      <c r="D12" s="23" t="n">
        <v>202</v>
      </c>
      <c r="E12" s="30" t="n">
        <f aca="false">202*0.525*0.236</f>
        <v>25.0278</v>
      </c>
      <c r="F12" s="30" t="n">
        <f aca="false">202*0.525*(1-0.236)</f>
        <v>81.0222</v>
      </c>
      <c r="G12" s="30" t="n">
        <f aca="false">202*0.475*0.135</f>
        <v>12.95325</v>
      </c>
      <c r="H12" s="30" t="n">
        <f aca="false">202*0.475*(1-0.135)</f>
        <v>82.99675</v>
      </c>
      <c r="I12" s="23" t="n">
        <v>1.97</v>
      </c>
      <c r="J12" s="23" t="n">
        <v>0.94</v>
      </c>
      <c r="K12" s="23" t="n">
        <v>4.12</v>
      </c>
      <c r="L12" s="23" t="n">
        <v>0.071</v>
      </c>
      <c r="O12" s="21"/>
      <c r="P12" s="21"/>
      <c r="Q12" s="21"/>
      <c r="R12" s="21"/>
      <c r="AC12" s="23" t="n">
        <v>10</v>
      </c>
      <c r="AD12" s="24" t="s">
        <v>77</v>
      </c>
      <c r="AE12" s="29" t="n">
        <v>2015</v>
      </c>
      <c r="AF12" s="23" t="n">
        <v>352</v>
      </c>
      <c r="AG12" s="30" t="n">
        <f aca="false">352*0.554*0.374</f>
        <v>72.932992</v>
      </c>
      <c r="AH12" s="30" t="n">
        <f aca="false">352*0.554*(1-0.374)</f>
        <v>122.075008</v>
      </c>
      <c r="AI12" s="30" t="n">
        <f aca="false">(352*(0.395*0.381))+(352*(0.051*0.444))</f>
        <v>60.944928</v>
      </c>
      <c r="AJ12" s="30" t="n">
        <f aca="false">(352*(0.395*(1-0.381)))+(352*(0.051*(1-0.444)))</f>
        <v>96.047072</v>
      </c>
      <c r="AK12" s="23" t="n">
        <v>0.94</v>
      </c>
      <c r="AL12" s="23" t="n">
        <v>0.61</v>
      </c>
      <c r="AM12" s="23" t="n">
        <v>1.45</v>
      </c>
      <c r="AN12" s="23" t="n">
        <v>0.7854</v>
      </c>
      <c r="AQ12" s="23" t="n">
        <v>10</v>
      </c>
      <c r="AR12" s="24" t="s">
        <v>79</v>
      </c>
      <c r="AS12" s="29" t="n">
        <v>2015</v>
      </c>
      <c r="AT12" s="23" t="n">
        <v>92</v>
      </c>
      <c r="AU12" s="30" t="n">
        <f aca="false">92*0.543*0.42</f>
        <v>20.98152</v>
      </c>
      <c r="AV12" s="30" t="n">
        <f aca="false">92*0.543*(1-0.42)</f>
        <v>28.97448</v>
      </c>
      <c r="AW12" s="30" t="n">
        <f aca="false">(92*0.011*0)+(92*0.348*0.406)+(92*0.098*0.222)</f>
        <v>15.000048</v>
      </c>
      <c r="AX12" s="30" t="n">
        <f aca="false">(92*0.011*0)+(92*0.348*(1-0.406))+(92*0.098*(1-0.222))</f>
        <v>26.031952</v>
      </c>
      <c r="AY12" s="23" t="n">
        <v>1.26</v>
      </c>
      <c r="AZ12" s="23" t="n">
        <v>0.54</v>
      </c>
      <c r="BA12" s="23" t="n">
        <v>2.93</v>
      </c>
      <c r="BB12" s="23" t="n">
        <v>0.599</v>
      </c>
      <c r="BE12" s="23" t="n">
        <v>10</v>
      </c>
      <c r="BF12" s="24" t="s">
        <v>79</v>
      </c>
      <c r="BG12" s="29" t="n">
        <v>2015</v>
      </c>
      <c r="BH12" s="24" t="n">
        <v>92</v>
      </c>
      <c r="BI12" s="30" t="n">
        <f aca="false">(92*0.101*0.444)+(92*0.045*0.75)</f>
        <v>7.230648</v>
      </c>
      <c r="BJ12" s="30" t="n">
        <f aca="false">(92*0.101*(1-0.444))+(92*0.045*(1-0.75))</f>
        <v>6.201352</v>
      </c>
      <c r="BK12" s="30" t="n">
        <f aca="false">(92*0.371*0.303)+(92*0.483*0.395)</f>
        <v>27.894216</v>
      </c>
      <c r="BL12" s="30" t="n">
        <f aca="false">(92*0.371*(1-0.303))+(92*0.483*(1-0.395))</f>
        <v>50.673784</v>
      </c>
      <c r="BM12" s="23" t="n">
        <v>2.13</v>
      </c>
      <c r="BN12" s="23" t="n">
        <v>0.65</v>
      </c>
      <c r="BO12" s="23" t="n">
        <v>6.94</v>
      </c>
      <c r="BP12" s="23" t="n">
        <v>0.212</v>
      </c>
    </row>
    <row r="13" customFormat="false" ht="15" hidden="false" customHeight="false" outlineLevel="0" collapsed="false">
      <c r="A13" s="21" t="n">
        <v>11</v>
      </c>
      <c r="B13" s="36" t="s">
        <v>77</v>
      </c>
      <c r="C13" s="36" t="n">
        <v>2015</v>
      </c>
      <c r="D13" s="21" t="n">
        <v>352</v>
      </c>
      <c r="E13" s="38" t="n">
        <f aca="false">352*0.554*0.39</f>
        <v>76.05312</v>
      </c>
      <c r="F13" s="38" t="n">
        <f aca="false">352*0.554*(1-0.39)</f>
        <v>118.95488</v>
      </c>
      <c r="G13" s="38" t="n">
        <f aca="false">352*0.446*0.369</f>
        <v>57.930048</v>
      </c>
      <c r="H13" s="38" t="n">
        <f aca="false">352*0.446*(1-0.369)</f>
        <v>99.061952</v>
      </c>
      <c r="I13" s="21" t="n">
        <v>1.09</v>
      </c>
      <c r="J13" s="21" t="n">
        <v>0.71</v>
      </c>
      <c r="K13" s="21" t="n">
        <v>1.69</v>
      </c>
      <c r="L13" s="21" t="n">
        <v>0.696</v>
      </c>
      <c r="O13" s="18" t="s">
        <v>48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C13" s="23" t="n">
        <v>11</v>
      </c>
      <c r="AD13" s="24" t="s">
        <v>78</v>
      </c>
      <c r="AE13" s="29" t="n">
        <v>2015</v>
      </c>
      <c r="AF13" s="23" t="n">
        <v>1565</v>
      </c>
      <c r="AG13" s="30" t="n">
        <f aca="false">1565*0.178*0.737</f>
        <v>205.30609</v>
      </c>
      <c r="AH13" s="30" t="n">
        <f aca="false">1565*0.178*(1-0.737)</f>
        <v>73.26391</v>
      </c>
      <c r="AI13" s="30" t="n">
        <f aca="false">(1565*(0.209*0.826))+(1565*(0.613*0.723))</f>
        <v>963.778645</v>
      </c>
      <c r="AJ13" s="30" t="n">
        <f aca="false">(1565*(0.209*(1-0.826)))+(1565*(0.613*(1-0.723)))</f>
        <v>322.651355</v>
      </c>
      <c r="AK13" s="23" t="n">
        <v>0.94</v>
      </c>
      <c r="AL13" s="23" t="n">
        <v>0.7</v>
      </c>
      <c r="AM13" s="23" t="n">
        <v>1.26</v>
      </c>
      <c r="AN13" s="23" t="n">
        <v>0.686</v>
      </c>
      <c r="AQ13" s="23" t="n">
        <v>11</v>
      </c>
      <c r="AR13" s="24" t="s">
        <v>80</v>
      </c>
      <c r="AS13" s="29" t="n">
        <v>2015</v>
      </c>
      <c r="AT13" s="23" t="n">
        <v>241</v>
      </c>
      <c r="AU13" s="30" t="n">
        <f aca="false">241*0.515*0.677</f>
        <v>84.025855</v>
      </c>
      <c r="AV13" s="30" t="n">
        <f aca="false">241*0.515*(1-0.677)</f>
        <v>40.089145</v>
      </c>
      <c r="AW13" s="30" t="n">
        <f aca="false">(241*0.058*0.571)+(241*0.373*0.522)+(241*0.054*0.462)</f>
        <v>60.918052</v>
      </c>
      <c r="AX13" s="30" t="n">
        <f aca="false">(241*0.058*(1-0.571))+(241*0.373*(1-0.522))+(241*0.054*(1-0.462))</f>
        <v>55.966948</v>
      </c>
      <c r="AY13" s="37" t="n">
        <v>2</v>
      </c>
      <c r="AZ13" s="23" t="n">
        <v>1.2</v>
      </c>
      <c r="BA13" s="23" t="n">
        <v>3.4</v>
      </c>
      <c r="BB13" s="23" t="n">
        <v>0.0139</v>
      </c>
      <c r="BE13" s="23" t="n">
        <v>11</v>
      </c>
      <c r="BF13" s="24" t="s">
        <v>80</v>
      </c>
      <c r="BG13" s="29" t="n">
        <v>2015</v>
      </c>
      <c r="BH13" s="24" t="n">
        <v>241</v>
      </c>
      <c r="BI13" s="30" t="n">
        <f aca="false">(241*0.181*0.643)+(241*0.142*0.697)</f>
        <v>51.901037</v>
      </c>
      <c r="BJ13" s="30" t="n">
        <f aca="false">(241*0.181*(1-0.643))+(241*0.142*(1-0.697))</f>
        <v>25.941963</v>
      </c>
      <c r="BK13" s="30" t="n">
        <f aca="false">(241*0.672*0.551)+(241*0.04*1)</f>
        <v>98.875552</v>
      </c>
      <c r="BL13" s="30" t="n">
        <f aca="false">(241*0.672*(1-0.551))+(241*0.04*(1-1))</f>
        <v>72.716448</v>
      </c>
      <c r="BM13" s="23" t="n">
        <v>1.47</v>
      </c>
      <c r="BN13" s="23" t="n">
        <v>0.84</v>
      </c>
      <c r="BO13" s="23" t="n">
        <v>2.58</v>
      </c>
      <c r="BP13" s="23" t="n">
        <v>0.176</v>
      </c>
    </row>
    <row r="14" customFormat="false" ht="15" hidden="false" customHeight="false" outlineLevel="0" collapsed="false">
      <c r="A14" s="21" t="n">
        <v>12</v>
      </c>
      <c r="B14" s="36" t="s">
        <v>78</v>
      </c>
      <c r="C14" s="36" t="n">
        <v>2015</v>
      </c>
      <c r="D14" s="21" t="n">
        <v>1565</v>
      </c>
      <c r="E14" s="38" t="n">
        <f aca="false">1565*0.437*0.741</f>
        <v>506.773605</v>
      </c>
      <c r="F14" s="38" t="n">
        <f aca="false">1565*0.437*(1-0.741)</f>
        <v>177.131395</v>
      </c>
      <c r="G14" s="38" t="n">
        <f aca="false">1565*0.563*0.751</f>
        <v>661.702345</v>
      </c>
      <c r="H14" s="38" t="n">
        <f aca="false">1565*0.563*(1-0.751)</f>
        <v>219.392655</v>
      </c>
      <c r="I14" s="21" t="n">
        <v>0.95</v>
      </c>
      <c r="J14" s="21" t="n">
        <v>0.75</v>
      </c>
      <c r="K14" s="21" t="n">
        <v>1.19</v>
      </c>
      <c r="L14" s="21" t="n">
        <v>0.647</v>
      </c>
      <c r="O14" s="21" t="s">
        <v>37</v>
      </c>
      <c r="P14" s="22" t="s">
        <v>38</v>
      </c>
      <c r="Q14" s="22" t="s">
        <v>39</v>
      </c>
      <c r="R14" s="22" t="s">
        <v>3</v>
      </c>
      <c r="S14" s="22" t="s">
        <v>40</v>
      </c>
      <c r="T14" s="22" t="s">
        <v>41</v>
      </c>
      <c r="U14" s="22" t="s">
        <v>42</v>
      </c>
      <c r="V14" s="22" t="s">
        <v>43</v>
      </c>
      <c r="W14" s="22" t="s">
        <v>8</v>
      </c>
      <c r="X14" s="22" t="s">
        <v>64</v>
      </c>
      <c r="Y14" s="22" t="s">
        <v>65</v>
      </c>
      <c r="Z14" s="22" t="s">
        <v>66</v>
      </c>
      <c r="AC14" s="23" t="n">
        <v>12</v>
      </c>
      <c r="AD14" s="24" t="s">
        <v>79</v>
      </c>
      <c r="AE14" s="29" t="n">
        <v>2015</v>
      </c>
      <c r="AF14" s="23" t="n">
        <v>92</v>
      </c>
      <c r="AG14" s="30" t="s">
        <v>19</v>
      </c>
      <c r="AH14" s="30" t="s">
        <v>19</v>
      </c>
      <c r="AI14" s="30" t="s">
        <v>19</v>
      </c>
      <c r="AJ14" s="25" t="s">
        <v>19</v>
      </c>
      <c r="AK14" s="23" t="s">
        <v>19</v>
      </c>
      <c r="AL14" s="23" t="s">
        <v>19</v>
      </c>
      <c r="AM14" s="23" t="s">
        <v>19</v>
      </c>
      <c r="AN14" s="23" t="s">
        <v>19</v>
      </c>
      <c r="AQ14" s="23" t="n">
        <v>12</v>
      </c>
      <c r="AR14" s="24" t="s">
        <v>81</v>
      </c>
      <c r="AS14" s="29" t="n">
        <v>2015</v>
      </c>
      <c r="AT14" s="23" t="n">
        <v>20065</v>
      </c>
      <c r="AU14" s="30" t="n">
        <f aca="false">20065*0.484*0.194</f>
        <v>1884.02324</v>
      </c>
      <c r="AV14" s="30" t="n">
        <f aca="false">20065*0.484*(1-0.194)</f>
        <v>7827.43676</v>
      </c>
      <c r="AW14" s="30" t="n">
        <f aca="false">(20065*0.049*0.203)+(20065*0.4*0.142)+(20065*0.067*0.192)</f>
        <v>1597.394715</v>
      </c>
      <c r="AX14" s="30" t="n">
        <f aca="false">(20065*0.049*(1-0.203))+(20065*0.4*(1-0.142))+(20065*0.067*(1-0.192))</f>
        <v>8756.145285</v>
      </c>
      <c r="AY14" s="25" t="n">
        <v>1.1</v>
      </c>
      <c r="AZ14" s="23" t="n">
        <v>1.02</v>
      </c>
      <c r="BA14" s="23" t="n">
        <v>1.2</v>
      </c>
      <c r="BB14" s="23" t="s">
        <v>23</v>
      </c>
      <c r="BE14" s="23" t="n">
        <v>12</v>
      </c>
      <c r="BF14" s="24" t="s">
        <v>81</v>
      </c>
      <c r="BG14" s="29" t="n">
        <v>2015</v>
      </c>
      <c r="BH14" s="24" t="n">
        <v>20065</v>
      </c>
      <c r="BI14" s="30" t="n">
        <f aca="false">(20065*0.432*0.172)+(20065*0.405*0.173)</f>
        <v>2896.763985</v>
      </c>
      <c r="BJ14" s="30" t="n">
        <f aca="false">(20065*0.432*(1-0.172))+(20065*0.405*(1-0.173))</f>
        <v>13897.641015</v>
      </c>
      <c r="BK14" s="30" t="n">
        <f aca="false">(20065*0.074*0.196)+(20065*0.089*0.169)</f>
        <v>592.820425</v>
      </c>
      <c r="BL14" s="30" t="n">
        <f aca="false">(20065*0.074*(1-0.196))+(20065*0.089*(1-0.169))</f>
        <v>2677.774575</v>
      </c>
      <c r="BM14" s="23" t="n">
        <v>0.94</v>
      </c>
      <c r="BN14" s="23" t="n">
        <v>0.85</v>
      </c>
      <c r="BO14" s="23" t="n">
        <v>1.04</v>
      </c>
      <c r="BP14" s="23" t="n">
        <v>0.225</v>
      </c>
    </row>
    <row r="15" customFormat="false" ht="15" hidden="false" customHeight="false" outlineLevel="0" collapsed="false">
      <c r="A15" s="21" t="n">
        <v>13</v>
      </c>
      <c r="B15" s="36" t="s">
        <v>79</v>
      </c>
      <c r="C15" s="36" t="n">
        <v>2015</v>
      </c>
      <c r="D15" s="21" t="n">
        <v>92</v>
      </c>
      <c r="E15" s="38" t="n">
        <f aca="false">92*0.587*0.389</f>
        <v>21.007556</v>
      </c>
      <c r="F15" s="38" t="n">
        <f aca="false">92*0.587*(1-0.389)</f>
        <v>32.996444</v>
      </c>
      <c r="G15" s="38" t="n">
        <f aca="false">92*0.413*0.395</f>
        <v>15.00842</v>
      </c>
      <c r="H15" s="38" t="n">
        <f aca="false">92*0.413*(1-0.395)</f>
        <v>22.98758</v>
      </c>
      <c r="I15" s="21" t="n">
        <v>0.97</v>
      </c>
      <c r="J15" s="21" t="n">
        <v>0.42</v>
      </c>
      <c r="K15" s="21" t="n">
        <v>2.28</v>
      </c>
      <c r="L15" s="21" t="n">
        <v>0.955</v>
      </c>
      <c r="O15" s="21" t="n">
        <v>1</v>
      </c>
      <c r="P15" s="21" t="s">
        <v>44</v>
      </c>
      <c r="Q15" s="21" t="n">
        <v>2023</v>
      </c>
      <c r="R15" s="21" t="n">
        <v>53279</v>
      </c>
      <c r="S15" s="21" t="n">
        <v>240</v>
      </c>
      <c r="T15" s="21" t="n">
        <f aca="false">816-240</f>
        <v>576</v>
      </c>
      <c r="U15" s="21" t="n">
        <v>6757</v>
      </c>
      <c r="V15" s="21" t="n">
        <f aca="false">47693-6757</f>
        <v>40936</v>
      </c>
      <c r="W15" s="26" t="n">
        <v>2.49</v>
      </c>
      <c r="X15" s="26" t="n">
        <v>2.1</v>
      </c>
      <c r="Y15" s="21" t="n">
        <v>2.96</v>
      </c>
      <c r="Z15" s="28" t="s">
        <v>45</v>
      </c>
      <c r="AC15" s="23" t="n">
        <v>13</v>
      </c>
      <c r="AD15" s="24" t="s">
        <v>80</v>
      </c>
      <c r="AE15" s="29" t="n">
        <v>2015</v>
      </c>
      <c r="AF15" s="23" t="n">
        <v>241</v>
      </c>
      <c r="AG15" s="30" t="n">
        <f aca="false">241*0.357*0.674</f>
        <v>57.988938</v>
      </c>
      <c r="AH15" s="30" t="n">
        <f aca="false">241*0.357*(1-0.674)</f>
        <v>28.048062</v>
      </c>
      <c r="AI15" s="30" t="n">
        <f aca="false">(241*(0.373*0.511))+(241*(0.27*0.631))</f>
        <v>86.994493</v>
      </c>
      <c r="AJ15" s="30" t="n">
        <f aca="false">(241*(0.373*(1-0.511)))+(241*(0.27*(1-0.631)))</f>
        <v>67.968507</v>
      </c>
      <c r="AK15" s="23" t="n">
        <v>1.62</v>
      </c>
      <c r="AL15" s="23" t="n">
        <v>0.93</v>
      </c>
      <c r="AM15" s="23" t="n">
        <v>2.81</v>
      </c>
      <c r="AN15" s="23" t="n">
        <v>0.0868</v>
      </c>
    </row>
    <row r="16" customFormat="false" ht="15" hidden="false" customHeight="false" outlineLevel="0" collapsed="false">
      <c r="A16" s="21" t="n">
        <v>14</v>
      </c>
      <c r="B16" s="36" t="s">
        <v>80</v>
      </c>
      <c r="C16" s="36" t="n">
        <v>2015</v>
      </c>
      <c r="D16" s="21" t="n">
        <v>241</v>
      </c>
      <c r="E16" s="38" t="n">
        <f aca="false">241*0.585*0.638</f>
        <v>89.94843</v>
      </c>
      <c r="F16" s="38" t="n">
        <f aca="false">241*0.585*(1-0.638)</f>
        <v>51.03657</v>
      </c>
      <c r="G16" s="38" t="n">
        <f aca="false">241*0.415*0.55</f>
        <v>55.00825</v>
      </c>
      <c r="H16" s="38" t="n">
        <f aca="false">241*0.415*(1-0.55)</f>
        <v>45.00675</v>
      </c>
      <c r="I16" s="21" t="n">
        <v>1.44</v>
      </c>
      <c r="J16" s="21" t="n">
        <v>0.86</v>
      </c>
      <c r="K16" s="21" t="n">
        <v>2.43</v>
      </c>
      <c r="L16" s="21" t="n">
        <v>0.168</v>
      </c>
      <c r="O16" s="21" t="n">
        <v>2</v>
      </c>
      <c r="P16" s="21" t="s">
        <v>46</v>
      </c>
      <c r="Q16" s="21" t="n">
        <v>2021</v>
      </c>
      <c r="R16" s="21" t="n">
        <v>346141</v>
      </c>
      <c r="S16" s="21" t="n">
        <v>1543</v>
      </c>
      <c r="T16" s="21" t="n">
        <f aca="false">6996-1543</f>
        <v>5453</v>
      </c>
      <c r="U16" s="21" t="n">
        <v>40083</v>
      </c>
      <c r="V16" s="21" t="n">
        <f aca="false">324194-40083</f>
        <v>284111</v>
      </c>
      <c r="W16" s="26" t="n">
        <v>2.093</v>
      </c>
      <c r="X16" s="26" t="n">
        <v>1.911</v>
      </c>
      <c r="Y16" s="21" t="n">
        <v>2.292</v>
      </c>
      <c r="Z16" s="34" t="s">
        <v>23</v>
      </c>
      <c r="AC16" s="23" t="n">
        <v>14</v>
      </c>
      <c r="AD16" s="24" t="s">
        <v>81</v>
      </c>
      <c r="AE16" s="29" t="n">
        <v>2015</v>
      </c>
      <c r="AF16" s="23" t="n">
        <v>20065</v>
      </c>
      <c r="AG16" s="23" t="s">
        <v>19</v>
      </c>
      <c r="AH16" s="23" t="s">
        <v>19</v>
      </c>
      <c r="AI16" s="23" t="s">
        <v>19</v>
      </c>
      <c r="AJ16" s="25" t="s">
        <v>19</v>
      </c>
      <c r="AK16" s="23" t="s">
        <v>19</v>
      </c>
      <c r="AL16" s="23" t="s">
        <v>19</v>
      </c>
      <c r="AM16" s="23" t="s">
        <v>19</v>
      </c>
      <c r="AN16" s="23" t="s">
        <v>19</v>
      </c>
    </row>
    <row r="17" customFormat="false" ht="15" hidden="false" customHeight="false" outlineLevel="0" collapsed="false">
      <c r="A17" s="21" t="n">
        <v>15</v>
      </c>
      <c r="B17" s="36" t="s">
        <v>81</v>
      </c>
      <c r="C17" s="36" t="n">
        <v>2015</v>
      </c>
      <c r="D17" s="21" t="n">
        <v>20065</v>
      </c>
      <c r="E17" s="38" t="n">
        <f aca="false">20065*0.576*0.198</f>
        <v>2288.37312</v>
      </c>
      <c r="F17" s="38" t="n">
        <f aca="false">20065*0.576*(1-0.198)</f>
        <v>9269.06688</v>
      </c>
      <c r="G17" s="38" t="n">
        <f aca="false">20065*0.424*0.141</f>
        <v>1199.56596</v>
      </c>
      <c r="H17" s="38" t="n">
        <f aca="false">20065*0.424*(1-0.141)</f>
        <v>7307.99404</v>
      </c>
      <c r="I17" s="21" t="n">
        <v>1.4</v>
      </c>
      <c r="J17" s="21" t="n">
        <v>1.3</v>
      </c>
      <c r="K17" s="21" t="n">
        <v>1.5</v>
      </c>
      <c r="L17" s="21" t="s">
        <v>23</v>
      </c>
      <c r="O17" s="21"/>
      <c r="P17" s="21"/>
      <c r="Q17" s="21"/>
      <c r="R17" s="21"/>
      <c r="AC17" s="39" t="n">
        <v>15</v>
      </c>
      <c r="AD17" s="24" t="s">
        <v>70</v>
      </c>
      <c r="AE17" s="29" t="n">
        <v>2022</v>
      </c>
      <c r="AF17" s="23" t="n">
        <v>291276</v>
      </c>
      <c r="AG17" s="23" t="s">
        <v>19</v>
      </c>
      <c r="AH17" s="23" t="s">
        <v>19</v>
      </c>
      <c r="AI17" s="23" t="s">
        <v>19</v>
      </c>
      <c r="AJ17" s="25" t="s">
        <v>19</v>
      </c>
      <c r="AK17" s="25" t="n">
        <v>0.7</v>
      </c>
      <c r="AL17" s="23" t="n">
        <v>0.58</v>
      </c>
      <c r="AM17" s="23" t="n">
        <v>0.85</v>
      </c>
      <c r="AN17" s="23" t="s">
        <v>19</v>
      </c>
    </row>
    <row r="18" customFormat="false" ht="15" hidden="false" customHeight="false" outlineLevel="0" collapsed="false">
      <c r="A18" s="21" t="n">
        <v>17</v>
      </c>
      <c r="B18" s="36" t="s">
        <v>70</v>
      </c>
      <c r="C18" s="36" t="n">
        <v>2022</v>
      </c>
      <c r="D18" s="21" t="n">
        <v>291276</v>
      </c>
      <c r="E18" s="21" t="s">
        <v>19</v>
      </c>
      <c r="F18" s="21" t="s">
        <v>19</v>
      </c>
      <c r="G18" s="21" t="s">
        <v>19</v>
      </c>
      <c r="H18" s="21" t="s">
        <v>19</v>
      </c>
      <c r="I18" s="26" t="n">
        <v>1.04</v>
      </c>
      <c r="J18" s="26" t="n">
        <v>0.92</v>
      </c>
      <c r="K18" s="21" t="n">
        <v>1.17</v>
      </c>
      <c r="L18" s="21" t="s">
        <v>19</v>
      </c>
      <c r="O18" s="18" t="s">
        <v>49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" hidden="false" customHeight="false" outlineLevel="0" collapsed="false">
      <c r="O19" s="21" t="s">
        <v>37</v>
      </c>
      <c r="P19" s="22" t="s">
        <v>38</v>
      </c>
      <c r="Q19" s="22" t="s">
        <v>39</v>
      </c>
      <c r="R19" s="22" t="s">
        <v>3</v>
      </c>
      <c r="S19" s="22" t="s">
        <v>40</v>
      </c>
      <c r="T19" s="22" t="s">
        <v>41</v>
      </c>
      <c r="U19" s="22" t="s">
        <v>42</v>
      </c>
      <c r="V19" s="22" t="s">
        <v>43</v>
      </c>
      <c r="W19" s="22" t="s">
        <v>8</v>
      </c>
      <c r="X19" s="22" t="s">
        <v>64</v>
      </c>
      <c r="Y19" s="22" t="s">
        <v>65</v>
      </c>
      <c r="Z19" s="22" t="s">
        <v>66</v>
      </c>
    </row>
    <row r="20" customFormat="false" ht="15" hidden="false" customHeight="false" outlineLevel="0" collapsed="false">
      <c r="O20" s="21" t="n">
        <v>1</v>
      </c>
      <c r="P20" s="21" t="s">
        <v>44</v>
      </c>
      <c r="Q20" s="21" t="n">
        <v>2023</v>
      </c>
      <c r="R20" s="21" t="n">
        <v>53279</v>
      </c>
      <c r="S20" s="21" t="n">
        <v>48</v>
      </c>
      <c r="T20" s="21" t="n">
        <f aca="false">227-48</f>
        <v>179</v>
      </c>
      <c r="U20" s="21" t="n">
        <v>6757</v>
      </c>
      <c r="V20" s="21" t="n">
        <f aca="false">47693-6757</f>
        <v>40936</v>
      </c>
      <c r="W20" s="26" t="n">
        <v>1.49</v>
      </c>
      <c r="X20" s="26" t="n">
        <v>1.05</v>
      </c>
      <c r="Y20" s="40" t="n">
        <v>2.1</v>
      </c>
      <c r="Z20" s="28" t="s">
        <v>45</v>
      </c>
    </row>
    <row r="21" customFormat="false" ht="15" hidden="false" customHeight="false" outlineLevel="0" collapsed="false">
      <c r="O21" s="21" t="n">
        <v>2</v>
      </c>
      <c r="P21" s="21" t="s">
        <v>46</v>
      </c>
      <c r="Q21" s="21" t="n">
        <v>2021</v>
      </c>
      <c r="R21" s="21" t="n">
        <v>346141</v>
      </c>
      <c r="S21" s="21" t="n">
        <v>213</v>
      </c>
      <c r="T21" s="21" t="n">
        <f aca="false">1073-213</f>
        <v>860</v>
      </c>
      <c r="U21" s="21" t="n">
        <v>40083</v>
      </c>
      <c r="V21" s="21" t="n">
        <f aca="false">324194-40083</f>
        <v>284111</v>
      </c>
      <c r="W21" s="26" t="n">
        <v>1.674</v>
      </c>
      <c r="X21" s="26" t="n">
        <v>1.29</v>
      </c>
      <c r="Y21" s="21" t="n">
        <v>2.173</v>
      </c>
      <c r="Z21" s="34" t="s">
        <v>23</v>
      </c>
    </row>
  </sheetData>
  <mergeCells count="9">
    <mergeCell ref="A1:L1"/>
    <mergeCell ref="O1:Z1"/>
    <mergeCell ref="AC1:AN1"/>
    <mergeCell ref="AQ1:BB1"/>
    <mergeCell ref="BE1:BP1"/>
    <mergeCell ref="BS1:CD1"/>
    <mergeCell ref="O7:Z7"/>
    <mergeCell ref="O13:Z13"/>
    <mergeCell ref="O18:Z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Christian Sprajc</dc:creator>
  <dc:description/>
  <dc:language>de-DE</dc:language>
  <cp:lastModifiedBy>David Pedrosa</cp:lastModifiedBy>
  <dcterms:modified xsi:type="dcterms:W3CDTF">2025-03-31T09:28:55Z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