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ny Perez\Desktop\CPSC-430\"/>
    </mc:Choice>
  </mc:AlternateContent>
  <xr:revisionPtr revIDLastSave="0" documentId="13_ncr:1_{0DEFE5FD-E53F-49A8-91A2-DE2ABD26AACE}" xr6:coauthVersionLast="40" xr6:coauthVersionMax="40" xr10:uidLastSave="{00000000-0000-0000-0000-000000000000}"/>
  <bookViews>
    <workbookView xWindow="0" yWindow="0" windowWidth="21570" windowHeight="7920" xr2:uid="{2F490731-715F-41BD-9B2D-ACE9F64B344A}"/>
  </bookViews>
  <sheets>
    <sheet name="Via Driving" sheetId="1" r:id="rId1"/>
    <sheet name="Driving SolverTable" sheetId="20" r:id="rId2"/>
    <sheet name="Via Bus" sheetId="2" r:id="rId3"/>
    <sheet name="Min Bus Cost SolverTable" sheetId="21" r:id="rId4"/>
    <sheet name="Max Bus Cost SolverTable" sheetId="24" r:id="rId5"/>
    <sheet name="Bus Sensitivity Report 1" sheetId="6" r:id="rId6"/>
    <sheet name="Via Bus (2)" sheetId="4" r:id="rId7"/>
    <sheet name="Via Bus_STS" sheetId="18" state="veryHidden" r:id="rId8"/>
    <sheet name="Via Driving_STS" sheetId="16" state="veryHidden" r:id="rId9"/>
    <sheet name="Via Bus (2)_STS" sheetId="22" state="veryHidden" r:id="rId10"/>
    <sheet name="Bus 2 SolverTable" sheetId="23" r:id="rId11"/>
  </sheets>
  <definedNames>
    <definedName name="Available_Funds" localSheetId="2">'Via Bus'!$D$40</definedName>
    <definedName name="Available_Funds" localSheetId="6">'Via Bus (2)'!$D$40</definedName>
    <definedName name="Available_Funds">'Via Driving'!$D$39</definedName>
    <definedName name="Average_Cost_Per_Gallon" localSheetId="2">'Via Bus'!$K$18</definedName>
    <definedName name="Average_Cost_Per_Gallon" localSheetId="6">'Via Bus (2)'!$K$18</definedName>
    <definedName name="Average_Cost_Per_Gallon">'Via Driving'!$L$10</definedName>
    <definedName name="Avg._Total_Cost_of_Gas">'Via Driving'!$B$35</definedName>
    <definedName name="Brake_Pads" localSheetId="2">'Via Bus'!$J$8</definedName>
    <definedName name="Brake_Pads" localSheetId="6">'Via Bus (2)'!$J$8</definedName>
    <definedName name="Brake_Pads">'Via Driving'!$I$8</definedName>
    <definedName name="ChartData" localSheetId="10">'Bus 2 SolverTable'!$S$5:$S$19</definedName>
    <definedName name="ChartData" localSheetId="1">'Driving SolverTable'!$S$5:$S$24</definedName>
    <definedName name="ChartData" localSheetId="4">'Max Bus Cost SolverTable'!$T$5:$T$19</definedName>
    <definedName name="ChartData" localSheetId="3">'Min Bus Cost SolverTable'!$T$5:$T$19</definedName>
    <definedName name="Cost_of_Tickets" localSheetId="2">'Via Bus'!$B$7:$B$12</definedName>
    <definedName name="Cost_of_Tickets" localSheetId="6">'Via Bus (2)'!$B$7:$B$12</definedName>
    <definedName name="Cost_of_Tickets">'Via Driving'!$B$7:$C$12</definedName>
    <definedName name="Cost_per_Pad" localSheetId="2">'Via Bus'!$J$9</definedName>
    <definedName name="Cost_per_Pad" localSheetId="6">'Via Bus (2)'!$J$9</definedName>
    <definedName name="Cost_per_Pad">'Via Driving'!$I$9</definedName>
    <definedName name="Cost_per_Quart" localSheetId="2">'Via Bus'!$H$9</definedName>
    <definedName name="Cost_per_Quart" localSheetId="6">'Via Bus (2)'!$H$9</definedName>
    <definedName name="Cost_per_Quart">'Via Driving'!$G$9</definedName>
    <definedName name="Cost_per_Rotor" localSheetId="2">'Via Bus'!$J$11</definedName>
    <definedName name="Cost_per_Rotor" localSheetId="6">'Via Bus (2)'!$J$11</definedName>
    <definedName name="Cost_per_Rotor">'Via Driving'!$I$11</definedName>
    <definedName name="Destination" localSheetId="2">'Via Bus'!$B$18:$B$33</definedName>
    <definedName name="Destination" localSheetId="6">'Via Bus (2)'!$B$18:$B$32</definedName>
    <definedName name="Destination">'Via Driving'!$B$16:$B$30</definedName>
    <definedName name="Distance" localSheetId="2">'Via Bus'!#REF!</definedName>
    <definedName name="Distance" localSheetId="6">'Via Bus (2)'!#REF!</definedName>
    <definedName name="Distance">'Via Driving'!$C$16:$C$30</definedName>
    <definedName name="Festival">'Via Bus'!$G$8:$G$13</definedName>
    <definedName name="Festival_Name" localSheetId="2">'Via Bus'!$A$7:$A$12</definedName>
    <definedName name="Festival_Name" localSheetId="6">'Via Bus (2)'!$A$7:$A$12</definedName>
    <definedName name="Festival_Name">'Via Driving'!$A$7:$A$12</definedName>
    <definedName name="Flow" localSheetId="2">'Via Bus'!$F$18:$F$33</definedName>
    <definedName name="Flow" localSheetId="6">'Via Bus (2)'!$F$18:$F$32</definedName>
    <definedName name="Flow">'Via Driving'!$E$16:$E$30</definedName>
    <definedName name="InputValues" localSheetId="10">'Bus 2 SolverTable'!$A$5:$A$19</definedName>
    <definedName name="InputValues" localSheetId="1">'Driving SolverTable'!$A$5:$A$24</definedName>
    <definedName name="InputValues" localSheetId="4">'Max Bus Cost SolverTable'!$A$5:$A$19</definedName>
    <definedName name="InputValues" localSheetId="3">'Min Bus Cost SolverTable'!$A$5:$A$19</definedName>
    <definedName name="Max._Total_Cost_of_Gas">'Via Driving'!$B$36</definedName>
    <definedName name="Max_Allowed" localSheetId="6">'Via Bus (2)'!$H$18:$H$32</definedName>
    <definedName name="Max_Allowed" localSheetId="0">'Via Driving'!$G$16:$G$30</definedName>
    <definedName name="Max_Allowed">'Via Bus'!$H$18:$H$33</definedName>
    <definedName name="Max_Cost_per_Bus_Pass" localSheetId="6">'Via Bus (2)'!$D$18:$D$32</definedName>
    <definedName name="Max_Cost_per_Bus_Pass">'Via Bus'!$D$18:$D$33</definedName>
    <definedName name="Max_Cost_Per_Gallon" localSheetId="2">'Via Bus'!$K$19</definedName>
    <definedName name="Max_Cost_Per_Gallon" localSheetId="6">'Via Bus (2)'!$K$19</definedName>
    <definedName name="Max_Cost_Per_Gallon">'Via Driving'!$L$11</definedName>
    <definedName name="Max_Total_Bus_Cost" localSheetId="6">'Via Bus (2)'!$B$36</definedName>
    <definedName name="Max_Total_Bus_Cost">'Via Bus'!$B$36</definedName>
    <definedName name="Min._Total_Cost_of_Gas">'Via Driving'!$B$34</definedName>
    <definedName name="Min_Cost_per_Bus_Pass" localSheetId="6">'Via Bus (2)'!$C$18:$C$32</definedName>
    <definedName name="Min_Cost_per_Bus_Pass">'Via Bus'!$C$18:$C$33</definedName>
    <definedName name="Min_Cost_Per_Gallon" localSheetId="2">'Via Bus'!$K$17</definedName>
    <definedName name="Min_Cost_Per_Gallon" localSheetId="6">'Via Bus (2)'!$K$17</definedName>
    <definedName name="Min_Cost_Per_Gallon">'Via Driving'!$L$9</definedName>
    <definedName name="Min_Total_Bus_Cost" localSheetId="6">'Via Bus (2)'!$B$35</definedName>
    <definedName name="Min_Total_Bus_Cost">'Via Bus'!$B$35</definedName>
    <definedName name="Net_Outflow" localSheetId="6">'Via Bus (2)'!$H$8:$H$13</definedName>
    <definedName name="Net_Outflow">'Via Bus'!$H$8:$H$13</definedName>
    <definedName name="Number_of_Quarts" localSheetId="2">'Via Bus'!$H$8</definedName>
    <definedName name="Number_of_Quarts" localSheetId="6">'Via Bus (2)'!$H$8</definedName>
    <definedName name="Number_of_Quarts">'Via Driving'!$G$8</definedName>
    <definedName name="Oil_Filter_Cost" localSheetId="2">'Via Bus'!$H$10</definedName>
    <definedName name="Oil_Filter_Cost" localSheetId="6">'Via Bus (2)'!$H$10</definedName>
    <definedName name="Oil_Filter_Cost">'Via Driving'!$G$10</definedName>
    <definedName name="Origin" localSheetId="2">'Via Bus'!$A$18:$A$33</definedName>
    <definedName name="Origin" localSheetId="6">'Via Bus (2)'!$A$18:$A$32</definedName>
    <definedName name="Origin">'Via Driving'!$A$16:$A$30</definedName>
    <definedName name="OutputAddresses" localSheetId="10">'Bus 2 SolverTable'!$B$4:$Q$4</definedName>
    <definedName name="OutputAddresses" localSheetId="1">'Driving SolverTable'!$B$4:$Q$4</definedName>
    <definedName name="OutputAddresses" localSheetId="4">'Max Bus Cost SolverTable'!$B$4:$R$4</definedName>
    <definedName name="OutputAddresses" localSheetId="3">'Min Bus Cost SolverTable'!$B$4:$R$4</definedName>
    <definedName name="OutputValues" localSheetId="10">'Bus 2 SolverTable'!$B$5:$Q$19</definedName>
    <definedName name="OutputValues" localSheetId="1">'Driving SolverTable'!$B$5:$Q$24</definedName>
    <definedName name="OutputValues" localSheetId="4">'Max Bus Cost SolverTable'!$B$5:$R$19</definedName>
    <definedName name="OutputValues" localSheetId="3">'Min Bus Cost SolverTable'!$B$5:$R$19</definedName>
    <definedName name="Point_of_Origin" localSheetId="2">'Via Bus'!$B$4</definedName>
    <definedName name="Point_of_Origin" localSheetId="6">'Via Bus (2)'!$B$4</definedName>
    <definedName name="Point_of_Origin">'Via Driving'!$B$4</definedName>
    <definedName name="Required" localSheetId="6">'Via Bus (2)'!$J$8:$J$13</definedName>
    <definedName name="Required">'Via Bus'!$J$8:$J$13</definedName>
    <definedName name="Rotors" localSheetId="2">'Via Bus'!$J$10</definedName>
    <definedName name="Rotors" localSheetId="6">'Via Bus (2)'!$J$10</definedName>
    <definedName name="Rotors">'Via Driving'!$I$10</definedName>
    <definedName name="solver_adj" localSheetId="2" hidden="1">'Via Bus'!$F$18:$F$33</definedName>
    <definedName name="solver_adj" localSheetId="6" hidden="1">'Via Bus (2)'!$F$18:$F$32</definedName>
    <definedName name="solver_adj" localSheetId="0" hidden="1">'Via Driving'!$E$16:$E$30</definedName>
    <definedName name="solver_cvg" localSheetId="2" hidden="1">0.0001</definedName>
    <definedName name="solver_cvg" localSheetId="6" hidden="1">0.0001</definedName>
    <definedName name="solver_cvg" localSheetId="0" hidden="1">0.0001</definedName>
    <definedName name="solver_drv" localSheetId="2" hidden="1">2</definedName>
    <definedName name="solver_drv" localSheetId="6" hidden="1">2</definedName>
    <definedName name="solver_drv" localSheetId="0" hidden="1">2</definedName>
    <definedName name="solver_eng" localSheetId="2" hidden="1">2</definedName>
    <definedName name="solver_eng" localSheetId="6" hidden="1">2</definedName>
    <definedName name="solver_eng" localSheetId="0" hidden="1">1</definedName>
    <definedName name="solver_est" localSheetId="2" hidden="1">1</definedName>
    <definedName name="solver_est" localSheetId="6" hidden="1">1</definedName>
    <definedName name="solver_est" localSheetId="0" hidden="1">1</definedName>
    <definedName name="solver_itr" localSheetId="2" hidden="1">2147483647</definedName>
    <definedName name="solver_itr" localSheetId="6" hidden="1">2147483647</definedName>
    <definedName name="solver_itr" localSheetId="0" hidden="1">2147483647</definedName>
    <definedName name="solver_lhs1" localSheetId="2" hidden="1">'Via Bus'!$F$18:$F$33</definedName>
    <definedName name="solver_lhs1" localSheetId="6" hidden="1">'Via Bus (2)'!$F$18:$F$32</definedName>
    <definedName name="solver_lhs1" localSheetId="0" hidden="1">'Via Driving'!$E$16:$E$30</definedName>
    <definedName name="solver_lhs2" localSheetId="2" hidden="1">'Via Bus'!$H$8:$H$13</definedName>
    <definedName name="solver_lhs2" localSheetId="6" hidden="1">'Via Bus (2)'!$F$18:$F$32</definedName>
    <definedName name="solver_lhs2" localSheetId="0" hidden="1">'Via Driving'!$B$39</definedName>
    <definedName name="solver_lhs3" localSheetId="2" hidden="1">'Via Bus'!$B$40</definedName>
    <definedName name="solver_lhs3" localSheetId="6" hidden="1">'Via Bus (2)'!$H$8:$H$13</definedName>
    <definedName name="solver_lhs4" localSheetId="2" hidden="1">'Via Bus'!$B$40</definedName>
    <definedName name="solver_lhs4" localSheetId="6" hidden="1">'Via Bus (2)'!$B$40</definedName>
    <definedName name="solver_lhs5" localSheetId="2" hidden="1">'Via Bus'!$B$40</definedName>
    <definedName name="solver_lhs5" localSheetId="6" hidden="1">'Via Bus (2)'!$B$40</definedName>
    <definedName name="solver_lhs6" localSheetId="2" hidden="1">'Via Bus'!$B$40</definedName>
    <definedName name="solver_lhs6" localSheetId="6" hidden="1">'Via Bus (2)'!$B$40</definedName>
    <definedName name="solver_mip" localSheetId="2" hidden="1">2147483647</definedName>
    <definedName name="solver_mip" localSheetId="6" hidden="1">2147483647</definedName>
    <definedName name="solver_mip" localSheetId="0" hidden="1">2147483647</definedName>
    <definedName name="solver_mni" localSheetId="2" hidden="1">30</definedName>
    <definedName name="solver_mni" localSheetId="6" hidden="1">30</definedName>
    <definedName name="solver_mni" localSheetId="0" hidden="1">30</definedName>
    <definedName name="solver_mrt" localSheetId="2" hidden="1">0.075</definedName>
    <definedName name="solver_mrt" localSheetId="6" hidden="1">0.075</definedName>
    <definedName name="solver_mrt" localSheetId="0" hidden="1">0.075</definedName>
    <definedName name="solver_msl" localSheetId="2" hidden="1">2</definedName>
    <definedName name="solver_msl" localSheetId="6" hidden="1">2</definedName>
    <definedName name="solver_msl" localSheetId="0" hidden="1">2</definedName>
    <definedName name="solver_neg" localSheetId="2" hidden="1">1</definedName>
    <definedName name="solver_neg" localSheetId="6" hidden="1">1</definedName>
    <definedName name="solver_neg" localSheetId="0" hidden="1">1</definedName>
    <definedName name="solver_nod" localSheetId="2" hidden="1">2147483647</definedName>
    <definedName name="solver_nod" localSheetId="6" hidden="1">2147483647</definedName>
    <definedName name="solver_nod" localSheetId="0" hidden="1">2147483647</definedName>
    <definedName name="solver_num" localSheetId="2" hidden="1">3</definedName>
    <definedName name="solver_num" localSheetId="6" hidden="1">4</definedName>
    <definedName name="solver_num" localSheetId="0" hidden="1">2</definedName>
    <definedName name="solver_nwt" localSheetId="2" hidden="1">1</definedName>
    <definedName name="solver_nwt" localSheetId="6" hidden="1">1</definedName>
    <definedName name="solver_nwt" localSheetId="0" hidden="1">1</definedName>
    <definedName name="solver_opt" localSheetId="2" hidden="1">'Via Bus'!$B$40</definedName>
    <definedName name="solver_opt" localSheetId="6" hidden="1">'Via Bus (2)'!$B$40</definedName>
    <definedName name="solver_opt" localSheetId="0" hidden="1">'Via Driving'!$B$39</definedName>
    <definedName name="solver_pre" localSheetId="2" hidden="1">0.000001</definedName>
    <definedName name="solver_pre" localSheetId="6" hidden="1">0.000001</definedName>
    <definedName name="solver_pre" localSheetId="0" hidden="1">0.000001</definedName>
    <definedName name="solver_rbv" localSheetId="2" hidden="1">2</definedName>
    <definedName name="solver_rbv" localSheetId="6" hidden="1">2</definedName>
    <definedName name="solver_rbv" localSheetId="0" hidden="1">2</definedName>
    <definedName name="solver_rel1" localSheetId="2" hidden="1">1</definedName>
    <definedName name="solver_rel1" localSheetId="6" hidden="1">1</definedName>
    <definedName name="solver_rel1" localSheetId="0" hidden="1">1</definedName>
    <definedName name="solver_rel2" localSheetId="2" hidden="1">1</definedName>
    <definedName name="solver_rel2" localSheetId="6" hidden="1">5</definedName>
    <definedName name="solver_rel2" localSheetId="0" hidden="1">1</definedName>
    <definedName name="solver_rel3" localSheetId="2" hidden="1">1</definedName>
    <definedName name="solver_rel3" localSheetId="6" hidden="1">1</definedName>
    <definedName name="solver_rel4" localSheetId="2" hidden="1">1</definedName>
    <definedName name="solver_rel4" localSheetId="6" hidden="1">1</definedName>
    <definedName name="solver_rel5" localSheetId="2" hidden="1">1</definedName>
    <definedName name="solver_rel5" localSheetId="6" hidden="1">1</definedName>
    <definedName name="solver_rel6" localSheetId="2" hidden="1">1</definedName>
    <definedName name="solver_rel6" localSheetId="6" hidden="1">1</definedName>
    <definedName name="solver_rhs1" localSheetId="2" hidden="1">Max_Allowed</definedName>
    <definedName name="solver_rhs1" localSheetId="6" hidden="1">'Via Bus (2)'!$H$18:$H$32</definedName>
    <definedName name="solver_rhs1" localSheetId="0" hidden="1">'Via Driving'!$G$16:$G$30</definedName>
    <definedName name="solver_rhs2" localSheetId="2" hidden="1">Required</definedName>
    <definedName name="solver_rhs2" localSheetId="6" hidden="1">binary</definedName>
    <definedName name="solver_rhs2" localSheetId="0" hidden="1">Available_Funds</definedName>
    <definedName name="solver_rhs3" localSheetId="2" hidden="1">'Via Bus'!$D$40</definedName>
    <definedName name="solver_rhs3" localSheetId="6" hidden="1">'Via Bus (2)'!$J$8:$J$13</definedName>
    <definedName name="solver_rhs4" localSheetId="2" hidden="1">'Via Bus'!$D$40</definedName>
    <definedName name="solver_rhs4" localSheetId="6" hidden="1">'Via Bus (2)'!$D$40</definedName>
    <definedName name="solver_rhs5" localSheetId="2" hidden="1">'Via Bus'!$D$40</definedName>
    <definedName name="solver_rhs5" localSheetId="6" hidden="1">'Via Bus (2)'!$D$40</definedName>
    <definedName name="solver_rhs6" localSheetId="2" hidden="1">'Via Bus'!$D$40</definedName>
    <definedName name="solver_rhs6" localSheetId="6" hidden="1">'Via Bus (2)'!$D$40</definedName>
    <definedName name="solver_rlx" localSheetId="2" hidden="1">2</definedName>
    <definedName name="solver_rlx" localSheetId="6" hidden="1">2</definedName>
    <definedName name="solver_rlx" localSheetId="0" hidden="1">2</definedName>
    <definedName name="solver_rsd" localSheetId="2" hidden="1">0</definedName>
    <definedName name="solver_rsd" localSheetId="6" hidden="1">0</definedName>
    <definedName name="solver_rsd" localSheetId="0" hidden="1">0</definedName>
    <definedName name="solver_scl" localSheetId="2" hidden="1">2</definedName>
    <definedName name="solver_scl" localSheetId="6" hidden="1">2</definedName>
    <definedName name="solver_scl" localSheetId="0" hidden="1">2</definedName>
    <definedName name="solver_sho" localSheetId="2" hidden="1">2</definedName>
    <definedName name="solver_sho" localSheetId="6" hidden="1">2</definedName>
    <definedName name="solver_sho" localSheetId="0" hidden="1">2</definedName>
    <definedName name="solver_ssz" localSheetId="2" hidden="1">100</definedName>
    <definedName name="solver_ssz" localSheetId="6" hidden="1">100</definedName>
    <definedName name="solver_ssz" localSheetId="0" hidden="1">100</definedName>
    <definedName name="solver_tim" localSheetId="2" hidden="1">2147483647</definedName>
    <definedName name="solver_tim" localSheetId="6" hidden="1">2147483647</definedName>
    <definedName name="solver_tim" localSheetId="0" hidden="1">2147483647</definedName>
    <definedName name="solver_tol" localSheetId="2" hidden="1">0.01</definedName>
    <definedName name="solver_tol" localSheetId="6" hidden="1">0.01</definedName>
    <definedName name="solver_tol" localSheetId="0" hidden="1">0.01</definedName>
    <definedName name="solver_typ" localSheetId="2" hidden="1">1</definedName>
    <definedName name="solver_typ" localSheetId="6" hidden="1">1</definedName>
    <definedName name="solver_typ" localSheetId="0" hidden="1">1</definedName>
    <definedName name="solver_val" localSheetId="2" hidden="1">0</definedName>
    <definedName name="solver_val" localSheetId="6" hidden="1">0</definedName>
    <definedName name="solver_val" localSheetId="0" hidden="1">0</definedName>
    <definedName name="solver_ver" localSheetId="2" hidden="1">3</definedName>
    <definedName name="solver_ver" localSheetId="6" hidden="1">3</definedName>
    <definedName name="solver_ver" localSheetId="0" hidden="1">3</definedName>
    <definedName name="Ticket_Cost" localSheetId="6">'Via Bus (2)'!$E$18:$E$32</definedName>
    <definedName name="Ticket_Cost">'Via Bus'!$E$18:$E$33</definedName>
    <definedName name="Ticket_Flow" localSheetId="6">'Via Bus (2)'!$C$7:$C$12</definedName>
    <definedName name="Ticket_Flow">'Via Bus'!$C$7:$C$12</definedName>
    <definedName name="Total_Cost" localSheetId="2">'Via Bus'!$B$40</definedName>
    <definedName name="Total_Cost" localSheetId="6">'Via Bus (2)'!$B$40</definedName>
    <definedName name="Total_Cost">'Via Driving'!$B$39</definedName>
    <definedName name="Total_Cost__Max_Bus">'Via Bus'!$B$41</definedName>
    <definedName name="Total_Cost_Max_Bus">'Max Bus Cost SolverTable'!$T$4</definedName>
    <definedName name="Total_Distance" localSheetId="2">'Via Bus'!$B$35</definedName>
    <definedName name="Total_Distance" localSheetId="6">'Via Bus (2)'!$B$35</definedName>
    <definedName name="Total_Distance">'Via Driving'!$B$32</definedName>
    <definedName name="Total_Money_Available" localSheetId="2">'Via Bus'!$B$3</definedName>
    <definedName name="Total_Money_Available" localSheetId="6">'Via Bus (2)'!$B$3</definedName>
    <definedName name="Total_Money_Available">'Via Driving'!$B$3</definedName>
    <definedName name="Total_Ticket_Cost" localSheetId="6">'Via Bus (2)'!$B$14</definedName>
    <definedName name="Total_Ticket_Cost">'Via Bus'!$B$14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" i="24" l="1"/>
  <c r="T17" i="24"/>
  <c r="S4" i="24"/>
  <c r="T16" i="24" s="1"/>
  <c r="S1" i="23"/>
  <c r="S19" i="23"/>
  <c r="S18" i="23"/>
  <c r="S17" i="23"/>
  <c r="S16" i="23"/>
  <c r="S15" i="23"/>
  <c r="S14" i="23"/>
  <c r="S13" i="23"/>
  <c r="S12" i="23"/>
  <c r="S11" i="23"/>
  <c r="S10" i="23"/>
  <c r="S9" i="23"/>
  <c r="S8" i="23"/>
  <c r="S7" i="23"/>
  <c r="S6" i="23"/>
  <c r="S5" i="23"/>
  <c r="R4" i="23"/>
  <c r="T1" i="21"/>
  <c r="T19" i="21"/>
  <c r="T18" i="21"/>
  <c r="T17" i="21"/>
  <c r="T16" i="21"/>
  <c r="T15" i="21"/>
  <c r="T14" i="21"/>
  <c r="T13" i="21"/>
  <c r="T12" i="21"/>
  <c r="T11" i="21"/>
  <c r="T10" i="21"/>
  <c r="T9" i="21"/>
  <c r="T8" i="21"/>
  <c r="T7" i="21"/>
  <c r="T6" i="21"/>
  <c r="T5" i="21"/>
  <c r="S4" i="21"/>
  <c r="H12" i="4"/>
  <c r="H11" i="4"/>
  <c r="H10" i="4"/>
  <c r="H9" i="4"/>
  <c r="H8" i="4"/>
  <c r="S1" i="20"/>
  <c r="S24" i="20"/>
  <c r="S23" i="20"/>
  <c r="S22" i="20"/>
  <c r="S21" i="20"/>
  <c r="S20" i="20"/>
  <c r="S19" i="20"/>
  <c r="S18" i="20"/>
  <c r="S17" i="20"/>
  <c r="S16" i="20"/>
  <c r="S15" i="20"/>
  <c r="S14" i="20"/>
  <c r="S13" i="20"/>
  <c r="S12" i="20"/>
  <c r="S11" i="20"/>
  <c r="S10" i="20"/>
  <c r="S9" i="20"/>
  <c r="S8" i="20"/>
  <c r="S7" i="20"/>
  <c r="S6" i="20"/>
  <c r="S5" i="20"/>
  <c r="R4" i="20"/>
  <c r="T5" i="24" l="1"/>
  <c r="T6" i="24"/>
  <c r="T18" i="24"/>
  <c r="T7" i="24"/>
  <c r="T19" i="24"/>
  <c r="T8" i="24"/>
  <c r="T10" i="24"/>
  <c r="T9" i="24"/>
  <c r="T11" i="24"/>
  <c r="T12" i="24"/>
  <c r="T13" i="24"/>
  <c r="T14" i="24"/>
  <c r="T15" i="24"/>
  <c r="D33" i="1" l="1"/>
  <c r="D41" i="2"/>
  <c r="H9" i="2"/>
  <c r="H10" i="2"/>
  <c r="H11" i="2"/>
  <c r="H12" i="2"/>
  <c r="H13" i="2"/>
  <c r="H8" i="2"/>
  <c r="D40" i="4"/>
  <c r="B38" i="4"/>
  <c r="B36" i="4"/>
  <c r="B35" i="4"/>
  <c r="B35" i="2"/>
  <c r="B40" i="4" l="1"/>
  <c r="B38" i="2" l="1"/>
  <c r="B36" i="2" l="1"/>
  <c r="B41" i="2" s="1"/>
  <c r="B40" i="2"/>
  <c r="D40" i="2"/>
  <c r="I12" i="1"/>
  <c r="G12" i="1"/>
  <c r="G14" i="1" s="1"/>
  <c r="D39" i="1"/>
  <c r="B32" i="1"/>
  <c r="B34" i="1" l="1"/>
  <c r="B36" i="1"/>
  <c r="B35" i="1"/>
  <c r="B3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Danny Perez</author>
  </authors>
  <commentList>
    <comment ref="B5" authorId="0" shapeId="0" xr:uid="{9F7AFF5A-21B1-49FF-AB52-7CFEDFFE6573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6" authorId="0" shapeId="0" xr:uid="{A2740CE7-3AB8-4818-946C-264879486B2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7" authorId="0" shapeId="0" xr:uid="{68DF38F0-EA83-4773-9A3B-1EB47CF920EB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8" authorId="0" shapeId="0" xr:uid="{823DA2EC-ECC3-467E-98E0-63B8717B8D3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9" authorId="0" shapeId="0" xr:uid="{CA288C12-F8B7-4AEF-AF38-FEF54B147404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0" authorId="0" shapeId="0" xr:uid="{BF47A2A8-88DE-4947-BE41-7509CBCF283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1" authorId="0" shapeId="0" xr:uid="{14C572B1-70BC-4F3F-983B-7FA6A08A34D2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2" authorId="0" shapeId="0" xr:uid="{BEC92EFB-E279-454E-A1D2-6E9A2360C792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3" authorId="0" shapeId="0" xr:uid="{16967B05-6B9E-4FD9-A20D-22132984D8E3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4" authorId="0" shapeId="0" xr:uid="{976E5116-045A-4DA2-984B-BCE20ECD0C34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5" authorId="0" shapeId="0" xr:uid="{FB53B446-9CE8-4F26-B595-8630B1484864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6" authorId="0" shapeId="0" xr:uid="{99AA4D9C-4A8B-4814-8F67-7283361E610C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7" authorId="0" shapeId="0" xr:uid="{BDB74A70-5CAD-42CD-8A24-1C448BDE28B4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8" authorId="0" shapeId="0" xr:uid="{5BFE903D-FCEF-4828-B58D-41EB094F349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9" authorId="0" shapeId="0" xr:uid="{C686CA7C-A8CD-4F20-80AE-CFE5D0EB5E95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20" authorId="0" shapeId="0" xr:uid="{23F49821-2DE2-4AEA-8DC5-8460B1CD0C54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21" authorId="0" shapeId="0" xr:uid="{BD40B37F-E753-4B4D-9585-EEEFE2D66177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22" authorId="0" shapeId="0" xr:uid="{1ADAE9C3-966D-4E04-A050-35275C6855B3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23" authorId="0" shapeId="0" xr:uid="{E1CF68E0-E6F7-401E-AB68-7692B839CF84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24" authorId="0" shapeId="0" xr:uid="{18E5EF2F-BB65-42E9-B549-8EA83A1D6ED8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Danny Perez</author>
  </authors>
  <commentList>
    <comment ref="B5" authorId="0" shapeId="0" xr:uid="{FC1CF6AE-52A3-42B3-ADFC-983C6D9BDC4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A8AE9C43-1E42-41C9-8704-2A7F43534F8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A42C5E7B-BB90-4859-8C7F-F02C5982BC8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FAEA2C8C-B3ED-4FA8-97E1-BF67E27C3D4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4CC72AAB-358C-4838-BC9B-A2DC7874DF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A63A024F-295D-4963-A96B-90AF2676682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93FC1AF3-D564-42F7-B700-FD35E9CA69B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342CBC0F-D97C-4A3C-9C77-16BA133F842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19DDD182-2923-44ED-9BCE-F0D999737B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CF8878A1-8A7C-4129-A0BD-A994A096FDD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B207E8C3-3F94-4A40-B8A8-8A8DB96E9A3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" authorId="0" shapeId="0" xr:uid="{CBF625F4-EC26-4AAB-B623-985FB1F3EBF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" authorId="0" shapeId="0" xr:uid="{D4C3890B-3A57-47C9-A1EC-000191BA97D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" authorId="0" shapeId="0" xr:uid="{7DAC2843-F619-452D-B43F-FC4E1DA9F01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" authorId="0" shapeId="0" xr:uid="{C85FC782-B670-44C4-BB0B-5E87F35BC8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Danny Perez</author>
  </authors>
  <commentList>
    <comment ref="B5" authorId="0" shapeId="0" xr:uid="{114236B6-3F15-4F36-BEE7-B1852C7F1E2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7E6A381B-A05F-4120-BBF0-A8F575A58F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7D4A1501-30EC-4D43-83BC-B352B2D4A55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83ED6724-2078-42F4-85DA-9091DFA7080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1ED23E0B-C2DA-4CD6-B49E-5613C61146A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B5E3D5EF-44BB-44A7-843D-67E76E9B3C0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20A01704-2962-4507-9D7B-14982BC57FE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8C25D4B8-36C2-4D30-8AAC-6505AEF9162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CA4BC81C-545A-4A32-AAED-400FC59A00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096CEF5B-41B3-41F8-ACB8-6155731402D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18BEF5D4-05A6-4786-8246-9561FB50227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" authorId="0" shapeId="0" xr:uid="{FB7C0BAA-7C55-43BF-B8AB-B70D859CAF1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" authorId="0" shapeId="0" xr:uid="{F3D0707C-EB98-4927-97C3-C305EC360EB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" authorId="0" shapeId="0" xr:uid="{0FA45FBF-29A8-4261-81BA-FCF7B04887D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" authorId="0" shapeId="0" xr:uid="{A057BEB8-C81C-4C42-B68A-9BCE6937F45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Danny Perez</author>
  </authors>
  <commentList>
    <comment ref="B5" authorId="0" shapeId="0" xr:uid="{FB410066-C8B4-435F-9C9D-C1980A2A98A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6" authorId="0" shapeId="0" xr:uid="{AA2C5B3C-0E8B-4463-A8C6-38F90CF9A9D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4FE2B143-B48C-44F8-A902-1D24F655858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1431014C-293E-4D40-830C-CF24865A665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8D6A6F99-4C8F-4F0E-A2D3-091CDC5DA7F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064738AB-C8BB-41FD-B4BB-AD0A5D51B4D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0B9F44A4-2CD7-4B2E-8EA6-B21984899FB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9D325182-E555-4506-B949-5D229062196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FC7F6487-AF5A-4F09-ABA1-728F9EBE66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20DA2089-C809-4F40-BC9A-E6AB5F3D22D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80A32474-37E6-41B4-B19C-DF991C41FD1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" authorId="0" shapeId="0" xr:uid="{89AA3C1E-6B7D-4AEE-9756-86647828355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" authorId="0" shapeId="0" xr:uid="{DD0EA03C-7FD7-44E6-871A-129F61004AE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" authorId="0" shapeId="0" xr:uid="{618B6DBB-3043-4C74-A014-CC96C519059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" authorId="0" shapeId="0" xr:uid="{209B7CDD-00D6-4EE0-8536-EED5F9A9E96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sharedStrings.xml><?xml version="1.0" encoding="utf-8"?>
<sst xmlns="http://schemas.openxmlformats.org/spreadsheetml/2006/main" count="356" uniqueCount="139">
  <si>
    <t>Music Festival Shortest Path Model</t>
  </si>
  <si>
    <t>Festival Name</t>
  </si>
  <si>
    <t>Total Money Available</t>
  </si>
  <si>
    <t>Point of Origin</t>
  </si>
  <si>
    <t>Bonnaroo</t>
  </si>
  <si>
    <t>Firefly</t>
  </si>
  <si>
    <t>Electric Forest</t>
  </si>
  <si>
    <t>Camp Bisco</t>
  </si>
  <si>
    <t>Moonrise</t>
  </si>
  <si>
    <t>Basscenter</t>
  </si>
  <si>
    <t>Network Model - Flow Analysis</t>
  </si>
  <si>
    <t>Origin</t>
  </si>
  <si>
    <t>Destination</t>
  </si>
  <si>
    <t>Flow</t>
  </si>
  <si>
    <t>Distance</t>
  </si>
  <si>
    <t>Total Distance</t>
  </si>
  <si>
    <t>Total Cost</t>
  </si>
  <si>
    <t xml:space="preserve">&lt;= </t>
  </si>
  <si>
    <t>Available Funds</t>
  </si>
  <si>
    <t>Cost per Gallon of Gasoline</t>
  </si>
  <si>
    <t>Min</t>
  </si>
  <si>
    <t>Average</t>
  </si>
  <si>
    <t>Max</t>
  </si>
  <si>
    <t>Maintenance Costs</t>
  </si>
  <si>
    <t>Oil Change</t>
  </si>
  <si>
    <t>Cost per Quart</t>
  </si>
  <si>
    <t>Number of Quarts</t>
  </si>
  <si>
    <t>Oil Change Total</t>
  </si>
  <si>
    <t>Oil Filter Cost</t>
  </si>
  <si>
    <t>Brakes</t>
  </si>
  <si>
    <t>Brake Pads</t>
  </si>
  <si>
    <t>Cost per Pad</t>
  </si>
  <si>
    <t>Rotors</t>
  </si>
  <si>
    <t>Cost per Rotor</t>
  </si>
  <si>
    <t>Brake Change Total</t>
  </si>
  <si>
    <t>Min Cost per Bus Pass</t>
  </si>
  <si>
    <t>Max Cost per Bus Pass</t>
  </si>
  <si>
    <t>Min Total Bus Cost</t>
  </si>
  <si>
    <t>Max Total Bus Cost</t>
  </si>
  <si>
    <t>Max Allowed</t>
  </si>
  <si>
    <t>Total Ticket Cost</t>
  </si>
  <si>
    <t>Cost of Tickets</t>
  </si>
  <si>
    <t>Flow Constraints</t>
  </si>
  <si>
    <t>Festival</t>
  </si>
  <si>
    <t>Net Outflow</t>
  </si>
  <si>
    <t>Required</t>
  </si>
  <si>
    <t>Ticket Cost</t>
  </si>
  <si>
    <t>&lt;=</t>
  </si>
  <si>
    <t>Total Maintenance Cost</t>
  </si>
  <si>
    <t>Worksheet: [Final Project.xlsx]Via Bus</t>
  </si>
  <si>
    <t>Cell</t>
  </si>
  <si>
    <t>Name</t>
  </si>
  <si>
    <t>Variable Cells</t>
  </si>
  <si>
    <t>Constraints</t>
  </si>
  <si>
    <t>$B$40</t>
  </si>
  <si>
    <t>Total_Cost</t>
  </si>
  <si>
    <t>$F$18</t>
  </si>
  <si>
    <t>$F$19</t>
  </si>
  <si>
    <t>$F$20</t>
  </si>
  <si>
    <t>$F$21</t>
  </si>
  <si>
    <t>$F$22</t>
  </si>
  <si>
    <t>$F$23</t>
  </si>
  <si>
    <t>$F$24</t>
  </si>
  <si>
    <t>$F$25</t>
  </si>
  <si>
    <t>$F$26</t>
  </si>
  <si>
    <t>$F$27</t>
  </si>
  <si>
    <t>$F$28</t>
  </si>
  <si>
    <t>$F$29</t>
  </si>
  <si>
    <t>$F$30</t>
  </si>
  <si>
    <t>$F$31</t>
  </si>
  <si>
    <t>$F$32</t>
  </si>
  <si>
    <t>$F$33</t>
  </si>
  <si>
    <t>$H$8</t>
  </si>
  <si>
    <t>Number_of_Quarts</t>
  </si>
  <si>
    <t>$H$9</t>
  </si>
  <si>
    <t>Cost_per_Quart</t>
  </si>
  <si>
    <t>$H$10</t>
  </si>
  <si>
    <t>Oil_Filter_Cost</t>
  </si>
  <si>
    <t>$H$11</t>
  </si>
  <si>
    <t>$H$12</t>
  </si>
  <si>
    <t>$H$13</t>
  </si>
  <si>
    <t>Bonnaroo - 1</t>
  </si>
  <si>
    <t>Firefly - 2</t>
  </si>
  <si>
    <t>Electric Forest -3</t>
  </si>
  <si>
    <t>Camp Bisco - 4</t>
  </si>
  <si>
    <t>Moonrise - 5</t>
  </si>
  <si>
    <t>Basscenter - 6</t>
  </si>
  <si>
    <t>Report Created: 12/13/2018 7:17:52 PM</t>
  </si>
  <si>
    <t>Moonrise - 5 Net Outflow</t>
  </si>
  <si>
    <t>Basscenter - 6 Net Outflow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</si>
  <si>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</si>
  <si>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</si>
  <si>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</si>
  <si>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</si>
  <si>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</si>
  <si>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</si>
  <si>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</si>
  <si>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</si>
  <si>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</si>
  <si>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</si>
  <si>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</si>
  <si>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</si>
  <si>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</si>
  <si>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</si>
  <si>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Total Cost (Min Bus)</t>
  </si>
  <si>
    <t>Total Cost (Max Bus)</t>
  </si>
  <si>
    <t xml:space="preserve">Avg. Total Cost of Gas </t>
  </si>
  <si>
    <t>Min. Total Cost of Gas</t>
  </si>
  <si>
    <t>Max. Total Cost of Gas</t>
  </si>
  <si>
    <t>Tickets</t>
  </si>
  <si>
    <t>Total Cost of Tickets</t>
  </si>
  <si>
    <t>$B$3</t>
  </si>
  <si>
    <t>Oneway analysis for Solver model in Via Driving worksheet</t>
  </si>
  <si>
    <t>Total Money Available (cell $B$3) values along side, output cell(s) along top</t>
  </si>
  <si>
    <t>Data for chart</t>
  </si>
  <si>
    <t>Oneway analysis for Solver model in Via Bus worksheet</t>
  </si>
  <si>
    <t>$B$41</t>
  </si>
  <si>
    <t>Flow_1</t>
  </si>
  <si>
    <t>Flow_2</t>
  </si>
  <si>
    <t>Flow_3</t>
  </si>
  <si>
    <t>Flow_4</t>
  </si>
  <si>
    <t>Flow_5</t>
  </si>
  <si>
    <t>Flow_6</t>
  </si>
  <si>
    <t>Flow_7</t>
  </si>
  <si>
    <t>Flow_8</t>
  </si>
  <si>
    <t>Flow_9</t>
  </si>
  <si>
    <t>Flow_10</t>
  </si>
  <si>
    <t>Flow_11</t>
  </si>
  <si>
    <t>Flow_12</t>
  </si>
  <si>
    <t>Flow_13</t>
  </si>
  <si>
    <t>Flow_14</t>
  </si>
  <si>
    <t>Flow_15</t>
  </si>
  <si>
    <t>Flow_16</t>
  </si>
  <si>
    <t>$F$18:$F$32,$B$40</t>
  </si>
  <si>
    <t>Total Funds Available</t>
  </si>
  <si>
    <t>Oneway analysis for Solver model in Via Bus (2) worksheet</t>
  </si>
  <si>
    <t>Total Funds Available (cell $B$3) values along side, output cell(s) along top</t>
  </si>
  <si>
    <t>$F$18:$F$33,$B$41</t>
  </si>
  <si>
    <t>$B$34,$E$16:$E$30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</si>
</sst>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  <numFmt numFmtId="170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4" fillId="4" borderId="1" applyNumberFormat="0" applyAlignment="0" applyProtection="0"/>
  </cellStyleXfs>
  <cellXfs count="6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6" fontId="0" fillId="2" borderId="0" xfId="0" applyNumberFormat="1" applyFill="1"/>
    <xf numFmtId="8" fontId="0" fillId="2" borderId="0" xfId="0" applyNumberFormat="1" applyFill="1"/>
    <xf numFmtId="8" fontId="0" fillId="0" borderId="0" xfId="0" applyNumberFormat="1"/>
    <xf numFmtId="0" fontId="0" fillId="0" borderId="0" xfId="0" applyFill="1"/>
    <xf numFmtId="1" fontId="0" fillId="3" borderId="0" xfId="0" applyNumberFormat="1" applyFill="1"/>
    <xf numFmtId="44" fontId="0" fillId="0" borderId="0" xfId="1" applyFont="1"/>
    <xf numFmtId="168" fontId="0" fillId="0" borderId="0" xfId="1" applyNumberFormat="1" applyFont="1"/>
    <xf numFmtId="44" fontId="0" fillId="0" borderId="0" xfId="1" applyFont="1" applyFill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8" fontId="0" fillId="2" borderId="0" xfId="1" applyNumberFormat="1" applyFont="1" applyFill="1"/>
    <xf numFmtId="6" fontId="0" fillId="0" borderId="0" xfId="0" applyNumberFormat="1"/>
    <xf numFmtId="44" fontId="0" fillId="2" borderId="0" xfId="1" applyFont="1" applyFill="1"/>
    <xf numFmtId="8" fontId="0" fillId="0" borderId="0" xfId="0" applyNumberFormat="1" applyFill="1"/>
    <xf numFmtId="6" fontId="0" fillId="0" borderId="0" xfId="0" applyNumberFormat="1" applyFill="1"/>
    <xf numFmtId="6" fontId="1" fillId="0" borderId="0" xfId="0" applyNumberFormat="1" applyFon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4" fillId="0" borderId="1" xfId="2" applyNumberFormat="1" applyFill="1"/>
    <xf numFmtId="170" fontId="0" fillId="5" borderId="0" xfId="0" applyNumberFormat="1" applyFill="1"/>
    <xf numFmtId="0" fontId="0" fillId="0" borderId="0" xfId="0" applyAlignment="1">
      <alignment horizontal="center"/>
    </xf>
    <xf numFmtId="0" fontId="0" fillId="0" borderId="0" xfId="1" applyNumberFormat="1" applyFont="1" applyFill="1"/>
    <xf numFmtId="0" fontId="0" fillId="0" borderId="0" xfId="0" applyNumberFormat="1"/>
    <xf numFmtId="0" fontId="0" fillId="0" borderId="0" xfId="1" applyNumberFormat="1" applyFont="1"/>
    <xf numFmtId="44" fontId="0" fillId="2" borderId="0" xfId="1" applyNumberFormat="1" applyFont="1" applyFill="1"/>
    <xf numFmtId="1" fontId="0" fillId="0" borderId="0" xfId="0" applyNumberFormat="1" applyFill="1"/>
    <xf numFmtId="44" fontId="0" fillId="5" borderId="0" xfId="0" applyNumberFormat="1" applyFill="1"/>
    <xf numFmtId="0" fontId="0" fillId="0" borderId="10" xfId="0" applyFill="1" applyBorder="1" applyAlignment="1"/>
    <xf numFmtId="0" fontId="0" fillId="0" borderId="11" xfId="0" applyFill="1" applyBorder="1" applyAlignment="1"/>
    <xf numFmtId="0" fontId="5" fillId="0" borderId="8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7" fontId="0" fillId="0" borderId="10" xfId="0" applyNumberFormat="1" applyFill="1" applyBorder="1" applyAlignment="1"/>
    <xf numFmtId="0" fontId="1" fillId="0" borderId="0" xfId="0" applyFont="1" applyFill="1" applyAlignment="1">
      <alignment horizontal="center"/>
    </xf>
    <xf numFmtId="44" fontId="0" fillId="0" borderId="0" xfId="0" applyNumberFormat="1"/>
    <xf numFmtId="170" fontId="0" fillId="2" borderId="0" xfId="0" applyNumberFormat="1" applyFill="1"/>
    <xf numFmtId="44" fontId="0" fillId="2" borderId="0" xfId="0" applyNumberFormat="1" applyFill="1"/>
    <xf numFmtId="49" fontId="0" fillId="0" borderId="0" xfId="0" applyNumberFormat="1"/>
    <xf numFmtId="0" fontId="0" fillId="0" borderId="0" xfId="0" applyAlignment="1">
      <alignment horizontal="right" textRotation="90"/>
    </xf>
    <xf numFmtId="0" fontId="0" fillId="6" borderId="0" xfId="0" applyFill="1" applyAlignment="1">
      <alignment horizontal="right" textRotation="90"/>
    </xf>
    <xf numFmtId="0" fontId="6" fillId="0" borderId="0" xfId="0" applyFont="1"/>
    <xf numFmtId="170" fontId="0" fillId="0" borderId="2" xfId="0" applyNumberFormat="1" applyBorder="1"/>
    <xf numFmtId="44" fontId="0" fillId="0" borderId="3" xfId="0" applyNumberFormat="1" applyBorder="1"/>
    <xf numFmtId="170" fontId="0" fillId="0" borderId="4" xfId="0" applyNumberFormat="1" applyBorder="1"/>
    <xf numFmtId="44" fontId="0" fillId="0" borderId="5" xfId="0" applyNumberFormat="1" applyBorder="1"/>
    <xf numFmtId="170" fontId="0" fillId="0" borderId="6" xfId="0" applyNumberFormat="1" applyBorder="1"/>
    <xf numFmtId="44" fontId="0" fillId="0" borderId="7" xfId="0" applyNumberFormat="1" applyBorder="1"/>
    <xf numFmtId="44" fontId="0" fillId="0" borderId="2" xfId="0" applyNumberFormat="1" applyBorder="1"/>
    <xf numFmtId="1" fontId="0" fillId="0" borderId="12" xfId="0" applyNumberFormat="1" applyBorder="1"/>
    <xf numFmtId="1" fontId="0" fillId="0" borderId="3" xfId="0" applyNumberFormat="1" applyBorder="1"/>
    <xf numFmtId="44" fontId="0" fillId="0" borderId="4" xfId="0" applyNumberFormat="1" applyBorder="1"/>
    <xf numFmtId="1" fontId="0" fillId="0" borderId="0" xfId="0" applyNumberFormat="1" applyBorder="1"/>
    <xf numFmtId="1" fontId="0" fillId="0" borderId="5" xfId="0" applyNumberFormat="1" applyBorder="1"/>
    <xf numFmtId="44" fontId="0" fillId="0" borderId="6" xfId="0" applyNumberFormat="1" applyBorder="1"/>
    <xf numFmtId="1" fontId="0" fillId="0" borderId="13" xfId="0" applyNumberFormat="1" applyBorder="1"/>
    <xf numFmtId="1" fontId="0" fillId="0" borderId="7" xfId="0" applyNumberFormat="1" applyBorder="1"/>
    <xf numFmtId="1" fontId="0" fillId="0" borderId="2" xfId="0" applyNumberFormat="1" applyBorder="1"/>
    <xf numFmtId="170" fontId="0" fillId="0" borderId="3" xfId="0" applyNumberFormat="1" applyBorder="1"/>
    <xf numFmtId="1" fontId="0" fillId="0" borderId="4" xfId="0" applyNumberFormat="1" applyBorder="1"/>
    <xf numFmtId="170" fontId="0" fillId="0" borderId="5" xfId="0" applyNumberFormat="1" applyBorder="1"/>
    <xf numFmtId="1" fontId="0" fillId="0" borderId="6" xfId="0" applyNumberFormat="1" applyBorder="1"/>
    <xf numFmtId="170" fontId="0" fillId="0" borderId="7" xfId="0" applyNumberFormat="1" applyBorder="1"/>
  </cellXfs>
  <cellStyles count="3">
    <cellStyle name="Currency" xfId="1" builtinId="4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'Driving SolverTable'!$S$1</c:f>
          <c:strCache>
            <c:ptCount val="1"/>
            <c:pt idx="0">
              <c:v>Sensitivity of Total_Cost to Total Money Available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'Driving SolverTable'!$A$5:$A$24</c:f>
              <c:numCache>
                <c:formatCode>"$"#,##0_);[Red]\("$"#,##0\)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'Driving SolverTable'!$S$5:$S$24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9E-47C6-B201-21B9177F5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359224"/>
        <c:axId val="528363384"/>
      </c:lineChart>
      <c:catAx>
        <c:axId val="528359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Money Available ($B$3)</a:t>
                </a:r>
              </a:p>
            </c:rich>
          </c:tx>
          <c:overlay val="0"/>
        </c:title>
        <c:numFmt formatCode="&quot;$&quot;#,##0_);[Red]\(&quot;$&quot;#,##0\)" sourceLinked="1"/>
        <c:majorTickMark val="out"/>
        <c:minorTickMark val="none"/>
        <c:tickLblPos val="nextTo"/>
        <c:crossAx val="528363384"/>
        <c:crosses val="autoZero"/>
        <c:auto val="1"/>
        <c:lblAlgn val="ctr"/>
        <c:lblOffset val="100"/>
        <c:noMultiLvlLbl val="0"/>
      </c:catAx>
      <c:valAx>
        <c:axId val="528363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835922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'Min Bus Cost SolverTable'!$T$1</c:f>
          <c:strCache>
            <c:ptCount val="1"/>
            <c:pt idx="0">
              <c:v>Sensitivity of Total_Cost to Total Money Available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'Min Bus Cost SolverTable'!$A$5:$A$19</c:f>
              <c:numCache>
                <c:formatCode>"$"#,##0_);[Red]\("$"#,##0\)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</c:numCache>
            </c:numRef>
          </c:cat>
          <c:val>
            <c:numRef>
              <c:f>'Min Bus Cost SolverTable'!$T$5:$T$19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2085.5</c:v>
                </c:pt>
                <c:pt idx="3">
                  <c:v>2085.5</c:v>
                </c:pt>
                <c:pt idx="4">
                  <c:v>2085.5</c:v>
                </c:pt>
                <c:pt idx="5">
                  <c:v>2085.5</c:v>
                </c:pt>
                <c:pt idx="6">
                  <c:v>2085.5</c:v>
                </c:pt>
                <c:pt idx="7">
                  <c:v>2085.5</c:v>
                </c:pt>
                <c:pt idx="8">
                  <c:v>2085.5</c:v>
                </c:pt>
                <c:pt idx="9">
                  <c:v>2085.5</c:v>
                </c:pt>
                <c:pt idx="10">
                  <c:v>2085.5</c:v>
                </c:pt>
                <c:pt idx="11">
                  <c:v>2085.5</c:v>
                </c:pt>
                <c:pt idx="12">
                  <c:v>2085.5</c:v>
                </c:pt>
                <c:pt idx="13">
                  <c:v>2085.5</c:v>
                </c:pt>
                <c:pt idx="14">
                  <c:v>2085.5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B-4829-9A4B-39961830D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619896"/>
        <c:axId val="693617976"/>
      </c:lineChart>
      <c:catAx>
        <c:axId val="693619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Money Available ($B$3)</a:t>
                </a:r>
              </a:p>
            </c:rich>
          </c:tx>
          <c:overlay val="0"/>
        </c:title>
        <c:numFmt formatCode="&quot;$&quot;#,##0_);[Red]\(&quot;$&quot;#,##0\)" sourceLinked="1"/>
        <c:majorTickMark val="out"/>
        <c:minorTickMark val="none"/>
        <c:tickLblPos val="nextTo"/>
        <c:crossAx val="693617976"/>
        <c:crosses val="autoZero"/>
        <c:auto val="1"/>
        <c:lblAlgn val="ctr"/>
        <c:lblOffset val="100"/>
        <c:noMultiLvlLbl val="0"/>
      </c:catAx>
      <c:valAx>
        <c:axId val="693617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361989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'Max Bus Cost SolverTable'!$T$1</c:f>
          <c:strCache>
            <c:ptCount val="1"/>
            <c:pt idx="0">
              <c:v>Sensitivity of $B$41 to Total Money Available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'Max Bus Cost SolverTable'!$A$5:$A$19</c:f>
              <c:numCache>
                <c:formatCode>"$"#,##0_);[Red]\("$"#,##0\)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</c:numCache>
            </c:numRef>
          </c:cat>
          <c:val>
            <c:numRef>
              <c:f>'Max Bus Cost SolverTable'!$T$5:$T$19</c:f>
              <c:numCache>
                <c:formatCode>General</c:formatCode>
                <c:ptCount val="15"/>
                <c:pt idx="0">
                  <c:v>1164.8399999999999</c:v>
                </c:pt>
                <c:pt idx="1">
                  <c:v>2257</c:v>
                </c:pt>
                <c:pt idx="2">
                  <c:v>2342.5</c:v>
                </c:pt>
                <c:pt idx="3">
                  <c:v>2342.5</c:v>
                </c:pt>
                <c:pt idx="4">
                  <c:v>2342.5</c:v>
                </c:pt>
                <c:pt idx="5">
                  <c:v>2342.5</c:v>
                </c:pt>
                <c:pt idx="6">
                  <c:v>2342.5</c:v>
                </c:pt>
                <c:pt idx="7">
                  <c:v>2342.5</c:v>
                </c:pt>
                <c:pt idx="8">
                  <c:v>2342.5</c:v>
                </c:pt>
                <c:pt idx="9">
                  <c:v>2342.5</c:v>
                </c:pt>
                <c:pt idx="10">
                  <c:v>2342.5</c:v>
                </c:pt>
                <c:pt idx="11">
                  <c:v>2342.5</c:v>
                </c:pt>
                <c:pt idx="12">
                  <c:v>2342.5</c:v>
                </c:pt>
                <c:pt idx="13">
                  <c:v>2342.5</c:v>
                </c:pt>
                <c:pt idx="14">
                  <c:v>2342.5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13-4721-811F-C9DDE71FD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186672"/>
        <c:axId val="501187312"/>
      </c:lineChart>
      <c:catAx>
        <c:axId val="50118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Money Available ($B$3)</a:t>
                </a:r>
              </a:p>
            </c:rich>
          </c:tx>
          <c:overlay val="0"/>
        </c:title>
        <c:numFmt formatCode="&quot;$&quot;#,##0_);[Red]\(&quot;$&quot;#,##0\)" sourceLinked="1"/>
        <c:majorTickMark val="out"/>
        <c:minorTickMark val="none"/>
        <c:tickLblPos val="nextTo"/>
        <c:crossAx val="501187312"/>
        <c:crosses val="autoZero"/>
        <c:auto val="1"/>
        <c:lblAlgn val="ctr"/>
        <c:lblOffset val="100"/>
        <c:noMultiLvlLbl val="0"/>
      </c:catAx>
      <c:valAx>
        <c:axId val="50118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18667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'Bus 2 SolverTable'!$S$1</c:f>
          <c:strCache>
            <c:ptCount val="1"/>
            <c:pt idx="0">
              <c:v>Sensitivity of Flow_1 to Total Funds Available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'Bus 2 SolverTable'!$A$5:$A$19</c:f>
              <c:numCache>
                <c:formatCode>"$"#,##0_);[Red]\("$"#,##0\)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</c:numCache>
            </c:numRef>
          </c:cat>
          <c:val>
            <c:numRef>
              <c:f>'Bus 2 SolverTable'!$S$5:$S$19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9E-4BD7-A14B-868E4EED3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566384"/>
        <c:axId val="427569584"/>
      </c:lineChart>
      <c:catAx>
        <c:axId val="42756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Funds Available ($B$3)</a:t>
                </a:r>
              </a:p>
            </c:rich>
          </c:tx>
          <c:overlay val="0"/>
        </c:title>
        <c:numFmt formatCode="&quot;$&quot;#,##0_);[Red]\(&quot;$&quot;#,##0\)" sourceLinked="1"/>
        <c:majorTickMark val="out"/>
        <c:minorTickMark val="none"/>
        <c:tickLblPos val="nextTo"/>
        <c:crossAx val="427569584"/>
        <c:crosses val="autoZero"/>
        <c:auto val="1"/>
        <c:lblAlgn val="ctr"/>
        <c:lblOffset val="100"/>
        <c:noMultiLvlLbl val="0"/>
      </c:catAx>
      <c:valAx>
        <c:axId val="42756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756638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17</xdr:col>
      <xdr:colOff>447675</xdr:colOff>
      <xdr:row>25</xdr:row>
      <xdr:rowOff>0</xdr:rowOff>
    </xdr:from>
    <xdr:to>
      <xdr:col>25</xdr:col>
      <xdr:colOff>447675</xdr:colOff>
      <xdr:row>40</xdr:row>
      <xdr:rowOff>0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C1E82D13-8408-41B5-9BE3-56356FDE5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19</xdr:col>
      <xdr:colOff>447675</xdr:colOff>
      <xdr:row>3</xdr:row>
      <xdr:rowOff>0</xdr:rowOff>
    </xdr:from>
    <xdr:to>
      <xdr:col>23</xdr:col>
      <xdr:colOff>447675</xdr:colOff>
      <xdr:row>4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4EB7B69-DBED-496B-BC85-08FD7834956E}"/>
            </a:ext>
          </a:extLst>
        </xdr:cNvPr>
        <xdr:cNvSpPr txBox="1"/>
      </xdr:nvSpPr>
      <xdr:spPr>
        <a:xfrm>
          <a:off x="121920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$S$4, the chart will adapt to that output.</a:t>
          </a:r>
        </a:p>
      </xdr:txBody>
    </xdr:sp>
    <xdr:clientData/>
  </xdr:twoCellAnchor>
  <xdr:twoCellAnchor>
    <xdr:from>
      <xdr:col>1</xdr:col>
      <xdr:colOff>723900</xdr:colOff>
      <xdr:row>26</xdr:row>
      <xdr:rowOff>9525</xdr:rowOff>
    </xdr:from>
    <xdr:to>
      <xdr:col>8</xdr:col>
      <xdr:colOff>123825</xdr:colOff>
      <xdr:row>33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4BEAD90-CDA3-42C2-A9C9-C7D52828B26D}"/>
            </a:ext>
          </a:extLst>
        </xdr:cNvPr>
        <xdr:cNvSpPr txBox="1"/>
      </xdr:nvSpPr>
      <xdr:spPr>
        <a:xfrm>
          <a:off x="1333500" y="5457825"/>
          <a:ext cx="3829050" cy="1323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This model indicates that a person can spend any input amount in total at any level.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19</xdr:col>
      <xdr:colOff>0</xdr:colOff>
      <xdr:row>20</xdr:row>
      <xdr:rowOff>0</xdr:rowOff>
    </xdr:from>
    <xdr:to>
      <xdr:col>27</xdr:col>
      <xdr:colOff>0</xdr:colOff>
      <xdr:row>35</xdr:row>
      <xdr:rowOff>0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4B0C8BC2-EF54-4A9D-B572-F9E8D7DCE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21</xdr:col>
      <xdr:colOff>0</xdr:colOff>
      <xdr:row>3</xdr:row>
      <xdr:rowOff>0</xdr:rowOff>
    </xdr:from>
    <xdr:to>
      <xdr:col>25</xdr:col>
      <xdr:colOff>0</xdr:colOff>
      <xdr:row>4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05F8552-9342-43F6-9BE8-1921D4ACFC1E}"/>
            </a:ext>
          </a:extLst>
        </xdr:cNvPr>
        <xdr:cNvSpPr txBox="1"/>
      </xdr:nvSpPr>
      <xdr:spPr>
        <a:xfrm>
          <a:off x="128016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$T$4, the chart will adapt to that output.</a:t>
          </a:r>
        </a:p>
      </xdr:txBody>
    </xdr:sp>
    <xdr:clientData/>
  </xdr:twoCellAnchor>
  <xdr:twoCellAnchor>
    <xdr:from>
      <xdr:col>2</xdr:col>
      <xdr:colOff>114300</xdr:colOff>
      <xdr:row>20</xdr:row>
      <xdr:rowOff>85725</xdr:rowOff>
    </xdr:from>
    <xdr:to>
      <xdr:col>7</xdr:col>
      <xdr:colOff>400050</xdr:colOff>
      <xdr:row>26</xdr:row>
      <xdr:rowOff>142875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1638726-870D-4AB9-83B0-E77CF50CF624}"/>
            </a:ext>
          </a:extLst>
        </xdr:cNvPr>
        <xdr:cNvSpPr txBox="1"/>
      </xdr:nvSpPr>
      <xdr:spPr>
        <a:xfrm>
          <a:off x="1333500" y="4391025"/>
          <a:ext cx="3333750" cy="1200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Maximum</a:t>
          </a:r>
          <a:r>
            <a:rPr lang="en-US" sz="1100" baseline="0"/>
            <a:t> Funds required comes in at $2085, meaning that additional funds past $2085 is not required.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18</xdr:col>
      <xdr:colOff>514350</xdr:colOff>
      <xdr:row>20</xdr:row>
      <xdr:rowOff>0</xdr:rowOff>
    </xdr:from>
    <xdr:to>
      <xdr:col>26</xdr:col>
      <xdr:colOff>514350</xdr:colOff>
      <xdr:row>35</xdr:row>
      <xdr:rowOff>0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09C402EF-8387-4515-BDBF-2EEEB91BD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20</xdr:col>
      <xdr:colOff>514350</xdr:colOff>
      <xdr:row>3</xdr:row>
      <xdr:rowOff>0</xdr:rowOff>
    </xdr:from>
    <xdr:to>
      <xdr:col>24</xdr:col>
      <xdr:colOff>514350</xdr:colOff>
      <xdr:row>5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719A1EB-DF81-416E-85E6-BF992A18217A}"/>
            </a:ext>
          </a:extLst>
        </xdr:cNvPr>
        <xdr:cNvSpPr txBox="1"/>
      </xdr:nvSpPr>
      <xdr:spPr>
        <a:xfrm>
          <a:off x="128016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$T$4, the chart will adapt to that output.</a:t>
          </a:r>
        </a:p>
      </xdr:txBody>
    </xdr:sp>
    <xdr:clientData/>
  </xdr:twoCellAnchor>
  <xdr:twoCellAnchor>
    <xdr:from>
      <xdr:col>3</xdr:col>
      <xdr:colOff>19050</xdr:colOff>
      <xdr:row>21</xdr:row>
      <xdr:rowOff>28575</xdr:rowOff>
    </xdr:from>
    <xdr:to>
      <xdr:col>8</xdr:col>
      <xdr:colOff>171450</xdr:colOff>
      <xdr:row>27</xdr:row>
      <xdr:rowOff>38100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27FE15A-CE7A-4413-A5B0-FF3F0DE01B41}"/>
            </a:ext>
          </a:extLst>
        </xdr:cNvPr>
        <xdr:cNvSpPr txBox="1"/>
      </xdr:nvSpPr>
      <xdr:spPr>
        <a:xfrm>
          <a:off x="1847850" y="4391025"/>
          <a:ext cx="3200400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Maximum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Funds required comes in at $2342.50, meaning that additional funds past $2342.50 is not required.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238125</xdr:colOff>
      <xdr:row>3</xdr:row>
      <xdr:rowOff>0</xdr:rowOff>
    </xdr:from>
    <xdr:ext cx="3200400" cy="4953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E3023DB-8222-450E-8DAB-AE5AC1DF7878}"/>
            </a:ext>
          </a:extLst>
        </xdr:cNvPr>
        <xdr:cNvSpPr txBox="1"/>
      </xdr:nvSpPr>
      <xdr:spPr>
        <a:xfrm>
          <a:off x="7943850" y="647700"/>
          <a:ext cx="3200400" cy="4953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Sum function within Net</a:t>
          </a:r>
          <a:r>
            <a:rPr lang="en-US" sz="1100" baseline="0"/>
            <a:t> Outflow cells as opposed to sum if</a:t>
          </a:r>
          <a:endParaRPr 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18</xdr:col>
      <xdr:colOff>0</xdr:colOff>
      <xdr:row>20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2" name="STS_2_Chart">
          <a:extLst>
            <a:ext uri="{FF2B5EF4-FFF2-40B4-BE49-F238E27FC236}">
              <a16:creationId xmlns:a16="http://schemas.microsoft.com/office/drawing/2014/main" id="{D46CC73E-E45A-4DCA-A22D-895E8B976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20</xdr:col>
      <xdr:colOff>0</xdr:colOff>
      <xdr:row>3</xdr:row>
      <xdr:rowOff>0</xdr:rowOff>
    </xdr:from>
    <xdr:to>
      <xdr:col>24</xdr:col>
      <xdr:colOff>0</xdr:colOff>
      <xdr:row>4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946BA56-A3C5-4EE2-8C94-4D8DD4DD9871}"/>
            </a:ext>
          </a:extLst>
        </xdr:cNvPr>
        <xdr:cNvSpPr txBox="1"/>
      </xdr:nvSpPr>
      <xdr:spPr>
        <a:xfrm>
          <a:off x="121920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$S$4, the chart will adapt to that output.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DB95F-8CE9-4250-B30A-ABE04B520DF1}">
  <dimension ref="A1:L39"/>
  <sheetViews>
    <sheetView tabSelected="1" topLeftCell="A7" workbookViewId="0">
      <selection activeCell="G34" sqref="G34"/>
    </sheetView>
  </sheetViews>
  <sheetFormatPr defaultRowHeight="15" x14ac:dyDescent="0.25"/>
  <cols>
    <col min="1" max="1" width="21" customWidth="1"/>
    <col min="2" max="2" width="14.28515625" bestFit="1" customWidth="1"/>
    <col min="4" max="4" width="14" customWidth="1"/>
    <col min="5" max="5" width="11.5703125" bestFit="1" customWidth="1"/>
    <col min="6" max="6" width="21.7109375" customWidth="1"/>
    <col min="7" max="7" width="14.85546875" customWidth="1"/>
    <col min="8" max="8" width="17.5703125" customWidth="1"/>
    <col min="10" max="10" width="10.7109375" customWidth="1"/>
  </cols>
  <sheetData>
    <row r="1" spans="1:12" ht="21" x14ac:dyDescent="0.35">
      <c r="A1" s="2" t="s">
        <v>0</v>
      </c>
    </row>
    <row r="3" spans="1:12" x14ac:dyDescent="0.25">
      <c r="A3" t="s">
        <v>2</v>
      </c>
      <c r="B3" s="4">
        <v>7000</v>
      </c>
    </row>
    <row r="4" spans="1:12" x14ac:dyDescent="0.25">
      <c r="B4" s="3"/>
    </row>
    <row r="6" spans="1:12" x14ac:dyDescent="0.25">
      <c r="A6" s="1" t="s">
        <v>1</v>
      </c>
      <c r="B6" t="s">
        <v>41</v>
      </c>
      <c r="C6" s="7"/>
      <c r="D6" s="7"/>
      <c r="F6" s="1" t="s">
        <v>23</v>
      </c>
      <c r="I6" s="1"/>
    </row>
    <row r="7" spans="1:12" x14ac:dyDescent="0.25">
      <c r="A7" t="s">
        <v>4</v>
      </c>
      <c r="B7" s="4">
        <v>299</v>
      </c>
      <c r="C7" s="18"/>
      <c r="D7" s="18"/>
      <c r="F7" s="1" t="s">
        <v>24</v>
      </c>
      <c r="H7" s="1" t="s">
        <v>29</v>
      </c>
    </row>
    <row r="8" spans="1:12" x14ac:dyDescent="0.25">
      <c r="A8" t="s">
        <v>5</v>
      </c>
      <c r="B8" s="4">
        <v>279</v>
      </c>
      <c r="C8" s="18"/>
      <c r="D8" s="18"/>
      <c r="F8" s="12" t="s">
        <v>26</v>
      </c>
      <c r="G8" s="3">
        <v>5</v>
      </c>
      <c r="H8" t="s">
        <v>30</v>
      </c>
      <c r="I8" s="3">
        <v>8</v>
      </c>
      <c r="K8" s="1" t="s">
        <v>19</v>
      </c>
    </row>
    <row r="9" spans="1:12" x14ac:dyDescent="0.25">
      <c r="A9" t="s">
        <v>6</v>
      </c>
      <c r="B9" s="4">
        <v>345</v>
      </c>
      <c r="C9" s="18"/>
      <c r="D9" s="18"/>
      <c r="F9" s="12" t="s">
        <v>25</v>
      </c>
      <c r="G9" s="5">
        <v>4</v>
      </c>
      <c r="H9" t="s">
        <v>31</v>
      </c>
      <c r="I9" s="5">
        <v>10</v>
      </c>
      <c r="K9" s="6" t="s">
        <v>20</v>
      </c>
      <c r="L9" s="5">
        <v>2.5499999999999998</v>
      </c>
    </row>
    <row r="10" spans="1:12" x14ac:dyDescent="0.25">
      <c r="A10" t="s">
        <v>7</v>
      </c>
      <c r="B10" s="5">
        <v>220.5</v>
      </c>
      <c r="C10" s="17"/>
      <c r="D10" s="17"/>
      <c r="F10" s="13" t="s">
        <v>28</v>
      </c>
      <c r="G10" s="14">
        <v>10</v>
      </c>
      <c r="H10" t="s">
        <v>32</v>
      </c>
      <c r="I10" s="3">
        <v>4</v>
      </c>
      <c r="K10" t="s">
        <v>21</v>
      </c>
      <c r="L10" s="5">
        <v>2.88</v>
      </c>
    </row>
    <row r="11" spans="1:12" x14ac:dyDescent="0.25">
      <c r="A11" t="s">
        <v>8</v>
      </c>
      <c r="B11" s="4">
        <v>185</v>
      </c>
      <c r="C11" s="18"/>
      <c r="D11" s="18"/>
      <c r="H11" t="s">
        <v>33</v>
      </c>
      <c r="I11" s="5">
        <v>15</v>
      </c>
      <c r="K11" t="s">
        <v>22</v>
      </c>
      <c r="L11" s="5">
        <v>3.25</v>
      </c>
    </row>
    <row r="12" spans="1:12" x14ac:dyDescent="0.25">
      <c r="A12" t="s">
        <v>9</v>
      </c>
      <c r="B12" s="4">
        <v>120</v>
      </c>
      <c r="C12" s="18"/>
      <c r="D12" s="18"/>
      <c r="F12" s="1" t="s">
        <v>27</v>
      </c>
      <c r="G12" s="6">
        <f>(Number_of_Quarts*Cost_per_Quart)+Oil_Filter_Cost</f>
        <v>30</v>
      </c>
      <c r="H12" s="1" t="s">
        <v>34</v>
      </c>
      <c r="I12" s="9">
        <f>(Brake_Pads*Cost_per_Pad)+(Rotors*Cost_per_Rotor)</f>
        <v>140</v>
      </c>
    </row>
    <row r="14" spans="1:12" x14ac:dyDescent="0.25">
      <c r="A14" s="1" t="s">
        <v>10</v>
      </c>
      <c r="F14" s="1" t="s">
        <v>48</v>
      </c>
      <c r="G14" s="5">
        <f>SUM(G12,I12)</f>
        <v>170</v>
      </c>
    </row>
    <row r="15" spans="1:12" x14ac:dyDescent="0.25">
      <c r="A15" s="1" t="s">
        <v>11</v>
      </c>
      <c r="B15" s="1" t="s">
        <v>12</v>
      </c>
      <c r="C15" s="1" t="s">
        <v>14</v>
      </c>
      <c r="D15" s="1" t="s">
        <v>109</v>
      </c>
      <c r="E15" s="1" t="s">
        <v>13</v>
      </c>
      <c r="F15" s="1"/>
      <c r="G15" s="1" t="s">
        <v>39</v>
      </c>
    </row>
    <row r="16" spans="1:12" x14ac:dyDescent="0.25">
      <c r="A16" t="s">
        <v>4</v>
      </c>
      <c r="B16" t="s">
        <v>5</v>
      </c>
      <c r="C16" s="3">
        <v>738</v>
      </c>
      <c r="D16" s="38">
        <v>299</v>
      </c>
      <c r="E16" s="8">
        <v>2.7783909812569618E-2</v>
      </c>
      <c r="F16" s="35" t="s">
        <v>47</v>
      </c>
      <c r="G16">
        <v>1</v>
      </c>
    </row>
    <row r="17" spans="1:7" x14ac:dyDescent="0.25">
      <c r="A17" t="s">
        <v>4</v>
      </c>
      <c r="B17" t="s">
        <v>6</v>
      </c>
      <c r="C17" s="3">
        <v>638</v>
      </c>
      <c r="D17" s="38">
        <v>299</v>
      </c>
      <c r="E17" s="8">
        <v>2.4483449757099152E-2</v>
      </c>
      <c r="F17" s="35" t="s">
        <v>47</v>
      </c>
      <c r="G17">
        <v>1</v>
      </c>
    </row>
    <row r="18" spans="1:7" x14ac:dyDescent="0.25">
      <c r="A18" t="s">
        <v>4</v>
      </c>
      <c r="B18" t="s">
        <v>7</v>
      </c>
      <c r="C18" s="3">
        <v>808</v>
      </c>
      <c r="D18" s="38">
        <v>299</v>
      </c>
      <c r="E18" s="8">
        <v>0.84805649518966675</v>
      </c>
      <c r="F18" s="35" t="s">
        <v>47</v>
      </c>
      <c r="G18">
        <v>1</v>
      </c>
    </row>
    <row r="19" spans="1:7" x14ac:dyDescent="0.25">
      <c r="A19" t="s">
        <v>4</v>
      </c>
      <c r="B19" t="s">
        <v>8</v>
      </c>
      <c r="C19" s="3">
        <v>675</v>
      </c>
      <c r="D19" s="38">
        <v>299</v>
      </c>
      <c r="E19" s="8">
        <v>2.5704620406031609E-2</v>
      </c>
      <c r="F19" s="35" t="s">
        <v>47</v>
      </c>
      <c r="G19" s="7">
        <v>1</v>
      </c>
    </row>
    <row r="20" spans="1:7" x14ac:dyDescent="0.25">
      <c r="A20" t="s">
        <v>4</v>
      </c>
      <c r="B20" t="s">
        <v>9</v>
      </c>
      <c r="C20" s="3">
        <v>659</v>
      </c>
      <c r="D20" s="38">
        <v>299</v>
      </c>
      <c r="E20" s="8">
        <v>2.5176547467708588E-2</v>
      </c>
      <c r="F20" s="35" t="s">
        <v>47</v>
      </c>
      <c r="G20" s="7">
        <v>1</v>
      </c>
    </row>
    <row r="21" spans="1:7" x14ac:dyDescent="0.25">
      <c r="A21" t="s">
        <v>5</v>
      </c>
      <c r="B21" t="s">
        <v>6</v>
      </c>
      <c r="C21" s="3">
        <v>799</v>
      </c>
      <c r="D21" s="38">
        <v>279</v>
      </c>
      <c r="E21" s="8">
        <v>0.77756643295288086</v>
      </c>
      <c r="F21" s="35" t="s">
        <v>47</v>
      </c>
      <c r="G21" s="7">
        <v>1</v>
      </c>
    </row>
    <row r="22" spans="1:7" x14ac:dyDescent="0.25">
      <c r="A22" t="s">
        <v>5</v>
      </c>
      <c r="B22" t="s">
        <v>7</v>
      </c>
      <c r="C22" s="3">
        <v>189</v>
      </c>
      <c r="D22" s="38">
        <v>279</v>
      </c>
      <c r="E22" s="8">
        <v>0</v>
      </c>
      <c r="F22" s="35" t="s">
        <v>47</v>
      </c>
      <c r="G22" s="7">
        <v>1</v>
      </c>
    </row>
    <row r="23" spans="1:7" x14ac:dyDescent="0.25">
      <c r="A23" t="s">
        <v>5</v>
      </c>
      <c r="B23" t="s">
        <v>8</v>
      </c>
      <c r="C23" s="3">
        <v>94.1</v>
      </c>
      <c r="D23" s="38">
        <v>279</v>
      </c>
      <c r="E23" s="8">
        <v>0</v>
      </c>
      <c r="F23" s="35" t="s">
        <v>47</v>
      </c>
      <c r="G23" s="7">
        <v>1</v>
      </c>
    </row>
    <row r="24" spans="1:7" x14ac:dyDescent="0.25">
      <c r="A24" t="s">
        <v>5</v>
      </c>
      <c r="B24" t="s">
        <v>9</v>
      </c>
      <c r="C24" s="3">
        <v>205</v>
      </c>
      <c r="D24" s="38">
        <v>279</v>
      </c>
      <c r="E24" s="8">
        <v>0</v>
      </c>
      <c r="F24" s="35" t="s">
        <v>47</v>
      </c>
      <c r="G24" s="7">
        <v>1</v>
      </c>
    </row>
    <row r="25" spans="1:7" x14ac:dyDescent="0.25">
      <c r="A25" t="s">
        <v>6</v>
      </c>
      <c r="B25" t="s">
        <v>7</v>
      </c>
      <c r="C25" s="3">
        <v>700</v>
      </c>
      <c r="D25" s="38">
        <v>345</v>
      </c>
      <c r="E25" s="8">
        <v>2.7056893333792686E-2</v>
      </c>
      <c r="F25" s="35" t="s">
        <v>47</v>
      </c>
      <c r="G25" s="7">
        <v>1</v>
      </c>
    </row>
    <row r="26" spans="1:7" x14ac:dyDescent="0.25">
      <c r="A26" t="s">
        <v>6</v>
      </c>
      <c r="B26" t="s">
        <v>8</v>
      </c>
      <c r="C26" s="3">
        <v>718</v>
      </c>
      <c r="D26" s="38">
        <v>345</v>
      </c>
      <c r="E26" s="8">
        <v>2.7650976553559303E-2</v>
      </c>
      <c r="F26" s="35" t="s">
        <v>47</v>
      </c>
      <c r="G26" s="7">
        <v>1</v>
      </c>
    </row>
    <row r="27" spans="1:7" x14ac:dyDescent="0.25">
      <c r="A27" t="s">
        <v>6</v>
      </c>
      <c r="B27" t="s">
        <v>9</v>
      </c>
      <c r="C27" s="3">
        <v>882</v>
      </c>
      <c r="D27" s="38">
        <v>345</v>
      </c>
      <c r="E27" s="8">
        <v>0.83306372165679932</v>
      </c>
      <c r="F27" s="35" t="s">
        <v>47</v>
      </c>
      <c r="G27" s="7">
        <v>1</v>
      </c>
    </row>
    <row r="28" spans="1:7" x14ac:dyDescent="0.25">
      <c r="A28" t="s">
        <v>7</v>
      </c>
      <c r="B28" t="s">
        <v>8</v>
      </c>
      <c r="C28" s="3">
        <v>201</v>
      </c>
      <c r="D28" s="38">
        <v>220.5</v>
      </c>
      <c r="E28" s="8">
        <v>0</v>
      </c>
      <c r="F28" s="35" t="s">
        <v>47</v>
      </c>
      <c r="G28" s="7">
        <v>1</v>
      </c>
    </row>
    <row r="29" spans="1:7" x14ac:dyDescent="0.25">
      <c r="A29" t="s">
        <v>7</v>
      </c>
      <c r="B29" t="s">
        <v>9</v>
      </c>
      <c r="C29" s="3">
        <v>396</v>
      </c>
      <c r="D29" s="38">
        <v>220.5</v>
      </c>
      <c r="E29" s="8">
        <v>0</v>
      </c>
      <c r="F29" s="35" t="s">
        <v>47</v>
      </c>
      <c r="G29" s="7">
        <v>1</v>
      </c>
    </row>
    <row r="30" spans="1:7" x14ac:dyDescent="0.25">
      <c r="A30" t="s">
        <v>8</v>
      </c>
      <c r="B30" t="s">
        <v>9</v>
      </c>
      <c r="C30" s="3">
        <v>220</v>
      </c>
      <c r="D30" s="5">
        <v>185</v>
      </c>
      <c r="E30" s="8">
        <v>0</v>
      </c>
      <c r="F30" s="35" t="s">
        <v>47</v>
      </c>
      <c r="G30" s="7">
        <v>1</v>
      </c>
    </row>
    <row r="32" spans="1:7" x14ac:dyDescent="0.25">
      <c r="A32" s="1" t="s">
        <v>15</v>
      </c>
      <c r="B32" s="3">
        <f>SUMPRODUCT(Distance,Flow)</f>
        <v>2150.1275869850069</v>
      </c>
      <c r="D32" s="1" t="s">
        <v>110</v>
      </c>
    </row>
    <row r="33" spans="1:7" x14ac:dyDescent="0.25">
      <c r="D33" s="37">
        <f>SUMPRODUCT(D16:D30,Flow)</f>
        <v>807.6325356438756</v>
      </c>
    </row>
    <row r="34" spans="1:7" x14ac:dyDescent="0.25">
      <c r="A34" s="1" t="s">
        <v>107</v>
      </c>
      <c r="B34" s="38">
        <f>Total_Distance*Min_Cost_Per_Gallon</f>
        <v>5482.8253468117673</v>
      </c>
    </row>
    <row r="35" spans="1:7" x14ac:dyDescent="0.25">
      <c r="A35" s="1" t="s">
        <v>106</v>
      </c>
      <c r="B35" s="16">
        <f>Total_Distance*Average_Cost_Per_Gallon</f>
        <v>6192.3674505168201</v>
      </c>
    </row>
    <row r="36" spans="1:7" x14ac:dyDescent="0.25">
      <c r="A36" s="1" t="s">
        <v>108</v>
      </c>
      <c r="B36" s="16">
        <f>Total_Distance*Max_Cost_Per_Gallon</f>
        <v>6987.9146577012725</v>
      </c>
    </row>
    <row r="38" spans="1:7" x14ac:dyDescent="0.25">
      <c r="D38" s="1" t="s">
        <v>18</v>
      </c>
      <c r="F38" s="1"/>
      <c r="G38" s="1"/>
    </row>
    <row r="39" spans="1:7" x14ac:dyDescent="0.25">
      <c r="A39" s="1" t="s">
        <v>16</v>
      </c>
      <c r="B39" s="29">
        <f>IF((Total_Distance&gt;3000), B35 + G14 + D33, B35 +D33)</f>
        <v>6999.9999861606957</v>
      </c>
      <c r="C39" t="s">
        <v>17</v>
      </c>
      <c r="D39" s="10">
        <f>Total_Money_Available</f>
        <v>7000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CBE5B-FABF-458C-B4E0-51C113F98B12}">
  <dimension ref="A1:B15"/>
  <sheetViews>
    <sheetView workbookViewId="0"/>
  </sheetViews>
  <sheetFormatPr defaultRowHeight="15" x14ac:dyDescent="0.25"/>
  <sheetData>
    <row r="1" spans="1:2" x14ac:dyDescent="0.25">
      <c r="A1">
        <v>1</v>
      </c>
    </row>
    <row r="2" spans="1:2" x14ac:dyDescent="0.25">
      <c r="A2" t="s">
        <v>111</v>
      </c>
    </row>
    <row r="3" spans="1:2" x14ac:dyDescent="0.25">
      <c r="A3">
        <v>1</v>
      </c>
    </row>
    <row r="4" spans="1:2" x14ac:dyDescent="0.25">
      <c r="A4">
        <v>1000</v>
      </c>
    </row>
    <row r="5" spans="1:2" x14ac:dyDescent="0.25">
      <c r="A5">
        <v>15000</v>
      </c>
    </row>
    <row r="6" spans="1:2" x14ac:dyDescent="0.25">
      <c r="A6">
        <v>1000</v>
      </c>
    </row>
    <row r="8" spans="1:2" x14ac:dyDescent="0.25">
      <c r="A8" s="39"/>
      <c r="B8" s="39"/>
    </row>
    <row r="9" spans="1:2" x14ac:dyDescent="0.25">
      <c r="A9" t="s">
        <v>133</v>
      </c>
    </row>
    <row r="10" spans="1:2" x14ac:dyDescent="0.25">
      <c r="A10" t="s">
        <v>134</v>
      </c>
    </row>
    <row r="15" spans="1:2" x14ac:dyDescent="0.25">
      <c r="B15" s="3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52669-D56C-4272-964F-B82549E63392}">
  <dimension ref="A1:S19"/>
  <sheetViews>
    <sheetView workbookViewId="0">
      <selection activeCell="D22" sqref="D22"/>
    </sheetView>
  </sheetViews>
  <sheetFormatPr defaultRowHeight="15" x14ac:dyDescent="0.25"/>
  <sheetData>
    <row r="1" spans="1:19" x14ac:dyDescent="0.25">
      <c r="A1" s="1" t="s">
        <v>135</v>
      </c>
      <c r="S1" s="42" t="str">
        <f>CONCATENATE("Sensitivity of ",$S$4," to ","Total Funds Available")</f>
        <v>Sensitivity of Flow_1 to Total Funds Available</v>
      </c>
    </row>
    <row r="3" spans="1:19" x14ac:dyDescent="0.25">
      <c r="A3" t="s">
        <v>136</v>
      </c>
      <c r="S3" t="s">
        <v>114</v>
      </c>
    </row>
    <row r="4" spans="1:19" ht="54" x14ac:dyDescent="0.25">
      <c r="B4" s="40" t="s">
        <v>117</v>
      </c>
      <c r="C4" s="40" t="s">
        <v>118</v>
      </c>
      <c r="D4" s="40" t="s">
        <v>119</v>
      </c>
      <c r="E4" s="40" t="s">
        <v>120</v>
      </c>
      <c r="F4" s="40" t="s">
        <v>121</v>
      </c>
      <c r="G4" s="40" t="s">
        <v>122</v>
      </c>
      <c r="H4" s="40" t="s">
        <v>123</v>
      </c>
      <c r="I4" s="40" t="s">
        <v>124</v>
      </c>
      <c r="J4" s="40" t="s">
        <v>125</v>
      </c>
      <c r="K4" s="40" t="s">
        <v>126</v>
      </c>
      <c r="L4" s="40" t="s">
        <v>127</v>
      </c>
      <c r="M4" s="40" t="s">
        <v>128</v>
      </c>
      <c r="N4" s="40" t="s">
        <v>129</v>
      </c>
      <c r="O4" s="40" t="s">
        <v>130</v>
      </c>
      <c r="P4" s="40" t="s">
        <v>131</v>
      </c>
      <c r="Q4" s="40" t="s">
        <v>55</v>
      </c>
      <c r="R4" s="42">
        <f>MATCH($S$4,OutputAddresses,0)</f>
        <v>1</v>
      </c>
      <c r="S4" s="41" t="s">
        <v>117</v>
      </c>
    </row>
    <row r="5" spans="1:19" x14ac:dyDescent="0.25">
      <c r="A5" s="15">
        <v>1000</v>
      </c>
      <c r="B5" s="58">
        <v>0</v>
      </c>
      <c r="C5" s="50">
        <v>0</v>
      </c>
      <c r="D5" s="50">
        <v>0</v>
      </c>
      <c r="E5" s="50">
        <v>0</v>
      </c>
      <c r="F5" s="50">
        <v>0</v>
      </c>
      <c r="G5" s="50">
        <v>0</v>
      </c>
      <c r="H5" s="50">
        <v>0</v>
      </c>
      <c r="I5" s="50">
        <v>1</v>
      </c>
      <c r="J5" s="50">
        <v>0</v>
      </c>
      <c r="K5" s="50">
        <v>0</v>
      </c>
      <c r="L5" s="50">
        <v>1</v>
      </c>
      <c r="M5" s="50">
        <v>0</v>
      </c>
      <c r="N5" s="50">
        <v>1</v>
      </c>
      <c r="O5" s="50">
        <v>0</v>
      </c>
      <c r="P5" s="50">
        <v>0</v>
      </c>
      <c r="Q5" s="59">
        <v>990.5</v>
      </c>
      <c r="S5">
        <f>INDEX(OutputValues,1,$R$4)</f>
        <v>0</v>
      </c>
    </row>
    <row r="6" spans="1:19" x14ac:dyDescent="0.25">
      <c r="A6" s="15">
        <v>2000</v>
      </c>
      <c r="B6" s="60">
        <v>0</v>
      </c>
      <c r="C6" s="53">
        <v>0</v>
      </c>
      <c r="D6" s="53">
        <v>0</v>
      </c>
      <c r="E6" s="53">
        <v>1</v>
      </c>
      <c r="F6" s="53">
        <v>0</v>
      </c>
      <c r="G6" s="53">
        <v>1</v>
      </c>
      <c r="H6" s="53">
        <v>0</v>
      </c>
      <c r="I6" s="53">
        <v>0</v>
      </c>
      <c r="J6" s="53">
        <v>0</v>
      </c>
      <c r="K6" s="53">
        <v>1</v>
      </c>
      <c r="L6" s="53">
        <v>0</v>
      </c>
      <c r="M6" s="53">
        <v>0</v>
      </c>
      <c r="N6" s="53">
        <v>0</v>
      </c>
      <c r="O6" s="53">
        <v>1</v>
      </c>
      <c r="P6" s="53">
        <v>1</v>
      </c>
      <c r="Q6" s="61">
        <v>1965.5</v>
      </c>
      <c r="S6">
        <f>INDEX(OutputValues,2,$R$4)</f>
        <v>0</v>
      </c>
    </row>
    <row r="7" spans="1:19" x14ac:dyDescent="0.25">
      <c r="A7" s="15">
        <v>3000</v>
      </c>
      <c r="B7" s="60">
        <v>0</v>
      </c>
      <c r="C7" s="53">
        <v>0</v>
      </c>
      <c r="D7" s="53">
        <v>0</v>
      </c>
      <c r="E7" s="53">
        <v>1</v>
      </c>
      <c r="F7" s="53">
        <v>0</v>
      </c>
      <c r="G7" s="53">
        <v>1</v>
      </c>
      <c r="H7" s="53">
        <v>0</v>
      </c>
      <c r="I7" s="53">
        <v>0</v>
      </c>
      <c r="J7" s="53">
        <v>0</v>
      </c>
      <c r="K7" s="53">
        <v>1</v>
      </c>
      <c r="L7" s="53">
        <v>0</v>
      </c>
      <c r="M7" s="53">
        <v>0</v>
      </c>
      <c r="N7" s="53">
        <v>0</v>
      </c>
      <c r="O7" s="53">
        <v>1</v>
      </c>
      <c r="P7" s="53">
        <v>1</v>
      </c>
      <c r="Q7" s="61">
        <v>1965.5</v>
      </c>
      <c r="S7">
        <f>INDEX(OutputValues,3,$R$4)</f>
        <v>0</v>
      </c>
    </row>
    <row r="8" spans="1:19" x14ac:dyDescent="0.25">
      <c r="A8" s="15">
        <v>4000</v>
      </c>
      <c r="B8" s="60">
        <v>0</v>
      </c>
      <c r="C8" s="53">
        <v>0</v>
      </c>
      <c r="D8" s="53">
        <v>0</v>
      </c>
      <c r="E8" s="53">
        <v>1</v>
      </c>
      <c r="F8" s="53">
        <v>0</v>
      </c>
      <c r="G8" s="53">
        <v>1</v>
      </c>
      <c r="H8" s="53">
        <v>0</v>
      </c>
      <c r="I8" s="53">
        <v>0</v>
      </c>
      <c r="J8" s="53">
        <v>0</v>
      </c>
      <c r="K8" s="53">
        <v>1</v>
      </c>
      <c r="L8" s="53">
        <v>0</v>
      </c>
      <c r="M8" s="53">
        <v>0</v>
      </c>
      <c r="N8" s="53">
        <v>0</v>
      </c>
      <c r="O8" s="53">
        <v>1</v>
      </c>
      <c r="P8" s="53">
        <v>1</v>
      </c>
      <c r="Q8" s="61">
        <v>1965.5</v>
      </c>
      <c r="S8">
        <f>INDEX(OutputValues,4,$R$4)</f>
        <v>0</v>
      </c>
    </row>
    <row r="9" spans="1:19" x14ac:dyDescent="0.25">
      <c r="A9" s="15">
        <v>5000</v>
      </c>
      <c r="B9" s="60">
        <v>0</v>
      </c>
      <c r="C9" s="53">
        <v>0</v>
      </c>
      <c r="D9" s="53">
        <v>0</v>
      </c>
      <c r="E9" s="53">
        <v>1</v>
      </c>
      <c r="F9" s="53">
        <v>0</v>
      </c>
      <c r="G9" s="53">
        <v>1</v>
      </c>
      <c r="H9" s="53">
        <v>0</v>
      </c>
      <c r="I9" s="53">
        <v>0</v>
      </c>
      <c r="J9" s="53">
        <v>0</v>
      </c>
      <c r="K9" s="53">
        <v>1</v>
      </c>
      <c r="L9" s="53">
        <v>0</v>
      </c>
      <c r="M9" s="53">
        <v>0</v>
      </c>
      <c r="N9" s="53">
        <v>0</v>
      </c>
      <c r="O9" s="53">
        <v>1</v>
      </c>
      <c r="P9" s="53">
        <v>1</v>
      </c>
      <c r="Q9" s="61">
        <v>1965.5</v>
      </c>
      <c r="S9">
        <f>INDEX(OutputValues,5,$R$4)</f>
        <v>0</v>
      </c>
    </row>
    <row r="10" spans="1:19" x14ac:dyDescent="0.25">
      <c r="A10" s="15">
        <v>6000</v>
      </c>
      <c r="B10" s="60">
        <v>0</v>
      </c>
      <c r="C10" s="53">
        <v>0</v>
      </c>
      <c r="D10" s="53">
        <v>0</v>
      </c>
      <c r="E10" s="53">
        <v>1</v>
      </c>
      <c r="F10" s="53">
        <v>0</v>
      </c>
      <c r="G10" s="53">
        <v>1</v>
      </c>
      <c r="H10" s="53">
        <v>0</v>
      </c>
      <c r="I10" s="53">
        <v>0</v>
      </c>
      <c r="J10" s="53">
        <v>0</v>
      </c>
      <c r="K10" s="53">
        <v>1</v>
      </c>
      <c r="L10" s="53">
        <v>0</v>
      </c>
      <c r="M10" s="53">
        <v>0</v>
      </c>
      <c r="N10" s="53">
        <v>0</v>
      </c>
      <c r="O10" s="53">
        <v>1</v>
      </c>
      <c r="P10" s="53">
        <v>1</v>
      </c>
      <c r="Q10" s="61">
        <v>1965.5</v>
      </c>
      <c r="S10">
        <f>INDEX(OutputValues,6,$R$4)</f>
        <v>0</v>
      </c>
    </row>
    <row r="11" spans="1:19" x14ac:dyDescent="0.25">
      <c r="A11" s="15">
        <v>7000</v>
      </c>
      <c r="B11" s="60">
        <v>0</v>
      </c>
      <c r="C11" s="53">
        <v>0</v>
      </c>
      <c r="D11" s="53">
        <v>0</v>
      </c>
      <c r="E11" s="53">
        <v>1</v>
      </c>
      <c r="F11" s="53">
        <v>0</v>
      </c>
      <c r="G11" s="53">
        <v>1</v>
      </c>
      <c r="H11" s="53">
        <v>0</v>
      </c>
      <c r="I11" s="53">
        <v>0</v>
      </c>
      <c r="J11" s="53">
        <v>0</v>
      </c>
      <c r="K11" s="53">
        <v>1</v>
      </c>
      <c r="L11" s="53">
        <v>0</v>
      </c>
      <c r="M11" s="53">
        <v>0</v>
      </c>
      <c r="N11" s="53">
        <v>0</v>
      </c>
      <c r="O11" s="53">
        <v>1</v>
      </c>
      <c r="P11" s="53">
        <v>1</v>
      </c>
      <c r="Q11" s="61">
        <v>1965.5</v>
      </c>
      <c r="S11">
        <f>INDEX(OutputValues,7,$R$4)</f>
        <v>0</v>
      </c>
    </row>
    <row r="12" spans="1:19" x14ac:dyDescent="0.25">
      <c r="A12" s="15">
        <v>8000</v>
      </c>
      <c r="B12" s="60">
        <v>0</v>
      </c>
      <c r="C12" s="53">
        <v>0</v>
      </c>
      <c r="D12" s="53">
        <v>0</v>
      </c>
      <c r="E12" s="53">
        <v>1</v>
      </c>
      <c r="F12" s="53">
        <v>0</v>
      </c>
      <c r="G12" s="53">
        <v>1</v>
      </c>
      <c r="H12" s="53">
        <v>0</v>
      </c>
      <c r="I12" s="53">
        <v>0</v>
      </c>
      <c r="J12" s="53">
        <v>0</v>
      </c>
      <c r="K12" s="53">
        <v>1</v>
      </c>
      <c r="L12" s="53">
        <v>0</v>
      </c>
      <c r="M12" s="53">
        <v>0</v>
      </c>
      <c r="N12" s="53">
        <v>0</v>
      </c>
      <c r="O12" s="53">
        <v>1</v>
      </c>
      <c r="P12" s="53">
        <v>1</v>
      </c>
      <c r="Q12" s="61">
        <v>1965.5</v>
      </c>
      <c r="S12">
        <f>INDEX(OutputValues,8,$R$4)</f>
        <v>0</v>
      </c>
    </row>
    <row r="13" spans="1:19" x14ac:dyDescent="0.25">
      <c r="A13" s="15">
        <v>9000</v>
      </c>
      <c r="B13" s="60">
        <v>0</v>
      </c>
      <c r="C13" s="53">
        <v>0</v>
      </c>
      <c r="D13" s="53">
        <v>0</v>
      </c>
      <c r="E13" s="53">
        <v>1</v>
      </c>
      <c r="F13" s="53">
        <v>0</v>
      </c>
      <c r="G13" s="53">
        <v>1</v>
      </c>
      <c r="H13" s="53">
        <v>0</v>
      </c>
      <c r="I13" s="53">
        <v>0</v>
      </c>
      <c r="J13" s="53">
        <v>0</v>
      </c>
      <c r="K13" s="53">
        <v>1</v>
      </c>
      <c r="L13" s="53">
        <v>0</v>
      </c>
      <c r="M13" s="53">
        <v>0</v>
      </c>
      <c r="N13" s="53">
        <v>0</v>
      </c>
      <c r="O13" s="53">
        <v>1</v>
      </c>
      <c r="P13" s="53">
        <v>1</v>
      </c>
      <c r="Q13" s="61">
        <v>1965.5</v>
      </c>
      <c r="S13">
        <f>INDEX(OutputValues,9,$R$4)</f>
        <v>0</v>
      </c>
    </row>
    <row r="14" spans="1:19" x14ac:dyDescent="0.25">
      <c r="A14" s="15">
        <v>10000</v>
      </c>
      <c r="B14" s="60">
        <v>0</v>
      </c>
      <c r="C14" s="53">
        <v>0</v>
      </c>
      <c r="D14" s="53">
        <v>0</v>
      </c>
      <c r="E14" s="53">
        <v>1</v>
      </c>
      <c r="F14" s="53">
        <v>0</v>
      </c>
      <c r="G14" s="53">
        <v>1</v>
      </c>
      <c r="H14" s="53">
        <v>0</v>
      </c>
      <c r="I14" s="53">
        <v>0</v>
      </c>
      <c r="J14" s="53">
        <v>0</v>
      </c>
      <c r="K14" s="53">
        <v>1</v>
      </c>
      <c r="L14" s="53">
        <v>0</v>
      </c>
      <c r="M14" s="53">
        <v>0</v>
      </c>
      <c r="N14" s="53">
        <v>0</v>
      </c>
      <c r="O14" s="53">
        <v>1</v>
      </c>
      <c r="P14" s="53">
        <v>1</v>
      </c>
      <c r="Q14" s="61">
        <v>1965.5</v>
      </c>
      <c r="S14">
        <f>INDEX(OutputValues,10,$R$4)</f>
        <v>0</v>
      </c>
    </row>
    <row r="15" spans="1:19" x14ac:dyDescent="0.25">
      <c r="A15" s="15">
        <v>11000</v>
      </c>
      <c r="B15" s="60">
        <v>0</v>
      </c>
      <c r="C15" s="53">
        <v>0</v>
      </c>
      <c r="D15" s="53">
        <v>0</v>
      </c>
      <c r="E15" s="53">
        <v>1</v>
      </c>
      <c r="F15" s="53">
        <v>0</v>
      </c>
      <c r="G15" s="53">
        <v>1</v>
      </c>
      <c r="H15" s="53">
        <v>0</v>
      </c>
      <c r="I15" s="53">
        <v>0</v>
      </c>
      <c r="J15" s="53">
        <v>0</v>
      </c>
      <c r="K15" s="53">
        <v>1</v>
      </c>
      <c r="L15" s="53">
        <v>0</v>
      </c>
      <c r="M15" s="53">
        <v>0</v>
      </c>
      <c r="N15" s="53">
        <v>0</v>
      </c>
      <c r="O15" s="53">
        <v>1</v>
      </c>
      <c r="P15" s="53">
        <v>1</v>
      </c>
      <c r="Q15" s="61">
        <v>1965.5</v>
      </c>
      <c r="S15">
        <f>INDEX(OutputValues,11,$R$4)</f>
        <v>0</v>
      </c>
    </row>
    <row r="16" spans="1:19" x14ac:dyDescent="0.25">
      <c r="A16" s="15">
        <v>12000</v>
      </c>
      <c r="B16" s="60">
        <v>0</v>
      </c>
      <c r="C16" s="53">
        <v>0</v>
      </c>
      <c r="D16" s="53">
        <v>0</v>
      </c>
      <c r="E16" s="53">
        <v>1</v>
      </c>
      <c r="F16" s="53">
        <v>0</v>
      </c>
      <c r="G16" s="53">
        <v>1</v>
      </c>
      <c r="H16" s="53">
        <v>0</v>
      </c>
      <c r="I16" s="53">
        <v>0</v>
      </c>
      <c r="J16" s="53">
        <v>0</v>
      </c>
      <c r="K16" s="53">
        <v>1</v>
      </c>
      <c r="L16" s="53">
        <v>0</v>
      </c>
      <c r="M16" s="53">
        <v>0</v>
      </c>
      <c r="N16" s="53">
        <v>0</v>
      </c>
      <c r="O16" s="53">
        <v>1</v>
      </c>
      <c r="P16" s="53">
        <v>1</v>
      </c>
      <c r="Q16" s="61">
        <v>1965.5</v>
      </c>
      <c r="S16">
        <f>INDEX(OutputValues,12,$R$4)</f>
        <v>0</v>
      </c>
    </row>
    <row r="17" spans="1:19" x14ac:dyDescent="0.25">
      <c r="A17" s="15">
        <v>13000</v>
      </c>
      <c r="B17" s="60">
        <v>0</v>
      </c>
      <c r="C17" s="53">
        <v>0</v>
      </c>
      <c r="D17" s="53">
        <v>0</v>
      </c>
      <c r="E17" s="53">
        <v>1</v>
      </c>
      <c r="F17" s="53">
        <v>0</v>
      </c>
      <c r="G17" s="53">
        <v>1</v>
      </c>
      <c r="H17" s="53">
        <v>0</v>
      </c>
      <c r="I17" s="53">
        <v>0</v>
      </c>
      <c r="J17" s="53">
        <v>0</v>
      </c>
      <c r="K17" s="53">
        <v>1</v>
      </c>
      <c r="L17" s="53">
        <v>0</v>
      </c>
      <c r="M17" s="53">
        <v>0</v>
      </c>
      <c r="N17" s="53">
        <v>0</v>
      </c>
      <c r="O17" s="53">
        <v>1</v>
      </c>
      <c r="P17" s="53">
        <v>1</v>
      </c>
      <c r="Q17" s="61">
        <v>1965.5</v>
      </c>
      <c r="S17">
        <f>INDEX(OutputValues,13,$R$4)</f>
        <v>0</v>
      </c>
    </row>
    <row r="18" spans="1:19" x14ac:dyDescent="0.25">
      <c r="A18" s="15">
        <v>14000</v>
      </c>
      <c r="B18" s="60">
        <v>0</v>
      </c>
      <c r="C18" s="53">
        <v>0</v>
      </c>
      <c r="D18" s="53">
        <v>0</v>
      </c>
      <c r="E18" s="53">
        <v>1</v>
      </c>
      <c r="F18" s="53">
        <v>0</v>
      </c>
      <c r="G18" s="53">
        <v>1</v>
      </c>
      <c r="H18" s="53">
        <v>0</v>
      </c>
      <c r="I18" s="53">
        <v>0</v>
      </c>
      <c r="J18" s="53">
        <v>0</v>
      </c>
      <c r="K18" s="53">
        <v>1</v>
      </c>
      <c r="L18" s="53">
        <v>0</v>
      </c>
      <c r="M18" s="53">
        <v>0</v>
      </c>
      <c r="N18" s="53">
        <v>0</v>
      </c>
      <c r="O18" s="53">
        <v>1</v>
      </c>
      <c r="P18" s="53">
        <v>1</v>
      </c>
      <c r="Q18" s="61">
        <v>1965.5</v>
      </c>
      <c r="S18">
        <f>INDEX(OutputValues,14,$R$4)</f>
        <v>0</v>
      </c>
    </row>
    <row r="19" spans="1:19" x14ac:dyDescent="0.25">
      <c r="A19" s="15">
        <v>15000</v>
      </c>
      <c r="B19" s="62">
        <v>0</v>
      </c>
      <c r="C19" s="56">
        <v>0</v>
      </c>
      <c r="D19" s="56">
        <v>0</v>
      </c>
      <c r="E19" s="56">
        <v>1</v>
      </c>
      <c r="F19" s="56">
        <v>0</v>
      </c>
      <c r="G19" s="56">
        <v>1</v>
      </c>
      <c r="H19" s="56">
        <v>0</v>
      </c>
      <c r="I19" s="56">
        <v>0</v>
      </c>
      <c r="J19" s="56">
        <v>0</v>
      </c>
      <c r="K19" s="56">
        <v>1</v>
      </c>
      <c r="L19" s="56">
        <v>0</v>
      </c>
      <c r="M19" s="56">
        <v>0</v>
      </c>
      <c r="N19" s="56">
        <v>0</v>
      </c>
      <c r="O19" s="56">
        <v>1</v>
      </c>
      <c r="P19" s="56">
        <v>1</v>
      </c>
      <c r="Q19" s="63">
        <v>1965.5</v>
      </c>
      <c r="S19">
        <f>INDEX(OutputValues,15,$R$4)</f>
        <v>0</v>
      </c>
    </row>
  </sheetData>
  <dataValidations count="1">
    <dataValidation type="list" allowBlank="1" showInputMessage="1" showErrorMessage="1" sqref="S4" xr:uid="{A399D34C-552D-4F81-B786-8A0459DEEBA1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4CAA4-BCA4-46D7-9993-BBDD37C6DC22}">
  <dimension ref="A1:S24"/>
  <sheetViews>
    <sheetView workbookViewId="0">
      <selection activeCell="D27" sqref="D27"/>
    </sheetView>
  </sheetViews>
  <sheetFormatPr defaultRowHeight="15" x14ac:dyDescent="0.25"/>
  <cols>
    <col min="2" max="2" width="11.5703125" bestFit="1" customWidth="1"/>
  </cols>
  <sheetData>
    <row r="1" spans="1:19" x14ac:dyDescent="0.25">
      <c r="A1" s="1" t="s">
        <v>112</v>
      </c>
      <c r="S1" s="42" t="str">
        <f>CONCATENATE("Sensitivity of ",$S$4," to ","Total Money Available")</f>
        <v>Sensitivity of Total_Cost to Total Money Available</v>
      </c>
    </row>
    <row r="3" spans="1:19" x14ac:dyDescent="0.25">
      <c r="A3" t="s">
        <v>113</v>
      </c>
      <c r="S3" t="s">
        <v>114</v>
      </c>
    </row>
    <row r="4" spans="1:19" ht="54" x14ac:dyDescent="0.25">
      <c r="B4" s="40" t="s">
        <v>55</v>
      </c>
      <c r="C4" s="40" t="s">
        <v>117</v>
      </c>
      <c r="D4" s="40" t="s">
        <v>118</v>
      </c>
      <c r="E4" s="40" t="s">
        <v>119</v>
      </c>
      <c r="F4" s="40" t="s">
        <v>120</v>
      </c>
      <c r="G4" s="40" t="s">
        <v>121</v>
      </c>
      <c r="H4" s="40" t="s">
        <v>122</v>
      </c>
      <c r="I4" s="40" t="s">
        <v>123</v>
      </c>
      <c r="J4" s="40" t="s">
        <v>124</v>
      </c>
      <c r="K4" s="40" t="s">
        <v>125</v>
      </c>
      <c r="L4" s="40" t="s">
        <v>126</v>
      </c>
      <c r="M4" s="40" t="s">
        <v>127</v>
      </c>
      <c r="N4" s="40" t="s">
        <v>128</v>
      </c>
      <c r="O4" s="40" t="s">
        <v>129</v>
      </c>
      <c r="P4" s="40" t="s">
        <v>130</v>
      </c>
      <c r="Q4" s="40" t="s">
        <v>131</v>
      </c>
      <c r="R4" s="42">
        <f>MATCH($S$4,OutputAddresses,0)</f>
        <v>1</v>
      </c>
      <c r="S4" s="41" t="s">
        <v>55</v>
      </c>
    </row>
    <row r="5" spans="1:19" x14ac:dyDescent="0.25">
      <c r="A5" s="15">
        <v>1000</v>
      </c>
      <c r="B5" s="49">
        <v>1000</v>
      </c>
      <c r="C5" s="50">
        <v>9.3562433643460795E-4</v>
      </c>
      <c r="D5" s="50">
        <v>8.2448122074378497E-4</v>
      </c>
      <c r="E5" s="50">
        <v>1.0134245551050587E-3</v>
      </c>
      <c r="F5" s="50">
        <v>0.15193498143585166</v>
      </c>
      <c r="G5" s="50">
        <v>8.4782126750148289E-4</v>
      </c>
      <c r="H5" s="50">
        <v>9.9570343291941052E-4</v>
      </c>
      <c r="I5" s="50">
        <v>3.1773038480765596E-4</v>
      </c>
      <c r="J5" s="50">
        <v>0.18453769055928892</v>
      </c>
      <c r="K5" s="50">
        <v>5.3124021221259594E-3</v>
      </c>
      <c r="L5" s="50">
        <v>9.1114200050705977E-4</v>
      </c>
      <c r="M5" s="50">
        <v>9.3114779524959513E-4</v>
      </c>
      <c r="N5" s="50">
        <v>1.1134224371461706E-3</v>
      </c>
      <c r="O5" s="50">
        <v>0.40750912210205437</v>
      </c>
      <c r="P5" s="50">
        <v>5.2522067854907073E-4</v>
      </c>
      <c r="Q5" s="51">
        <v>0.25364025862090983</v>
      </c>
      <c r="S5">
        <f>INDEX(OutputValues,1,$R$4)</f>
        <v>1000</v>
      </c>
    </row>
    <row r="6" spans="1:19" x14ac:dyDescent="0.25">
      <c r="A6" s="15">
        <v>2000</v>
      </c>
      <c r="B6" s="52">
        <v>2000</v>
      </c>
      <c r="C6" s="53">
        <v>2.3636958557422989E-2</v>
      </c>
      <c r="D6" s="53">
        <v>1.2613120208350986E-2</v>
      </c>
      <c r="E6" s="53">
        <v>1.5503622658746991E-2</v>
      </c>
      <c r="F6" s="53">
        <v>1.3242229785644887E-2</v>
      </c>
      <c r="G6" s="53">
        <v>1.2970182089224147E-2</v>
      </c>
      <c r="H6" s="53">
        <v>1.5232520493250953E-2</v>
      </c>
      <c r="I6" s="53">
        <v>4.8607190031681388E-3</v>
      </c>
      <c r="J6" s="53">
        <v>0.79358391339047218</v>
      </c>
      <c r="K6" s="53">
        <v>5.1327663392493495E-3</v>
      </c>
      <c r="L6" s="53">
        <v>0.105022599674162</v>
      </c>
      <c r="M6" s="53">
        <v>0.12784153565930134</v>
      </c>
      <c r="N6" s="53">
        <v>1.7033415302935066E-2</v>
      </c>
      <c r="O6" s="53">
        <v>0.60925114548938131</v>
      </c>
      <c r="P6" s="53">
        <v>0.1734411477505407</v>
      </c>
      <c r="Q6" s="54">
        <v>4.8328528663541146E-3</v>
      </c>
      <c r="S6">
        <f>INDEX(OutputValues,2,$R$4)</f>
        <v>2000</v>
      </c>
    </row>
    <row r="7" spans="1:19" x14ac:dyDescent="0.25">
      <c r="A7" s="15">
        <v>3000</v>
      </c>
      <c r="B7" s="52">
        <v>3000</v>
      </c>
      <c r="C7" s="53">
        <v>8.597253204886976E-2</v>
      </c>
      <c r="D7" s="53">
        <v>9.561214734165201E-3</v>
      </c>
      <c r="E7" s="53">
        <v>7.932874066766854E-2</v>
      </c>
      <c r="F7" s="53">
        <v>1.003810321698838E-2</v>
      </c>
      <c r="G7" s="53">
        <v>6.3319019735298687E-2</v>
      </c>
      <c r="H7" s="53">
        <v>1.1546817676574356E-2</v>
      </c>
      <c r="I7" s="53">
        <v>0.37905037128508062</v>
      </c>
      <c r="J7" s="53">
        <v>0.32492784272518466</v>
      </c>
      <c r="K7" s="53">
        <v>0.66934469246180683</v>
      </c>
      <c r="L7" s="53">
        <v>0.14295913746013089</v>
      </c>
      <c r="M7" s="53">
        <v>0.14379555381145245</v>
      </c>
      <c r="N7" s="53">
        <v>1.2911962993879193E-2</v>
      </c>
      <c r="O7" s="53">
        <v>3.5774672307669849E-3</v>
      </c>
      <c r="P7" s="53">
        <v>0.27244478367187752</v>
      </c>
      <c r="Q7" s="54">
        <v>0.24834476013849963</v>
      </c>
      <c r="S7">
        <f>INDEX(OutputValues,3,$R$4)</f>
        <v>3000</v>
      </c>
    </row>
    <row r="8" spans="1:19" x14ac:dyDescent="0.25">
      <c r="A8" s="15">
        <v>4000</v>
      </c>
      <c r="B8" s="52">
        <v>4000</v>
      </c>
      <c r="C8" s="53">
        <v>5.5402189219036007E-3</v>
      </c>
      <c r="D8" s="53">
        <v>0.16739731787070367</v>
      </c>
      <c r="E8" s="53">
        <v>6.0009062157471956E-3</v>
      </c>
      <c r="F8" s="53">
        <v>0.22916152691908259</v>
      </c>
      <c r="G8" s="53">
        <v>0.53845630670267963</v>
      </c>
      <c r="H8" s="53">
        <v>5.8959721170635032E-3</v>
      </c>
      <c r="I8" s="53">
        <v>0.63939952594545146</v>
      </c>
      <c r="J8" s="53">
        <v>0.57572258132419774</v>
      </c>
      <c r="K8" s="53">
        <v>0.52958891324761781</v>
      </c>
      <c r="L8" s="53">
        <v>5.3952488783975952E-3</v>
      </c>
      <c r="M8" s="53">
        <v>0.15532843575847333</v>
      </c>
      <c r="N8" s="53">
        <v>6.593035061332405E-3</v>
      </c>
      <c r="O8" s="53">
        <v>0.23167231540992317</v>
      </c>
      <c r="P8" s="53">
        <v>3.1100490102268547E-3</v>
      </c>
      <c r="Q8" s="54">
        <v>1.8706271072157254E-3</v>
      </c>
      <c r="S8">
        <f>INDEX(OutputValues,4,$R$4)</f>
        <v>4000</v>
      </c>
    </row>
    <row r="9" spans="1:19" x14ac:dyDescent="0.25">
      <c r="A9" s="15">
        <v>5000</v>
      </c>
      <c r="B9" s="52">
        <v>5000</v>
      </c>
      <c r="C9" s="53">
        <v>0.16964307483343918</v>
      </c>
      <c r="D9" s="53">
        <v>6.5791747029122641E-3</v>
      </c>
      <c r="E9" s="53">
        <v>8.0869000148267815E-3</v>
      </c>
      <c r="F9" s="53">
        <v>0.30986250894298645</v>
      </c>
      <c r="G9" s="53">
        <v>6.7654230264999216E-3</v>
      </c>
      <c r="H9" s="53">
        <v>7.9454894455407345E-3</v>
      </c>
      <c r="I9" s="53">
        <v>0.68279883699612987</v>
      </c>
      <c r="J9" s="53">
        <v>0.79932109621765557</v>
      </c>
      <c r="K9" s="53">
        <v>0.37918753979892261</v>
      </c>
      <c r="L9" s="53">
        <v>0.2733693184768472</v>
      </c>
      <c r="M9" s="53">
        <v>0.44420133063937811</v>
      </c>
      <c r="N9" s="53">
        <v>0.21516099286778867</v>
      </c>
      <c r="O9" s="53">
        <v>2.4616936821903477E-3</v>
      </c>
      <c r="P9" s="53">
        <v>4.1911428845391426E-3</v>
      </c>
      <c r="Q9" s="54">
        <v>0.17824936313302872</v>
      </c>
      <c r="S9">
        <f>INDEX(OutputValues,5,$R$4)</f>
        <v>5000</v>
      </c>
    </row>
    <row r="10" spans="1:19" x14ac:dyDescent="0.25">
      <c r="A10" s="15">
        <v>6000</v>
      </c>
      <c r="B10" s="52">
        <v>6000</v>
      </c>
      <c r="C10" s="53">
        <v>1.6277633580428833E-2</v>
      </c>
      <c r="D10" s="53">
        <v>1.4344008254802351E-2</v>
      </c>
      <c r="E10" s="53">
        <v>0.29140173631777999</v>
      </c>
      <c r="F10" s="53">
        <v>0.40792341802712656</v>
      </c>
      <c r="G10" s="53">
        <v>0.29479438341555286</v>
      </c>
      <c r="H10" s="53">
        <v>0.2149135433308533</v>
      </c>
      <c r="I10" s="53">
        <v>0.79665454785857259</v>
      </c>
      <c r="J10" s="53">
        <v>0.32585269221880214</v>
      </c>
      <c r="K10" s="53">
        <v>0.3655419817820732</v>
      </c>
      <c r="L10" s="53">
        <v>1.5851699284042078E-2</v>
      </c>
      <c r="M10" s="53">
        <v>1.6199752432750465E-2</v>
      </c>
      <c r="N10" s="53">
        <v>6.1110418402559596E-2</v>
      </c>
      <c r="O10" s="53">
        <v>0.5698195172142092</v>
      </c>
      <c r="P10" s="53">
        <v>0.49624332463523985</v>
      </c>
      <c r="Q10" s="54">
        <v>0.62412888911898856</v>
      </c>
      <c r="S10">
        <f>INDEX(OutputValues,6,$R$4)</f>
        <v>6000</v>
      </c>
    </row>
    <row r="11" spans="1:19" x14ac:dyDescent="0.25">
      <c r="A11" s="15">
        <v>7000</v>
      </c>
      <c r="B11" s="52">
        <v>7000</v>
      </c>
      <c r="C11" s="53">
        <v>0.36940908442403614</v>
      </c>
      <c r="D11" s="53">
        <v>3.4107747671609942E-2</v>
      </c>
      <c r="E11" s="53">
        <v>0.24494364647554864</v>
      </c>
      <c r="F11" s="53">
        <v>3.58089532706755E-2</v>
      </c>
      <c r="G11" s="53">
        <v>4.4588658832221739E-2</v>
      </c>
      <c r="H11" s="53">
        <v>4.1190994520328567E-2</v>
      </c>
      <c r="I11" s="53">
        <v>0.62101612186804611</v>
      </c>
      <c r="J11" s="53">
        <v>0.81260559768833807</v>
      </c>
      <c r="K11" s="53">
        <v>0.60327879321014388</v>
      </c>
      <c r="L11" s="53">
        <v>0.37625560252250034</v>
      </c>
      <c r="M11" s="53">
        <v>0.3674805745739419</v>
      </c>
      <c r="N11" s="53">
        <v>0.17398504815600047</v>
      </c>
      <c r="O11" s="53">
        <v>0.70861952552247587</v>
      </c>
      <c r="P11" s="53">
        <v>0.22622811266484535</v>
      </c>
      <c r="Q11" s="54">
        <v>0.57375346276741135</v>
      </c>
      <c r="S11">
        <f>INDEX(OutputValues,7,$R$4)</f>
        <v>7000</v>
      </c>
    </row>
    <row r="12" spans="1:19" x14ac:dyDescent="0.25">
      <c r="A12" s="15">
        <v>8000</v>
      </c>
      <c r="B12" s="52">
        <v>8000</v>
      </c>
      <c r="C12" s="53">
        <v>1.5464118019863781E-2</v>
      </c>
      <c r="D12" s="53">
        <v>1.3627130469189499E-2</v>
      </c>
      <c r="E12" s="53">
        <v>1.6750009928229236E-2</v>
      </c>
      <c r="F12" s="53">
        <v>0.58552290802456464</v>
      </c>
      <c r="G12" s="53">
        <v>1.4012897730252407E-2</v>
      </c>
      <c r="H12" s="53">
        <v>1.6457112967075381E-2</v>
      </c>
      <c r="I12" s="53">
        <v>0.34309692542293152</v>
      </c>
      <c r="J12" s="53">
        <v>2.1743307914152181E-2</v>
      </c>
      <c r="K12" s="53">
        <v>0.30706354437805627</v>
      </c>
      <c r="L12" s="53">
        <v>0.36485393481071615</v>
      </c>
      <c r="M12" s="53">
        <v>0.5783584930656932</v>
      </c>
      <c r="N12" s="53">
        <v>0.65802267643141654</v>
      </c>
      <c r="O12" s="53">
        <v>0.81515821309494751</v>
      </c>
      <c r="P12" s="53">
        <v>0.40611894169340818</v>
      </c>
      <c r="Q12" s="54">
        <v>0.7105877425202527</v>
      </c>
      <c r="S12">
        <f>INDEX(OutputValues,8,$R$4)</f>
        <v>8000</v>
      </c>
    </row>
    <row r="13" spans="1:19" x14ac:dyDescent="0.25">
      <c r="A13" s="15">
        <v>9000</v>
      </c>
      <c r="B13" s="52">
        <v>9000</v>
      </c>
      <c r="C13" s="53">
        <v>0.48022806408997426</v>
      </c>
      <c r="D13" s="53">
        <v>0.10678125935632263</v>
      </c>
      <c r="E13" s="53">
        <v>0.19546964009453105</v>
      </c>
      <c r="F13" s="53">
        <v>0.98340258590050555</v>
      </c>
      <c r="G13" s="53">
        <v>0.48109436859212629</v>
      </c>
      <c r="H13" s="53">
        <v>4.8410264322053392E-2</v>
      </c>
      <c r="I13" s="53">
        <v>9.2878624178776958E-2</v>
      </c>
      <c r="J13" s="53">
        <v>0.8730600072367336</v>
      </c>
      <c r="K13" s="53">
        <v>0.50914247951833447</v>
      </c>
      <c r="L13" s="53">
        <v>3.2144591554495679E-2</v>
      </c>
      <c r="M13" s="53">
        <v>0.23754284957736593</v>
      </c>
      <c r="N13" s="53">
        <v>0.45463530268093882</v>
      </c>
      <c r="O13" s="53">
        <v>7.9988055821950357E-2</v>
      </c>
      <c r="P13" s="53">
        <v>0.32847736241945225</v>
      </c>
      <c r="Q13" s="54">
        <v>0.28784482260136002</v>
      </c>
      <c r="S13">
        <f>INDEX(OutputValues,9,$R$4)</f>
        <v>9000</v>
      </c>
    </row>
    <row r="14" spans="1:19" x14ac:dyDescent="0.25">
      <c r="A14" s="15">
        <v>10000</v>
      </c>
      <c r="B14" s="52">
        <v>10000</v>
      </c>
      <c r="C14" s="53">
        <v>0.22831676960487229</v>
      </c>
      <c r="D14" s="53">
        <v>0.16790766849907288</v>
      </c>
      <c r="E14" s="53">
        <v>6.9196220224137794E-2</v>
      </c>
      <c r="F14" s="53">
        <v>0.64988938209216196</v>
      </c>
      <c r="G14" s="53">
        <v>0.68175757794776293</v>
      </c>
      <c r="H14" s="53">
        <v>0.49813112161715961</v>
      </c>
      <c r="I14" s="53">
        <v>0.74040089818285582</v>
      </c>
      <c r="J14" s="53">
        <v>0.33933911740638084</v>
      </c>
      <c r="K14" s="53">
        <v>0.61849396806636447</v>
      </c>
      <c r="L14" s="53">
        <v>6.4969821829025914E-2</v>
      </c>
      <c r="M14" s="53">
        <v>4.9046171111368921E-2</v>
      </c>
      <c r="N14" s="53">
        <v>0.33662605485367536</v>
      </c>
      <c r="O14" s="53">
        <v>0.70200422544198493</v>
      </c>
      <c r="P14" s="53">
        <v>0.66264138118228089</v>
      </c>
      <c r="Q14" s="54">
        <v>0.76399618789341983</v>
      </c>
      <c r="S14">
        <f>INDEX(OutputValues,10,$R$4)</f>
        <v>10000</v>
      </c>
    </row>
    <row r="15" spans="1:19" x14ac:dyDescent="0.25">
      <c r="A15" s="15">
        <v>11000</v>
      </c>
      <c r="B15" s="52">
        <v>11000</v>
      </c>
      <c r="C15" s="53">
        <v>0.15527761351948019</v>
      </c>
      <c r="D15" s="53">
        <v>0.96633611697719424</v>
      </c>
      <c r="E15" s="53">
        <v>0.17325445710099438</v>
      </c>
      <c r="F15" s="53">
        <v>0.27388707041007687</v>
      </c>
      <c r="G15" s="53">
        <v>0.8816265125036834</v>
      </c>
      <c r="H15" s="53">
        <v>0.20714244738306237</v>
      </c>
      <c r="I15" s="53">
        <v>0.52437601356402552</v>
      </c>
      <c r="J15" s="53">
        <v>0.14196574161539469</v>
      </c>
      <c r="K15" s="53">
        <v>0.24348684856620995</v>
      </c>
      <c r="L15" s="53">
        <v>0.40335076477058007</v>
      </c>
      <c r="M15" s="53">
        <v>0.16683753942701177</v>
      </c>
      <c r="N15" s="53">
        <v>0.50284200893048081</v>
      </c>
      <c r="O15" s="53">
        <v>0.21051397727363141</v>
      </c>
      <c r="P15" s="53">
        <v>0.35752834245802473</v>
      </c>
      <c r="Q15" s="54">
        <v>0.81406155096507105</v>
      </c>
      <c r="S15">
        <f>INDEX(OutputValues,11,$R$4)</f>
        <v>11000</v>
      </c>
    </row>
    <row r="16" spans="1:19" x14ac:dyDescent="0.25">
      <c r="A16" s="15">
        <v>12000</v>
      </c>
      <c r="B16" s="52">
        <v>12000</v>
      </c>
      <c r="C16" s="53">
        <v>0.21374835492047273</v>
      </c>
      <c r="D16" s="53">
        <v>0.73161635032738936</v>
      </c>
      <c r="E16" s="53">
        <v>0.63807613888628967</v>
      </c>
      <c r="F16" s="53">
        <v>0.18031926212313903</v>
      </c>
      <c r="G16" s="53">
        <v>0.38607853587285779</v>
      </c>
      <c r="H16" s="53">
        <v>0.32828166863830843</v>
      </c>
      <c r="I16" s="53">
        <v>0.65489696645869266</v>
      </c>
      <c r="J16" s="53">
        <v>0.15410579843047137</v>
      </c>
      <c r="K16" s="53">
        <v>0.58334772001848045</v>
      </c>
      <c r="L16" s="53">
        <v>0.2846942394595644</v>
      </c>
      <c r="M16" s="53">
        <v>0.90512768731872184</v>
      </c>
      <c r="N16" s="53">
        <v>0.21637183038493213</v>
      </c>
      <c r="O16" s="53">
        <v>0.31230295038797745</v>
      </c>
      <c r="P16" s="53">
        <v>0.60776862072760229</v>
      </c>
      <c r="Q16" s="54">
        <v>0.34838268945105383</v>
      </c>
      <c r="S16">
        <f>INDEX(OutputValues,12,$R$4)</f>
        <v>12000</v>
      </c>
    </row>
    <row r="17" spans="1:19" x14ac:dyDescent="0.25">
      <c r="A17" s="15">
        <v>13000</v>
      </c>
      <c r="B17" s="52">
        <v>13000</v>
      </c>
      <c r="C17" s="53">
        <v>0.36882161998762097</v>
      </c>
      <c r="D17" s="53">
        <v>0.23710796439946155</v>
      </c>
      <c r="E17" s="53">
        <v>0.42874333686728866</v>
      </c>
      <c r="F17" s="53">
        <v>0.5419456381814971</v>
      </c>
      <c r="G17" s="53">
        <v>0.28062403562657195</v>
      </c>
      <c r="H17" s="53">
        <v>0.30093943425324787</v>
      </c>
      <c r="I17" s="53">
        <v>0.84652430736502227</v>
      </c>
      <c r="J17" s="53">
        <v>0.7992857116563209</v>
      </c>
      <c r="K17" s="53">
        <v>0.52979021041834595</v>
      </c>
      <c r="L17" s="53">
        <v>0.46356000105260353</v>
      </c>
      <c r="M17" s="53">
        <v>0.43309625008991792</v>
      </c>
      <c r="N17" s="53">
        <v>0.93121671981083143</v>
      </c>
      <c r="O17" s="53">
        <v>0.13570706140938374</v>
      </c>
      <c r="P17" s="53">
        <v>0.79097073532516582</v>
      </c>
      <c r="Q17" s="54">
        <v>0.10564475270625034</v>
      </c>
      <c r="S17">
        <f>INDEX(OutputValues,13,$R$4)</f>
        <v>13000</v>
      </c>
    </row>
    <row r="18" spans="1:19" x14ac:dyDescent="0.25">
      <c r="A18" s="15">
        <v>14000</v>
      </c>
      <c r="B18" s="52">
        <v>14000</v>
      </c>
      <c r="C18" s="53">
        <v>0.8080961339237771</v>
      </c>
      <c r="D18" s="53">
        <v>0.70845788071142735</v>
      </c>
      <c r="E18" s="53">
        <v>0.82945097222559372</v>
      </c>
      <c r="F18" s="53">
        <v>0.38634614225264785</v>
      </c>
      <c r="G18" s="53">
        <v>0.3355367373816277</v>
      </c>
      <c r="H18" s="53">
        <v>0.18045811618386212</v>
      </c>
      <c r="I18" s="53">
        <v>0.19761312729621863</v>
      </c>
      <c r="J18" s="53">
        <v>4.8770131498483242E-2</v>
      </c>
      <c r="K18" s="53">
        <v>0.46718977097282255</v>
      </c>
      <c r="L18" s="53">
        <v>0.55150515269011935</v>
      </c>
      <c r="M18" s="53">
        <v>0.55527334073658563</v>
      </c>
      <c r="N18" s="53">
        <v>0.63506399786242207</v>
      </c>
      <c r="O18" s="53">
        <v>0.83720681437815758</v>
      </c>
      <c r="P18" s="53">
        <v>0.1659362225991684</v>
      </c>
      <c r="Q18" s="54">
        <v>0.17690492612735884</v>
      </c>
      <c r="S18">
        <f>INDEX(OutputValues,14,$R$4)</f>
        <v>14000</v>
      </c>
    </row>
    <row r="19" spans="1:19" x14ac:dyDescent="0.25">
      <c r="A19" s="15">
        <v>15000</v>
      </c>
      <c r="B19" s="52">
        <v>15000</v>
      </c>
      <c r="C19" s="53">
        <v>0.52215495094561015</v>
      </c>
      <c r="D19" s="53">
        <v>0.76874639911105258</v>
      </c>
      <c r="E19" s="53">
        <v>0.31236887556653087</v>
      </c>
      <c r="F19" s="53">
        <v>0.29106180083310235</v>
      </c>
      <c r="G19" s="53">
        <v>0.37186107307350769</v>
      </c>
      <c r="H19" s="53">
        <v>0.86809647618026631</v>
      </c>
      <c r="I19" s="53">
        <v>0.40650507228311172</v>
      </c>
      <c r="J19" s="53">
        <v>0.85161986656927346</v>
      </c>
      <c r="K19" s="53">
        <v>0.46831280680375353</v>
      </c>
      <c r="L19" s="53">
        <v>0.77292481509823885</v>
      </c>
      <c r="M19" s="53">
        <v>0.85694427192766132</v>
      </c>
      <c r="N19" s="53">
        <v>0.33242820841014209</v>
      </c>
      <c r="O19" s="53">
        <v>0.8900234626516903</v>
      </c>
      <c r="P19" s="53">
        <v>0.27522484884756948</v>
      </c>
      <c r="Q19" s="54">
        <v>0.29791181064310007</v>
      </c>
      <c r="S19">
        <f>INDEX(OutputValues,15,$R$4)</f>
        <v>15000</v>
      </c>
    </row>
    <row r="20" spans="1:19" x14ac:dyDescent="0.25">
      <c r="A20" s="15">
        <v>16000</v>
      </c>
      <c r="B20" s="52">
        <v>16000</v>
      </c>
      <c r="C20" s="53">
        <v>0.83421792562304231</v>
      </c>
      <c r="D20" s="53">
        <v>0.47993158317876727</v>
      </c>
      <c r="E20" s="53">
        <v>0.84123858996340628</v>
      </c>
      <c r="F20" s="53">
        <v>0.38175754072911067</v>
      </c>
      <c r="G20" s="53">
        <v>0.62127332839564309</v>
      </c>
      <c r="H20" s="53">
        <v>0.68993318480212373</v>
      </c>
      <c r="I20" s="53">
        <v>0.25121071872219453</v>
      </c>
      <c r="J20" s="53">
        <v>1</v>
      </c>
      <c r="K20" s="53">
        <v>0.29733037100336784</v>
      </c>
      <c r="L20" s="53">
        <v>0.5139578960717055</v>
      </c>
      <c r="M20" s="53">
        <v>0.38983983317698578</v>
      </c>
      <c r="N20" s="53">
        <v>0.70283339667884603</v>
      </c>
      <c r="O20" s="53">
        <v>0.25576278530258056</v>
      </c>
      <c r="P20" s="53">
        <v>0.43194014056039148</v>
      </c>
      <c r="Q20" s="54">
        <v>0.71124747254920462</v>
      </c>
      <c r="S20">
        <f>INDEX(OutputValues,16,$R$4)</f>
        <v>16000</v>
      </c>
    </row>
    <row r="21" spans="1:19" x14ac:dyDescent="0.25">
      <c r="A21" s="15">
        <v>17000</v>
      </c>
      <c r="B21" s="52">
        <v>17000</v>
      </c>
      <c r="C21" s="53">
        <v>0.85526719299012843</v>
      </c>
      <c r="D21" s="53">
        <v>0.69706574109279429</v>
      </c>
      <c r="E21" s="53">
        <v>0.47062518749863297</v>
      </c>
      <c r="F21" s="53">
        <v>0.38450421235793936</v>
      </c>
      <c r="G21" s="53">
        <v>0.66175912555742022</v>
      </c>
      <c r="H21" s="53">
        <v>0.6024175620856882</v>
      </c>
      <c r="I21" s="53">
        <v>0.75390314931971969</v>
      </c>
      <c r="J21" s="53">
        <v>0.37880731439057469</v>
      </c>
      <c r="K21" s="53">
        <v>0.91701498354950872</v>
      </c>
      <c r="L21" s="53">
        <v>0.43397840157147477</v>
      </c>
      <c r="M21" s="53">
        <v>0.85160267234918108</v>
      </c>
      <c r="N21" s="53">
        <v>0.59222072679321369</v>
      </c>
      <c r="O21" s="53">
        <v>0.49643963041421535</v>
      </c>
      <c r="P21" s="53">
        <v>0.66367941367626671</v>
      </c>
      <c r="Q21" s="54">
        <v>0.54519253516984656</v>
      </c>
      <c r="S21">
        <f>INDEX(OutputValues,17,$R$4)</f>
        <v>17000</v>
      </c>
    </row>
    <row r="22" spans="1:19" x14ac:dyDescent="0.25">
      <c r="A22" s="15">
        <v>18000</v>
      </c>
      <c r="B22" s="52">
        <v>18000</v>
      </c>
      <c r="C22" s="53">
        <v>1</v>
      </c>
      <c r="D22" s="53">
        <v>0.45605888984820581</v>
      </c>
      <c r="E22" s="53">
        <v>0.62793115735991945</v>
      </c>
      <c r="F22" s="53">
        <v>1</v>
      </c>
      <c r="G22" s="53">
        <v>0.69498532581345895</v>
      </c>
      <c r="H22" s="53">
        <v>0.61355197965872099</v>
      </c>
      <c r="I22" s="53">
        <v>0.42054433819295189</v>
      </c>
      <c r="J22" s="53">
        <v>0.65022457333881467</v>
      </c>
      <c r="K22" s="53">
        <v>0.23989735558239389</v>
      </c>
      <c r="L22" s="53">
        <v>0.64396791730211966</v>
      </c>
      <c r="M22" s="53">
        <v>0.51129600653888774</v>
      </c>
      <c r="N22" s="53">
        <v>0.70539420452051849</v>
      </c>
      <c r="O22" s="53">
        <v>0.87878896860567879</v>
      </c>
      <c r="P22" s="53">
        <v>0.35994062759224155</v>
      </c>
      <c r="Q22" s="54">
        <v>0.6539519877990414</v>
      </c>
      <c r="S22">
        <f>INDEX(OutputValues,18,$R$4)</f>
        <v>18000</v>
      </c>
    </row>
    <row r="23" spans="1:19" x14ac:dyDescent="0.25">
      <c r="A23" s="15">
        <v>19000</v>
      </c>
      <c r="B23" s="52">
        <v>19000</v>
      </c>
      <c r="C23" s="53">
        <v>0.45940634277359799</v>
      </c>
      <c r="D23" s="53">
        <v>0.36879354207983062</v>
      </c>
      <c r="E23" s="53">
        <v>1</v>
      </c>
      <c r="F23" s="53">
        <v>0.65105923440451163</v>
      </c>
      <c r="G23" s="53">
        <v>0.87782484078201661</v>
      </c>
      <c r="H23" s="53">
        <v>0.57656118296008452</v>
      </c>
      <c r="I23" s="53">
        <v>0.60080693967200327</v>
      </c>
      <c r="J23" s="53">
        <v>1</v>
      </c>
      <c r="K23" s="53">
        <v>0.50308738004971232</v>
      </c>
      <c r="L23" s="53">
        <v>0.69243588512656129</v>
      </c>
      <c r="M23" s="53">
        <v>0.63178507365034853</v>
      </c>
      <c r="N23" s="53">
        <v>0.93184785361263278</v>
      </c>
      <c r="O23" s="53">
        <v>0.55753436903445619</v>
      </c>
      <c r="P23" s="53">
        <v>1</v>
      </c>
      <c r="Q23" s="54">
        <v>0.353456905694779</v>
      </c>
      <c r="S23">
        <f>INDEX(OutputValues,19,$R$4)</f>
        <v>19000</v>
      </c>
    </row>
    <row r="24" spans="1:19" x14ac:dyDescent="0.25">
      <c r="A24" s="15">
        <v>20000</v>
      </c>
      <c r="B24" s="55">
        <v>20000</v>
      </c>
      <c r="C24" s="56">
        <v>0.94685483148316896</v>
      </c>
      <c r="D24" s="56">
        <v>0.71670542771180723</v>
      </c>
      <c r="E24" s="56">
        <v>0.55003511289518747</v>
      </c>
      <c r="F24" s="56">
        <v>0.53639980756233319</v>
      </c>
      <c r="G24" s="56">
        <v>0.4751764794045219</v>
      </c>
      <c r="H24" s="56">
        <v>1</v>
      </c>
      <c r="I24" s="56">
        <v>0.48173052863282773</v>
      </c>
      <c r="J24" s="56">
        <v>0.56900749456613953</v>
      </c>
      <c r="K24" s="56">
        <v>1</v>
      </c>
      <c r="L24" s="56">
        <v>0.70801667948667646</v>
      </c>
      <c r="M24" s="56">
        <v>0.7502604037472882</v>
      </c>
      <c r="N24" s="56">
        <v>0.92849733998204287</v>
      </c>
      <c r="O24" s="56">
        <v>0.85354405334298344</v>
      </c>
      <c r="P24" s="56">
        <v>0.49674686275698804</v>
      </c>
      <c r="Q24" s="57">
        <v>0.77389533252563569</v>
      </c>
      <c r="S24">
        <f>INDEX(OutputValues,20,$R$4)</f>
        <v>20000</v>
      </c>
    </row>
  </sheetData>
  <dataValidations count="1">
    <dataValidation type="list" allowBlank="1" showInputMessage="1" showErrorMessage="1" sqref="S4" xr:uid="{7DD7901B-EEF5-441A-A29D-9EA9CA531B47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39068-D3F3-4C4B-BF33-CF90B1366767}">
  <dimension ref="A1:K41"/>
  <sheetViews>
    <sheetView topLeftCell="A10" workbookViewId="0">
      <selection activeCell="B41" sqref="B41"/>
    </sheetView>
  </sheetViews>
  <sheetFormatPr defaultRowHeight="15" x14ac:dyDescent="0.25"/>
  <cols>
    <col min="1" max="1" width="21" customWidth="1"/>
    <col min="2" max="2" width="14.28515625" bestFit="1" customWidth="1"/>
    <col min="4" max="4" width="20.42578125" bestFit="1" customWidth="1"/>
    <col min="5" max="5" width="20.7109375" bestFit="1" customWidth="1"/>
    <col min="6" max="6" width="11.5703125" bestFit="1" customWidth="1"/>
    <col min="7" max="7" width="18.42578125" customWidth="1"/>
    <col min="9" max="9" width="17.5703125" customWidth="1"/>
  </cols>
  <sheetData>
    <row r="1" spans="1:10" ht="21" x14ac:dyDescent="0.35">
      <c r="A1" s="2" t="s">
        <v>0</v>
      </c>
    </row>
    <row r="3" spans="1:10" x14ac:dyDescent="0.25">
      <c r="A3" t="s">
        <v>2</v>
      </c>
      <c r="B3" s="4">
        <v>3000</v>
      </c>
    </row>
    <row r="4" spans="1:10" x14ac:dyDescent="0.25">
      <c r="A4" t="s">
        <v>3</v>
      </c>
      <c r="B4" s="3"/>
    </row>
    <row r="6" spans="1:10" x14ac:dyDescent="0.25">
      <c r="A6" s="1" t="s">
        <v>1</v>
      </c>
      <c r="B6" t="s">
        <v>41</v>
      </c>
      <c r="G6" s="1" t="s">
        <v>42</v>
      </c>
      <c r="J6" s="1"/>
    </row>
    <row r="7" spans="1:10" x14ac:dyDescent="0.25">
      <c r="A7" t="s">
        <v>81</v>
      </c>
      <c r="B7" s="4">
        <v>299</v>
      </c>
      <c r="C7" s="21"/>
      <c r="D7" s="19"/>
      <c r="E7" s="20"/>
      <c r="G7" s="1" t="s">
        <v>43</v>
      </c>
      <c r="H7" s="7" t="s">
        <v>44</v>
      </c>
      <c r="I7" s="1"/>
      <c r="J7" t="s">
        <v>45</v>
      </c>
    </row>
    <row r="8" spans="1:10" x14ac:dyDescent="0.25">
      <c r="A8" t="s">
        <v>82</v>
      </c>
      <c r="B8" s="4">
        <v>279</v>
      </c>
      <c r="C8" s="21"/>
      <c r="D8" s="19"/>
      <c r="E8" s="20"/>
      <c r="G8" s="13">
        <v>1</v>
      </c>
      <c r="H8" s="28">
        <f>SUMIF(Origin, Festival,Flow)</f>
        <v>1</v>
      </c>
      <c r="I8" s="23" t="s">
        <v>47</v>
      </c>
      <c r="J8" s="25">
        <v>1</v>
      </c>
    </row>
    <row r="9" spans="1:10" x14ac:dyDescent="0.25">
      <c r="A9" t="s">
        <v>83</v>
      </c>
      <c r="B9" s="4">
        <v>345</v>
      </c>
      <c r="C9" s="21"/>
      <c r="D9" s="19"/>
      <c r="E9" s="20"/>
      <c r="G9" s="12">
        <v>2</v>
      </c>
      <c r="H9" s="28">
        <f>SUMIF(Origin, Festival,Flow)</f>
        <v>1</v>
      </c>
      <c r="I9" s="23" t="s">
        <v>47</v>
      </c>
      <c r="J9" s="25">
        <v>1</v>
      </c>
    </row>
    <row r="10" spans="1:10" x14ac:dyDescent="0.25">
      <c r="A10" t="s">
        <v>84</v>
      </c>
      <c r="B10" s="5">
        <v>220.5</v>
      </c>
      <c r="C10" s="21"/>
      <c r="D10" s="19"/>
      <c r="E10" s="20"/>
      <c r="G10" s="12">
        <v>3</v>
      </c>
      <c r="H10" s="28">
        <f>SUMIF(Origin, Festival,Flow)</f>
        <v>1</v>
      </c>
      <c r="I10" s="23" t="s">
        <v>47</v>
      </c>
      <c r="J10" s="25">
        <v>1</v>
      </c>
    </row>
    <row r="11" spans="1:10" x14ac:dyDescent="0.25">
      <c r="A11" t="s">
        <v>85</v>
      </c>
      <c r="B11" s="4">
        <v>185</v>
      </c>
      <c r="C11" s="21"/>
      <c r="D11" s="19"/>
      <c r="E11" s="20"/>
      <c r="G11" s="13">
        <v>4</v>
      </c>
      <c r="H11" s="28">
        <f>SUMIF(Origin, Festival,Flow)</f>
        <v>1</v>
      </c>
      <c r="I11" s="23" t="s">
        <v>47</v>
      </c>
      <c r="J11" s="25">
        <v>1</v>
      </c>
    </row>
    <row r="12" spans="1:10" x14ac:dyDescent="0.25">
      <c r="A12" t="s">
        <v>86</v>
      </c>
      <c r="B12" s="4">
        <v>120</v>
      </c>
      <c r="C12" s="21"/>
      <c r="D12" s="19"/>
      <c r="E12" s="20"/>
      <c r="G12" s="13">
        <v>5</v>
      </c>
      <c r="H12" s="28">
        <f>SUMIF(Origin, Festival,Flow)</f>
        <v>1</v>
      </c>
      <c r="I12" s="23" t="s">
        <v>47</v>
      </c>
      <c r="J12" s="26">
        <v>1</v>
      </c>
    </row>
    <row r="13" spans="1:10" x14ac:dyDescent="0.25">
      <c r="B13" s="18"/>
      <c r="C13" s="21"/>
      <c r="D13" s="19"/>
      <c r="E13" s="20"/>
      <c r="G13" s="13">
        <v>6</v>
      </c>
      <c r="H13" s="28">
        <f>SUMIF(Origin, Festival,Flow)</f>
        <v>1</v>
      </c>
      <c r="I13" s="23" t="s">
        <v>47</v>
      </c>
      <c r="J13" s="26">
        <v>1</v>
      </c>
    </row>
    <row r="14" spans="1:10" x14ac:dyDescent="0.25">
      <c r="A14" s="1"/>
      <c r="B14" s="18"/>
      <c r="C14" s="21"/>
      <c r="D14" s="19"/>
      <c r="E14" s="20"/>
      <c r="G14" s="1"/>
      <c r="H14" s="6"/>
      <c r="I14" s="1"/>
      <c r="J14" s="9"/>
    </row>
    <row r="16" spans="1:10" x14ac:dyDescent="0.25">
      <c r="A16" s="1" t="s">
        <v>10</v>
      </c>
      <c r="J16" s="1"/>
    </row>
    <row r="17" spans="1:11" x14ac:dyDescent="0.25">
      <c r="A17" s="1" t="s">
        <v>11</v>
      </c>
      <c r="B17" s="1" t="s">
        <v>12</v>
      </c>
      <c r="C17" s="1" t="s">
        <v>35</v>
      </c>
      <c r="D17" s="1" t="s">
        <v>36</v>
      </c>
      <c r="E17" s="1" t="s">
        <v>46</v>
      </c>
      <c r="F17" s="1" t="s">
        <v>13</v>
      </c>
      <c r="G17" s="1"/>
      <c r="H17" s="1" t="s">
        <v>39</v>
      </c>
      <c r="J17" s="6"/>
      <c r="K17" s="17"/>
    </row>
    <row r="18" spans="1:11" x14ac:dyDescent="0.25">
      <c r="A18">
        <v>1</v>
      </c>
      <c r="B18">
        <v>2</v>
      </c>
      <c r="C18" s="16">
        <v>98</v>
      </c>
      <c r="D18" s="16">
        <v>145</v>
      </c>
      <c r="E18" s="27">
        <v>299</v>
      </c>
      <c r="F18" s="8">
        <v>0</v>
      </c>
      <c r="G18" s="19" t="s">
        <v>17</v>
      </c>
      <c r="H18" s="7">
        <v>1</v>
      </c>
      <c r="K18" s="17"/>
    </row>
    <row r="19" spans="1:11" x14ac:dyDescent="0.25">
      <c r="A19">
        <v>1</v>
      </c>
      <c r="B19">
        <v>3</v>
      </c>
      <c r="C19" s="16">
        <v>187</v>
      </c>
      <c r="D19" s="16">
        <v>223</v>
      </c>
      <c r="E19" s="27">
        <v>299</v>
      </c>
      <c r="F19" s="8">
        <v>0</v>
      </c>
      <c r="G19" s="19" t="s">
        <v>17</v>
      </c>
      <c r="H19" s="7">
        <v>1</v>
      </c>
      <c r="K19" s="17"/>
    </row>
    <row r="20" spans="1:11" x14ac:dyDescent="0.25">
      <c r="A20">
        <v>1</v>
      </c>
      <c r="B20">
        <v>4</v>
      </c>
      <c r="C20" s="16">
        <v>129</v>
      </c>
      <c r="D20" s="16">
        <v>155</v>
      </c>
      <c r="E20" s="27">
        <v>299</v>
      </c>
      <c r="F20" s="8">
        <v>0</v>
      </c>
      <c r="G20" s="19" t="s">
        <v>17</v>
      </c>
      <c r="H20" s="7">
        <v>1</v>
      </c>
    </row>
    <row r="21" spans="1:11" x14ac:dyDescent="0.25">
      <c r="A21">
        <v>1</v>
      </c>
      <c r="B21">
        <v>5</v>
      </c>
      <c r="C21" s="16">
        <v>225</v>
      </c>
      <c r="D21" s="16">
        <v>292</v>
      </c>
      <c r="E21" s="27">
        <v>299</v>
      </c>
      <c r="F21" s="8">
        <v>1</v>
      </c>
      <c r="G21" s="19" t="s">
        <v>17</v>
      </c>
      <c r="H21" s="7">
        <v>1</v>
      </c>
    </row>
    <row r="22" spans="1:11" x14ac:dyDescent="0.25">
      <c r="A22">
        <v>1</v>
      </c>
      <c r="B22">
        <v>6</v>
      </c>
      <c r="C22" s="16">
        <v>180</v>
      </c>
      <c r="D22" s="16">
        <v>240</v>
      </c>
      <c r="E22" s="27">
        <v>299</v>
      </c>
      <c r="F22" s="8">
        <v>0</v>
      </c>
      <c r="G22" s="19" t="s">
        <v>17</v>
      </c>
      <c r="H22" s="7">
        <v>1</v>
      </c>
    </row>
    <row r="23" spans="1:11" x14ac:dyDescent="0.25">
      <c r="A23">
        <v>2</v>
      </c>
      <c r="B23">
        <v>3</v>
      </c>
      <c r="C23" s="16">
        <v>110</v>
      </c>
      <c r="D23" s="16">
        <v>140</v>
      </c>
      <c r="E23" s="27">
        <v>279</v>
      </c>
      <c r="F23" s="8">
        <v>1</v>
      </c>
      <c r="G23" s="19" t="s">
        <v>17</v>
      </c>
      <c r="H23" s="7">
        <v>1</v>
      </c>
    </row>
    <row r="24" spans="1:11" x14ac:dyDescent="0.25">
      <c r="A24">
        <v>2</v>
      </c>
      <c r="B24">
        <v>4</v>
      </c>
      <c r="C24" s="16">
        <v>50</v>
      </c>
      <c r="D24" s="16">
        <v>90</v>
      </c>
      <c r="E24" s="27">
        <v>279</v>
      </c>
      <c r="F24" s="8">
        <v>0</v>
      </c>
      <c r="G24" s="19" t="s">
        <v>17</v>
      </c>
      <c r="H24" s="7">
        <v>1</v>
      </c>
    </row>
    <row r="25" spans="1:11" x14ac:dyDescent="0.25">
      <c r="A25">
        <v>2</v>
      </c>
      <c r="B25">
        <v>5</v>
      </c>
      <c r="C25" s="16">
        <v>23</v>
      </c>
      <c r="D25" s="16">
        <v>45</v>
      </c>
      <c r="E25" s="27">
        <v>279</v>
      </c>
      <c r="F25" s="8">
        <v>0</v>
      </c>
      <c r="G25" s="19" t="s">
        <v>17</v>
      </c>
      <c r="H25" s="7">
        <v>1</v>
      </c>
    </row>
    <row r="26" spans="1:11" x14ac:dyDescent="0.25">
      <c r="A26">
        <v>2</v>
      </c>
      <c r="B26">
        <v>6</v>
      </c>
      <c r="C26" s="16">
        <v>40</v>
      </c>
      <c r="D26" s="16">
        <v>52</v>
      </c>
      <c r="E26" s="27">
        <v>279</v>
      </c>
      <c r="F26" s="8">
        <v>0</v>
      </c>
      <c r="G26" s="19" t="s">
        <v>17</v>
      </c>
      <c r="H26" s="7">
        <v>1</v>
      </c>
    </row>
    <row r="27" spans="1:11" x14ac:dyDescent="0.25">
      <c r="A27">
        <v>3</v>
      </c>
      <c r="B27">
        <v>4</v>
      </c>
      <c r="C27" s="16">
        <v>187</v>
      </c>
      <c r="D27" s="16">
        <v>292</v>
      </c>
      <c r="E27" s="16">
        <v>345</v>
      </c>
      <c r="F27" s="8">
        <v>1</v>
      </c>
      <c r="G27" s="19" t="s">
        <v>17</v>
      </c>
      <c r="H27" s="7">
        <v>1</v>
      </c>
    </row>
    <row r="28" spans="1:11" x14ac:dyDescent="0.25">
      <c r="A28">
        <v>3</v>
      </c>
      <c r="B28">
        <v>5</v>
      </c>
      <c r="C28" s="16">
        <v>103</v>
      </c>
      <c r="D28" s="16">
        <v>173</v>
      </c>
      <c r="E28" s="16">
        <v>345</v>
      </c>
      <c r="F28" s="8">
        <v>0</v>
      </c>
      <c r="G28" s="19" t="s">
        <v>17</v>
      </c>
      <c r="H28" s="7">
        <v>1</v>
      </c>
    </row>
    <row r="29" spans="1:11" x14ac:dyDescent="0.25">
      <c r="A29">
        <v>3</v>
      </c>
      <c r="B29">
        <v>6</v>
      </c>
      <c r="C29" s="16">
        <v>75</v>
      </c>
      <c r="D29" s="16">
        <v>121</v>
      </c>
      <c r="E29" s="16">
        <v>345</v>
      </c>
      <c r="F29" s="8">
        <v>0</v>
      </c>
      <c r="G29" s="19" t="s">
        <v>17</v>
      </c>
      <c r="H29" s="7">
        <v>1</v>
      </c>
    </row>
    <row r="30" spans="1:11" x14ac:dyDescent="0.25">
      <c r="A30">
        <v>4</v>
      </c>
      <c r="B30">
        <v>5</v>
      </c>
      <c r="C30" s="16">
        <v>20</v>
      </c>
      <c r="D30" s="16">
        <v>45</v>
      </c>
      <c r="E30" s="16">
        <v>220.5</v>
      </c>
      <c r="F30" s="8">
        <v>0</v>
      </c>
      <c r="G30" s="19" t="s">
        <v>17</v>
      </c>
      <c r="H30" s="7">
        <v>1</v>
      </c>
    </row>
    <row r="31" spans="1:11" x14ac:dyDescent="0.25">
      <c r="A31">
        <v>4</v>
      </c>
      <c r="B31">
        <v>6</v>
      </c>
      <c r="C31" s="16">
        <v>90</v>
      </c>
      <c r="D31" s="16">
        <v>125</v>
      </c>
      <c r="E31" s="16">
        <v>220.5</v>
      </c>
      <c r="F31" s="8">
        <v>1</v>
      </c>
      <c r="G31" s="19" t="s">
        <v>17</v>
      </c>
      <c r="H31" s="7">
        <v>1</v>
      </c>
    </row>
    <row r="32" spans="1:11" x14ac:dyDescent="0.25">
      <c r="A32">
        <v>5</v>
      </c>
      <c r="B32">
        <v>6</v>
      </c>
      <c r="C32" s="16">
        <v>25</v>
      </c>
      <c r="D32" s="16">
        <v>45</v>
      </c>
      <c r="E32" s="16">
        <v>185</v>
      </c>
      <c r="F32" s="8">
        <v>1</v>
      </c>
      <c r="G32" s="19" t="s">
        <v>17</v>
      </c>
      <c r="H32" s="7">
        <v>1</v>
      </c>
    </row>
    <row r="33" spans="1:8" x14ac:dyDescent="0.25">
      <c r="A33">
        <v>6</v>
      </c>
      <c r="B33">
        <v>6</v>
      </c>
      <c r="C33" s="16"/>
      <c r="D33" s="16"/>
      <c r="E33" s="16">
        <v>120</v>
      </c>
      <c r="F33" s="8">
        <v>1</v>
      </c>
      <c r="G33" s="19" t="s">
        <v>17</v>
      </c>
      <c r="H33" s="7">
        <v>1</v>
      </c>
    </row>
    <row r="35" spans="1:8" x14ac:dyDescent="0.25">
      <c r="A35" s="1" t="s">
        <v>37</v>
      </c>
      <c r="B35" s="16">
        <f>SUMPRODUCT(Min_Cost_per_Bus_Pass,Flow)</f>
        <v>637</v>
      </c>
    </row>
    <row r="36" spans="1:8" x14ac:dyDescent="0.25">
      <c r="A36" s="1" t="s">
        <v>38</v>
      </c>
      <c r="B36" s="16">
        <f>SUMPRODUCT(Max_Cost_per_Bus_Pass,Flow)</f>
        <v>894</v>
      </c>
    </row>
    <row r="37" spans="1:8" x14ac:dyDescent="0.25">
      <c r="A37" s="1"/>
      <c r="B37" s="7"/>
    </row>
    <row r="38" spans="1:8" x14ac:dyDescent="0.25">
      <c r="A38" s="1" t="s">
        <v>40</v>
      </c>
      <c r="B38" s="11">
        <f>SUMPRODUCT(Ticket_Cost,Flow)</f>
        <v>1448.5</v>
      </c>
    </row>
    <row r="39" spans="1:8" x14ac:dyDescent="0.25">
      <c r="D39" s="1" t="s">
        <v>18</v>
      </c>
      <c r="G39" s="1"/>
      <c r="H39" s="1"/>
    </row>
    <row r="40" spans="1:8" x14ac:dyDescent="0.25">
      <c r="A40" s="1" t="s">
        <v>104</v>
      </c>
      <c r="B40" s="22">
        <f>SUM(Min_Total_Bus_Cost,B38)</f>
        <v>2085.5</v>
      </c>
      <c r="C40" t="s">
        <v>17</v>
      </c>
      <c r="D40" s="10">
        <f>Total_Money_Available</f>
        <v>3000</v>
      </c>
    </row>
    <row r="41" spans="1:8" x14ac:dyDescent="0.25">
      <c r="A41" s="1" t="s">
        <v>105</v>
      </c>
      <c r="B41" s="36">
        <f>SUM(B38,Max_Total_Bus_Cost)</f>
        <v>2342.5</v>
      </c>
      <c r="C41" t="s">
        <v>17</v>
      </c>
      <c r="D41" s="10">
        <f>Total_Money_Available</f>
        <v>3000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1513B-ACFF-4563-80A7-4577ADA5AE6F}">
  <dimension ref="A1:T19"/>
  <sheetViews>
    <sheetView workbookViewId="0">
      <selection activeCell="L23" sqref="L23"/>
    </sheetView>
  </sheetViews>
  <sheetFormatPr defaultRowHeight="15" x14ac:dyDescent="0.25"/>
  <sheetData>
    <row r="1" spans="1:20" x14ac:dyDescent="0.25">
      <c r="A1" s="1" t="s">
        <v>115</v>
      </c>
      <c r="T1" s="42" t="str">
        <f>CONCATENATE("Sensitivity of ",$T$4," to ","Total Money Available")</f>
        <v>Sensitivity of Total_Cost to Total Money Available</v>
      </c>
    </row>
    <row r="3" spans="1:20" x14ac:dyDescent="0.25">
      <c r="A3" t="s">
        <v>113</v>
      </c>
      <c r="T3" t="s">
        <v>114</v>
      </c>
    </row>
    <row r="4" spans="1:20" ht="54" x14ac:dyDescent="0.25">
      <c r="B4" s="40" t="s">
        <v>55</v>
      </c>
      <c r="C4" s="40" t="s">
        <v>117</v>
      </c>
      <c r="D4" s="40" t="s">
        <v>118</v>
      </c>
      <c r="E4" s="40" t="s">
        <v>119</v>
      </c>
      <c r="F4" s="40" t="s">
        <v>120</v>
      </c>
      <c r="G4" s="40" t="s">
        <v>121</v>
      </c>
      <c r="H4" s="40" t="s">
        <v>122</v>
      </c>
      <c r="I4" s="40" t="s">
        <v>123</v>
      </c>
      <c r="J4" s="40" t="s">
        <v>124</v>
      </c>
      <c r="K4" s="40" t="s">
        <v>125</v>
      </c>
      <c r="L4" s="40" t="s">
        <v>126</v>
      </c>
      <c r="M4" s="40" t="s">
        <v>127</v>
      </c>
      <c r="N4" s="40" t="s">
        <v>128</v>
      </c>
      <c r="O4" s="40" t="s">
        <v>129</v>
      </c>
      <c r="P4" s="40" t="s">
        <v>130</v>
      </c>
      <c r="Q4" s="40" t="s">
        <v>131</v>
      </c>
      <c r="R4" s="40" t="s">
        <v>132</v>
      </c>
      <c r="S4" s="42">
        <f>MATCH($T$4,OutputAddresses,0)</f>
        <v>1</v>
      </c>
      <c r="T4" s="41" t="s">
        <v>55</v>
      </c>
    </row>
    <row r="5" spans="1:20" x14ac:dyDescent="0.25">
      <c r="A5" s="15">
        <v>1000</v>
      </c>
      <c r="B5" s="43">
        <v>1000</v>
      </c>
      <c r="C5" s="50">
        <v>0</v>
      </c>
      <c r="D5" s="50">
        <v>0</v>
      </c>
      <c r="E5" s="50">
        <v>0</v>
      </c>
      <c r="F5" s="50">
        <v>0.89312977099236635</v>
      </c>
      <c r="G5" s="50">
        <v>0</v>
      </c>
      <c r="H5" s="50">
        <v>0</v>
      </c>
      <c r="I5" s="50">
        <v>0</v>
      </c>
      <c r="J5" s="50">
        <v>0</v>
      </c>
      <c r="K5" s="50">
        <v>0</v>
      </c>
      <c r="L5" s="50">
        <v>1</v>
      </c>
      <c r="M5" s="50">
        <v>0</v>
      </c>
      <c r="N5" s="50">
        <v>0</v>
      </c>
      <c r="O5" s="50">
        <v>0</v>
      </c>
      <c r="P5" s="50">
        <v>0</v>
      </c>
      <c r="Q5" s="50">
        <v>0</v>
      </c>
      <c r="R5" s="51">
        <v>0</v>
      </c>
      <c r="T5">
        <f>INDEX(OutputValues,1,$S$4)</f>
        <v>1000</v>
      </c>
    </row>
    <row r="6" spans="1:20" x14ac:dyDescent="0.25">
      <c r="A6" s="15">
        <v>2000</v>
      </c>
      <c r="B6" s="45">
        <v>2000</v>
      </c>
      <c r="C6" s="53">
        <v>0</v>
      </c>
      <c r="D6" s="53">
        <v>0</v>
      </c>
      <c r="E6" s="53">
        <v>0</v>
      </c>
      <c r="F6" s="53">
        <v>1</v>
      </c>
      <c r="G6" s="53">
        <v>0</v>
      </c>
      <c r="H6" s="53">
        <v>1</v>
      </c>
      <c r="I6" s="53">
        <v>0</v>
      </c>
      <c r="J6" s="53">
        <v>0</v>
      </c>
      <c r="K6" s="53">
        <v>0</v>
      </c>
      <c r="L6" s="53">
        <v>1</v>
      </c>
      <c r="M6" s="53">
        <v>0</v>
      </c>
      <c r="N6" s="53">
        <v>0</v>
      </c>
      <c r="O6" s="53">
        <v>0</v>
      </c>
      <c r="P6" s="53">
        <v>1</v>
      </c>
      <c r="Q6" s="53">
        <v>1</v>
      </c>
      <c r="R6" s="54">
        <v>0.28749999999999998</v>
      </c>
      <c r="T6">
        <f>INDEX(OutputValues,2,$S$4)</f>
        <v>2000</v>
      </c>
    </row>
    <row r="7" spans="1:20" x14ac:dyDescent="0.25">
      <c r="A7" s="15">
        <v>3000</v>
      </c>
      <c r="B7" s="45">
        <v>2085.5</v>
      </c>
      <c r="C7" s="53">
        <v>0</v>
      </c>
      <c r="D7" s="53">
        <v>0</v>
      </c>
      <c r="E7" s="53">
        <v>0</v>
      </c>
      <c r="F7" s="53">
        <v>1</v>
      </c>
      <c r="G7" s="53">
        <v>0</v>
      </c>
      <c r="H7" s="53">
        <v>1</v>
      </c>
      <c r="I7" s="53">
        <v>0</v>
      </c>
      <c r="J7" s="53">
        <v>0</v>
      </c>
      <c r="K7" s="53">
        <v>0</v>
      </c>
      <c r="L7" s="53">
        <v>1</v>
      </c>
      <c r="M7" s="53">
        <v>0</v>
      </c>
      <c r="N7" s="53">
        <v>0</v>
      </c>
      <c r="O7" s="53">
        <v>0</v>
      </c>
      <c r="P7" s="53">
        <v>1</v>
      </c>
      <c r="Q7" s="53">
        <v>1</v>
      </c>
      <c r="R7" s="54">
        <v>1</v>
      </c>
      <c r="T7">
        <f>INDEX(OutputValues,3,$S$4)</f>
        <v>2085.5</v>
      </c>
    </row>
    <row r="8" spans="1:20" x14ac:dyDescent="0.25">
      <c r="A8" s="15">
        <v>4000</v>
      </c>
      <c r="B8" s="45">
        <v>2085.5</v>
      </c>
      <c r="C8" s="53">
        <v>0</v>
      </c>
      <c r="D8" s="53">
        <v>0</v>
      </c>
      <c r="E8" s="53">
        <v>0</v>
      </c>
      <c r="F8" s="53">
        <v>1</v>
      </c>
      <c r="G8" s="53">
        <v>0</v>
      </c>
      <c r="H8" s="53">
        <v>1</v>
      </c>
      <c r="I8" s="53">
        <v>0</v>
      </c>
      <c r="J8" s="53">
        <v>0</v>
      </c>
      <c r="K8" s="53">
        <v>0</v>
      </c>
      <c r="L8" s="53">
        <v>1</v>
      </c>
      <c r="M8" s="53">
        <v>0</v>
      </c>
      <c r="N8" s="53">
        <v>0</v>
      </c>
      <c r="O8" s="53">
        <v>0</v>
      </c>
      <c r="P8" s="53">
        <v>1</v>
      </c>
      <c r="Q8" s="53">
        <v>1</v>
      </c>
      <c r="R8" s="54">
        <v>1</v>
      </c>
      <c r="T8">
        <f>INDEX(OutputValues,4,$S$4)</f>
        <v>2085.5</v>
      </c>
    </row>
    <row r="9" spans="1:20" x14ac:dyDescent="0.25">
      <c r="A9" s="15">
        <v>5000</v>
      </c>
      <c r="B9" s="45">
        <v>2085.5</v>
      </c>
      <c r="C9" s="53">
        <v>0</v>
      </c>
      <c r="D9" s="53">
        <v>0</v>
      </c>
      <c r="E9" s="53">
        <v>0</v>
      </c>
      <c r="F9" s="53">
        <v>1</v>
      </c>
      <c r="G9" s="53">
        <v>0</v>
      </c>
      <c r="H9" s="53">
        <v>1</v>
      </c>
      <c r="I9" s="53">
        <v>0</v>
      </c>
      <c r="J9" s="53">
        <v>0</v>
      </c>
      <c r="K9" s="53">
        <v>0</v>
      </c>
      <c r="L9" s="53">
        <v>1</v>
      </c>
      <c r="M9" s="53">
        <v>0</v>
      </c>
      <c r="N9" s="53">
        <v>0</v>
      </c>
      <c r="O9" s="53">
        <v>0</v>
      </c>
      <c r="P9" s="53">
        <v>1</v>
      </c>
      <c r="Q9" s="53">
        <v>1</v>
      </c>
      <c r="R9" s="54">
        <v>1</v>
      </c>
      <c r="T9">
        <f>INDEX(OutputValues,5,$S$4)</f>
        <v>2085.5</v>
      </c>
    </row>
    <row r="10" spans="1:20" x14ac:dyDescent="0.25">
      <c r="A10" s="15">
        <v>6000</v>
      </c>
      <c r="B10" s="45">
        <v>2085.5</v>
      </c>
      <c r="C10" s="53">
        <v>0</v>
      </c>
      <c r="D10" s="53">
        <v>0</v>
      </c>
      <c r="E10" s="53">
        <v>0</v>
      </c>
      <c r="F10" s="53">
        <v>1</v>
      </c>
      <c r="G10" s="53">
        <v>0</v>
      </c>
      <c r="H10" s="53">
        <v>1</v>
      </c>
      <c r="I10" s="53">
        <v>0</v>
      </c>
      <c r="J10" s="53">
        <v>0</v>
      </c>
      <c r="K10" s="53">
        <v>0</v>
      </c>
      <c r="L10" s="53">
        <v>1</v>
      </c>
      <c r="M10" s="53">
        <v>0</v>
      </c>
      <c r="N10" s="53">
        <v>0</v>
      </c>
      <c r="O10" s="53">
        <v>0</v>
      </c>
      <c r="P10" s="53">
        <v>1</v>
      </c>
      <c r="Q10" s="53">
        <v>1</v>
      </c>
      <c r="R10" s="54">
        <v>1</v>
      </c>
      <c r="T10">
        <f>INDEX(OutputValues,6,$S$4)</f>
        <v>2085.5</v>
      </c>
    </row>
    <row r="11" spans="1:20" x14ac:dyDescent="0.25">
      <c r="A11" s="15">
        <v>7000</v>
      </c>
      <c r="B11" s="45">
        <v>2085.5</v>
      </c>
      <c r="C11" s="53">
        <v>0</v>
      </c>
      <c r="D11" s="53">
        <v>0</v>
      </c>
      <c r="E11" s="53">
        <v>0</v>
      </c>
      <c r="F11" s="53">
        <v>1</v>
      </c>
      <c r="G11" s="53">
        <v>0</v>
      </c>
      <c r="H11" s="53">
        <v>1</v>
      </c>
      <c r="I11" s="53">
        <v>0</v>
      </c>
      <c r="J11" s="53">
        <v>0</v>
      </c>
      <c r="K11" s="53">
        <v>0</v>
      </c>
      <c r="L11" s="53">
        <v>1</v>
      </c>
      <c r="M11" s="53">
        <v>0</v>
      </c>
      <c r="N11" s="53">
        <v>0</v>
      </c>
      <c r="O11" s="53">
        <v>0</v>
      </c>
      <c r="P11" s="53">
        <v>1</v>
      </c>
      <c r="Q11" s="53">
        <v>1</v>
      </c>
      <c r="R11" s="54">
        <v>1</v>
      </c>
      <c r="T11">
        <f>INDEX(OutputValues,7,$S$4)</f>
        <v>2085.5</v>
      </c>
    </row>
    <row r="12" spans="1:20" x14ac:dyDescent="0.25">
      <c r="A12" s="15">
        <v>8000</v>
      </c>
      <c r="B12" s="45">
        <v>2085.5</v>
      </c>
      <c r="C12" s="53">
        <v>0</v>
      </c>
      <c r="D12" s="53">
        <v>0</v>
      </c>
      <c r="E12" s="53">
        <v>0</v>
      </c>
      <c r="F12" s="53">
        <v>1</v>
      </c>
      <c r="G12" s="53">
        <v>0</v>
      </c>
      <c r="H12" s="53">
        <v>1</v>
      </c>
      <c r="I12" s="53">
        <v>0</v>
      </c>
      <c r="J12" s="53">
        <v>0</v>
      </c>
      <c r="K12" s="53">
        <v>0</v>
      </c>
      <c r="L12" s="53">
        <v>1</v>
      </c>
      <c r="M12" s="53">
        <v>0</v>
      </c>
      <c r="N12" s="53">
        <v>0</v>
      </c>
      <c r="O12" s="53">
        <v>0</v>
      </c>
      <c r="P12" s="53">
        <v>1</v>
      </c>
      <c r="Q12" s="53">
        <v>1</v>
      </c>
      <c r="R12" s="54">
        <v>1</v>
      </c>
      <c r="T12">
        <f>INDEX(OutputValues,8,$S$4)</f>
        <v>2085.5</v>
      </c>
    </row>
    <row r="13" spans="1:20" x14ac:dyDescent="0.25">
      <c r="A13" s="15">
        <v>9000</v>
      </c>
      <c r="B13" s="45">
        <v>2085.5</v>
      </c>
      <c r="C13" s="53">
        <v>0</v>
      </c>
      <c r="D13" s="53">
        <v>0</v>
      </c>
      <c r="E13" s="53">
        <v>0</v>
      </c>
      <c r="F13" s="53">
        <v>1</v>
      </c>
      <c r="G13" s="53">
        <v>0</v>
      </c>
      <c r="H13" s="53">
        <v>1</v>
      </c>
      <c r="I13" s="53">
        <v>0</v>
      </c>
      <c r="J13" s="53">
        <v>0</v>
      </c>
      <c r="K13" s="53">
        <v>0</v>
      </c>
      <c r="L13" s="53">
        <v>1</v>
      </c>
      <c r="M13" s="53">
        <v>0</v>
      </c>
      <c r="N13" s="53">
        <v>0</v>
      </c>
      <c r="O13" s="53">
        <v>0</v>
      </c>
      <c r="P13" s="53">
        <v>1</v>
      </c>
      <c r="Q13" s="53">
        <v>1</v>
      </c>
      <c r="R13" s="54">
        <v>1</v>
      </c>
      <c r="T13">
        <f>INDEX(OutputValues,9,$S$4)</f>
        <v>2085.5</v>
      </c>
    </row>
    <row r="14" spans="1:20" x14ac:dyDescent="0.25">
      <c r="A14" s="15">
        <v>10000</v>
      </c>
      <c r="B14" s="45">
        <v>2085.5</v>
      </c>
      <c r="C14" s="53">
        <v>0</v>
      </c>
      <c r="D14" s="53">
        <v>0</v>
      </c>
      <c r="E14" s="53">
        <v>0</v>
      </c>
      <c r="F14" s="53">
        <v>1</v>
      </c>
      <c r="G14" s="53">
        <v>0</v>
      </c>
      <c r="H14" s="53">
        <v>1</v>
      </c>
      <c r="I14" s="53">
        <v>0</v>
      </c>
      <c r="J14" s="53">
        <v>0</v>
      </c>
      <c r="K14" s="53">
        <v>0</v>
      </c>
      <c r="L14" s="53">
        <v>1</v>
      </c>
      <c r="M14" s="53">
        <v>0</v>
      </c>
      <c r="N14" s="53">
        <v>0</v>
      </c>
      <c r="O14" s="53">
        <v>0</v>
      </c>
      <c r="P14" s="53">
        <v>1</v>
      </c>
      <c r="Q14" s="53">
        <v>1</v>
      </c>
      <c r="R14" s="54">
        <v>1</v>
      </c>
      <c r="T14">
        <f>INDEX(OutputValues,10,$S$4)</f>
        <v>2085.5</v>
      </c>
    </row>
    <row r="15" spans="1:20" x14ac:dyDescent="0.25">
      <c r="A15" s="15">
        <v>11000</v>
      </c>
      <c r="B15" s="45">
        <v>2085.5</v>
      </c>
      <c r="C15" s="53">
        <v>0</v>
      </c>
      <c r="D15" s="53">
        <v>0</v>
      </c>
      <c r="E15" s="53">
        <v>0</v>
      </c>
      <c r="F15" s="53">
        <v>1</v>
      </c>
      <c r="G15" s="53">
        <v>0</v>
      </c>
      <c r="H15" s="53">
        <v>1</v>
      </c>
      <c r="I15" s="53">
        <v>0</v>
      </c>
      <c r="J15" s="53">
        <v>0</v>
      </c>
      <c r="K15" s="53">
        <v>0</v>
      </c>
      <c r="L15" s="53">
        <v>1</v>
      </c>
      <c r="M15" s="53">
        <v>0</v>
      </c>
      <c r="N15" s="53">
        <v>0</v>
      </c>
      <c r="O15" s="53">
        <v>0</v>
      </c>
      <c r="P15" s="53">
        <v>1</v>
      </c>
      <c r="Q15" s="53">
        <v>1</v>
      </c>
      <c r="R15" s="54">
        <v>1</v>
      </c>
      <c r="T15">
        <f>INDEX(OutputValues,11,$S$4)</f>
        <v>2085.5</v>
      </c>
    </row>
    <row r="16" spans="1:20" x14ac:dyDescent="0.25">
      <c r="A16" s="15">
        <v>12000</v>
      </c>
      <c r="B16" s="45">
        <v>2085.5</v>
      </c>
      <c r="C16" s="53">
        <v>0</v>
      </c>
      <c r="D16" s="53">
        <v>0</v>
      </c>
      <c r="E16" s="53">
        <v>0</v>
      </c>
      <c r="F16" s="53">
        <v>1</v>
      </c>
      <c r="G16" s="53">
        <v>0</v>
      </c>
      <c r="H16" s="53">
        <v>1</v>
      </c>
      <c r="I16" s="53">
        <v>0</v>
      </c>
      <c r="J16" s="53">
        <v>0</v>
      </c>
      <c r="K16" s="53">
        <v>0</v>
      </c>
      <c r="L16" s="53">
        <v>1</v>
      </c>
      <c r="M16" s="53">
        <v>0</v>
      </c>
      <c r="N16" s="53">
        <v>0</v>
      </c>
      <c r="O16" s="53">
        <v>0</v>
      </c>
      <c r="P16" s="53">
        <v>1</v>
      </c>
      <c r="Q16" s="53">
        <v>1</v>
      </c>
      <c r="R16" s="54">
        <v>1</v>
      </c>
      <c r="T16">
        <f>INDEX(OutputValues,12,$S$4)</f>
        <v>2085.5</v>
      </c>
    </row>
    <row r="17" spans="1:20" x14ac:dyDescent="0.25">
      <c r="A17" s="15">
        <v>13000</v>
      </c>
      <c r="B17" s="45">
        <v>2085.5</v>
      </c>
      <c r="C17" s="53">
        <v>0</v>
      </c>
      <c r="D17" s="53">
        <v>0</v>
      </c>
      <c r="E17" s="53">
        <v>0</v>
      </c>
      <c r="F17" s="53">
        <v>1</v>
      </c>
      <c r="G17" s="53">
        <v>0</v>
      </c>
      <c r="H17" s="53">
        <v>1</v>
      </c>
      <c r="I17" s="53">
        <v>0</v>
      </c>
      <c r="J17" s="53">
        <v>0</v>
      </c>
      <c r="K17" s="53">
        <v>0</v>
      </c>
      <c r="L17" s="53">
        <v>1</v>
      </c>
      <c r="M17" s="53">
        <v>0</v>
      </c>
      <c r="N17" s="53">
        <v>0</v>
      </c>
      <c r="O17" s="53">
        <v>0</v>
      </c>
      <c r="P17" s="53">
        <v>1</v>
      </c>
      <c r="Q17" s="53">
        <v>1</v>
      </c>
      <c r="R17" s="54">
        <v>1</v>
      </c>
      <c r="T17">
        <f>INDEX(OutputValues,13,$S$4)</f>
        <v>2085.5</v>
      </c>
    </row>
    <row r="18" spans="1:20" x14ac:dyDescent="0.25">
      <c r="A18" s="15">
        <v>14000</v>
      </c>
      <c r="B18" s="45">
        <v>2085.5</v>
      </c>
      <c r="C18" s="53">
        <v>0</v>
      </c>
      <c r="D18" s="53">
        <v>0</v>
      </c>
      <c r="E18" s="53">
        <v>0</v>
      </c>
      <c r="F18" s="53">
        <v>1</v>
      </c>
      <c r="G18" s="53">
        <v>0</v>
      </c>
      <c r="H18" s="53">
        <v>1</v>
      </c>
      <c r="I18" s="53">
        <v>0</v>
      </c>
      <c r="J18" s="53">
        <v>0</v>
      </c>
      <c r="K18" s="53">
        <v>0</v>
      </c>
      <c r="L18" s="53">
        <v>1</v>
      </c>
      <c r="M18" s="53">
        <v>0</v>
      </c>
      <c r="N18" s="53">
        <v>0</v>
      </c>
      <c r="O18" s="53">
        <v>0</v>
      </c>
      <c r="P18" s="53">
        <v>1</v>
      </c>
      <c r="Q18" s="53">
        <v>1</v>
      </c>
      <c r="R18" s="54">
        <v>1</v>
      </c>
      <c r="T18">
        <f>INDEX(OutputValues,14,$S$4)</f>
        <v>2085.5</v>
      </c>
    </row>
    <row r="19" spans="1:20" x14ac:dyDescent="0.25">
      <c r="A19" s="15">
        <v>15000</v>
      </c>
      <c r="B19" s="47">
        <v>2085.5</v>
      </c>
      <c r="C19" s="56">
        <v>0</v>
      </c>
      <c r="D19" s="56">
        <v>0</v>
      </c>
      <c r="E19" s="56">
        <v>0</v>
      </c>
      <c r="F19" s="56">
        <v>1</v>
      </c>
      <c r="G19" s="56">
        <v>0</v>
      </c>
      <c r="H19" s="56">
        <v>1</v>
      </c>
      <c r="I19" s="56">
        <v>0</v>
      </c>
      <c r="J19" s="56">
        <v>0</v>
      </c>
      <c r="K19" s="56">
        <v>0</v>
      </c>
      <c r="L19" s="56">
        <v>1</v>
      </c>
      <c r="M19" s="56">
        <v>0</v>
      </c>
      <c r="N19" s="56">
        <v>0</v>
      </c>
      <c r="O19" s="56">
        <v>0</v>
      </c>
      <c r="P19" s="56">
        <v>1</v>
      </c>
      <c r="Q19" s="56">
        <v>1</v>
      </c>
      <c r="R19" s="57">
        <v>1</v>
      </c>
      <c r="T19">
        <f>INDEX(OutputValues,15,$S$4)</f>
        <v>2085.5</v>
      </c>
    </row>
  </sheetData>
  <dataValidations count="1">
    <dataValidation type="list" allowBlank="1" showInputMessage="1" showErrorMessage="1" sqref="T4" xr:uid="{0EB1C981-1AED-4761-85B0-A8388C990F60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6D8D6-C82E-4CCB-8978-701746D5566D}">
  <dimension ref="A1:T19"/>
  <sheetViews>
    <sheetView workbookViewId="0">
      <selection activeCell="T4" sqref="T4"/>
    </sheetView>
  </sheetViews>
  <sheetFormatPr defaultRowHeight="15" x14ac:dyDescent="0.25"/>
  <cols>
    <col min="18" max="18" width="10.5703125" bestFit="1" customWidth="1"/>
  </cols>
  <sheetData>
    <row r="1" spans="1:20" x14ac:dyDescent="0.25">
      <c r="A1" s="1" t="s">
        <v>115</v>
      </c>
      <c r="T1" s="42" t="str">
        <f>CONCATENATE("Sensitivity of ",$T$4," to ","Total Money Available")</f>
        <v>Sensitivity of $B$41 to Total Money Available</v>
      </c>
    </row>
    <row r="3" spans="1:20" x14ac:dyDescent="0.25">
      <c r="A3" t="s">
        <v>113</v>
      </c>
      <c r="T3" t="s">
        <v>114</v>
      </c>
    </row>
    <row r="4" spans="1:20" ht="43.5" x14ac:dyDescent="0.25">
      <c r="B4" s="40" t="s">
        <v>117</v>
      </c>
      <c r="C4" s="40" t="s">
        <v>118</v>
      </c>
      <c r="D4" s="40" t="s">
        <v>119</v>
      </c>
      <c r="E4" s="40" t="s">
        <v>120</v>
      </c>
      <c r="F4" s="40" t="s">
        <v>121</v>
      </c>
      <c r="G4" s="40" t="s">
        <v>122</v>
      </c>
      <c r="H4" s="40" t="s">
        <v>123</v>
      </c>
      <c r="I4" s="40" t="s">
        <v>124</v>
      </c>
      <c r="J4" s="40" t="s">
        <v>125</v>
      </c>
      <c r="K4" s="40" t="s">
        <v>126</v>
      </c>
      <c r="L4" s="40" t="s">
        <v>127</v>
      </c>
      <c r="M4" s="40" t="s">
        <v>128</v>
      </c>
      <c r="N4" s="40" t="s">
        <v>129</v>
      </c>
      <c r="O4" s="40" t="s">
        <v>130</v>
      </c>
      <c r="P4" s="40" t="s">
        <v>131</v>
      </c>
      <c r="Q4" s="40" t="s">
        <v>132</v>
      </c>
      <c r="R4" s="40" t="s">
        <v>116</v>
      </c>
      <c r="S4" s="42">
        <f>MATCH($T$4,OutputAddresses,0)</f>
        <v>17</v>
      </c>
      <c r="T4" s="41" t="s">
        <v>116</v>
      </c>
    </row>
    <row r="5" spans="1:20" x14ac:dyDescent="0.25">
      <c r="A5" s="15">
        <v>1000</v>
      </c>
      <c r="B5" s="58">
        <v>0</v>
      </c>
      <c r="C5" s="50">
        <v>0</v>
      </c>
      <c r="D5" s="50">
        <v>0</v>
      </c>
      <c r="E5" s="50">
        <v>0.89312977099236635</v>
      </c>
      <c r="F5" s="50">
        <v>0</v>
      </c>
      <c r="G5" s="50">
        <v>0</v>
      </c>
      <c r="H5" s="50">
        <v>0</v>
      </c>
      <c r="I5" s="50">
        <v>0</v>
      </c>
      <c r="J5" s="50">
        <v>0</v>
      </c>
      <c r="K5" s="50">
        <v>1</v>
      </c>
      <c r="L5" s="50">
        <v>0</v>
      </c>
      <c r="M5" s="50">
        <v>0</v>
      </c>
      <c r="N5" s="50">
        <v>0</v>
      </c>
      <c r="O5" s="50">
        <v>0</v>
      </c>
      <c r="P5" s="50">
        <v>0</v>
      </c>
      <c r="Q5" s="50">
        <v>0</v>
      </c>
      <c r="R5" s="44">
        <v>1164.8399999999999</v>
      </c>
      <c r="T5">
        <f>INDEX(OutputValues,1,$S$4)</f>
        <v>1164.8399999999999</v>
      </c>
    </row>
    <row r="6" spans="1:20" x14ac:dyDescent="0.25">
      <c r="A6" s="15">
        <v>2000</v>
      </c>
      <c r="B6" s="60">
        <v>0</v>
      </c>
      <c r="C6" s="53">
        <v>0</v>
      </c>
      <c r="D6" s="53">
        <v>0</v>
      </c>
      <c r="E6" s="53">
        <v>1</v>
      </c>
      <c r="F6" s="53">
        <v>0</v>
      </c>
      <c r="G6" s="53">
        <v>1</v>
      </c>
      <c r="H6" s="53">
        <v>0</v>
      </c>
      <c r="I6" s="53">
        <v>0</v>
      </c>
      <c r="J6" s="53">
        <v>0</v>
      </c>
      <c r="K6" s="53">
        <v>1</v>
      </c>
      <c r="L6" s="53">
        <v>0</v>
      </c>
      <c r="M6" s="53">
        <v>0</v>
      </c>
      <c r="N6" s="53">
        <v>0</v>
      </c>
      <c r="O6" s="53">
        <v>1</v>
      </c>
      <c r="P6" s="53">
        <v>1</v>
      </c>
      <c r="Q6" s="53">
        <v>0.28749999999999998</v>
      </c>
      <c r="R6" s="46">
        <v>2257</v>
      </c>
      <c r="T6">
        <f>INDEX(OutputValues,2,$S$4)</f>
        <v>2257</v>
      </c>
    </row>
    <row r="7" spans="1:20" x14ac:dyDescent="0.25">
      <c r="A7" s="15">
        <v>3000</v>
      </c>
      <c r="B7" s="60">
        <v>0</v>
      </c>
      <c r="C7" s="53">
        <v>0</v>
      </c>
      <c r="D7" s="53">
        <v>0</v>
      </c>
      <c r="E7" s="53">
        <v>1</v>
      </c>
      <c r="F7" s="53">
        <v>0</v>
      </c>
      <c r="G7" s="53">
        <v>1</v>
      </c>
      <c r="H7" s="53">
        <v>0</v>
      </c>
      <c r="I7" s="53">
        <v>0</v>
      </c>
      <c r="J7" s="53">
        <v>0</v>
      </c>
      <c r="K7" s="53">
        <v>1</v>
      </c>
      <c r="L7" s="53">
        <v>0</v>
      </c>
      <c r="M7" s="53">
        <v>0</v>
      </c>
      <c r="N7" s="53">
        <v>0</v>
      </c>
      <c r="O7" s="53">
        <v>1</v>
      </c>
      <c r="P7" s="53">
        <v>1</v>
      </c>
      <c r="Q7" s="53">
        <v>1</v>
      </c>
      <c r="R7" s="46">
        <v>2342.5</v>
      </c>
      <c r="T7">
        <f>INDEX(OutputValues,3,$S$4)</f>
        <v>2342.5</v>
      </c>
    </row>
    <row r="8" spans="1:20" x14ac:dyDescent="0.25">
      <c r="A8" s="15">
        <v>4000</v>
      </c>
      <c r="B8" s="60">
        <v>0</v>
      </c>
      <c r="C8" s="53">
        <v>0</v>
      </c>
      <c r="D8" s="53">
        <v>0</v>
      </c>
      <c r="E8" s="53">
        <v>1</v>
      </c>
      <c r="F8" s="53">
        <v>0</v>
      </c>
      <c r="G8" s="53">
        <v>1</v>
      </c>
      <c r="H8" s="53">
        <v>0</v>
      </c>
      <c r="I8" s="53">
        <v>0</v>
      </c>
      <c r="J8" s="53">
        <v>0</v>
      </c>
      <c r="K8" s="53">
        <v>1</v>
      </c>
      <c r="L8" s="53">
        <v>0</v>
      </c>
      <c r="M8" s="53">
        <v>0</v>
      </c>
      <c r="N8" s="53">
        <v>0</v>
      </c>
      <c r="O8" s="53">
        <v>1</v>
      </c>
      <c r="P8" s="53">
        <v>1</v>
      </c>
      <c r="Q8" s="53">
        <v>1</v>
      </c>
      <c r="R8" s="46">
        <v>2342.5</v>
      </c>
      <c r="T8">
        <f>INDEX(OutputValues,4,$S$4)</f>
        <v>2342.5</v>
      </c>
    </row>
    <row r="9" spans="1:20" x14ac:dyDescent="0.25">
      <c r="A9" s="15">
        <v>5000</v>
      </c>
      <c r="B9" s="60">
        <v>0</v>
      </c>
      <c r="C9" s="53">
        <v>0</v>
      </c>
      <c r="D9" s="53">
        <v>0</v>
      </c>
      <c r="E9" s="53">
        <v>1</v>
      </c>
      <c r="F9" s="53">
        <v>0</v>
      </c>
      <c r="G9" s="53">
        <v>1</v>
      </c>
      <c r="H9" s="53">
        <v>0</v>
      </c>
      <c r="I9" s="53">
        <v>0</v>
      </c>
      <c r="J9" s="53">
        <v>0</v>
      </c>
      <c r="K9" s="53">
        <v>1</v>
      </c>
      <c r="L9" s="53">
        <v>0</v>
      </c>
      <c r="M9" s="53">
        <v>0</v>
      </c>
      <c r="N9" s="53">
        <v>0</v>
      </c>
      <c r="O9" s="53">
        <v>1</v>
      </c>
      <c r="P9" s="53">
        <v>1</v>
      </c>
      <c r="Q9" s="53">
        <v>1</v>
      </c>
      <c r="R9" s="46">
        <v>2342.5</v>
      </c>
      <c r="T9">
        <f>INDEX(OutputValues,5,$S$4)</f>
        <v>2342.5</v>
      </c>
    </row>
    <row r="10" spans="1:20" x14ac:dyDescent="0.25">
      <c r="A10" s="15">
        <v>6000</v>
      </c>
      <c r="B10" s="60">
        <v>0</v>
      </c>
      <c r="C10" s="53">
        <v>0</v>
      </c>
      <c r="D10" s="53">
        <v>0</v>
      </c>
      <c r="E10" s="53">
        <v>1</v>
      </c>
      <c r="F10" s="53">
        <v>0</v>
      </c>
      <c r="G10" s="53">
        <v>1</v>
      </c>
      <c r="H10" s="53">
        <v>0</v>
      </c>
      <c r="I10" s="53">
        <v>0</v>
      </c>
      <c r="J10" s="53">
        <v>0</v>
      </c>
      <c r="K10" s="53">
        <v>1</v>
      </c>
      <c r="L10" s="53">
        <v>0</v>
      </c>
      <c r="M10" s="53">
        <v>0</v>
      </c>
      <c r="N10" s="53">
        <v>0</v>
      </c>
      <c r="O10" s="53">
        <v>1</v>
      </c>
      <c r="P10" s="53">
        <v>1</v>
      </c>
      <c r="Q10" s="53">
        <v>1</v>
      </c>
      <c r="R10" s="46">
        <v>2342.5</v>
      </c>
      <c r="T10">
        <f>INDEX(OutputValues,6,$S$4)</f>
        <v>2342.5</v>
      </c>
    </row>
    <row r="11" spans="1:20" x14ac:dyDescent="0.25">
      <c r="A11" s="15">
        <v>7000</v>
      </c>
      <c r="B11" s="60">
        <v>0</v>
      </c>
      <c r="C11" s="53">
        <v>0</v>
      </c>
      <c r="D11" s="53">
        <v>0</v>
      </c>
      <c r="E11" s="53">
        <v>1</v>
      </c>
      <c r="F11" s="53">
        <v>0</v>
      </c>
      <c r="G11" s="53">
        <v>1</v>
      </c>
      <c r="H11" s="53">
        <v>0</v>
      </c>
      <c r="I11" s="53">
        <v>0</v>
      </c>
      <c r="J11" s="53">
        <v>0</v>
      </c>
      <c r="K11" s="53">
        <v>1</v>
      </c>
      <c r="L11" s="53">
        <v>0</v>
      </c>
      <c r="M11" s="53">
        <v>0</v>
      </c>
      <c r="N11" s="53">
        <v>0</v>
      </c>
      <c r="O11" s="53">
        <v>1</v>
      </c>
      <c r="P11" s="53">
        <v>1</v>
      </c>
      <c r="Q11" s="53">
        <v>1</v>
      </c>
      <c r="R11" s="46">
        <v>2342.5</v>
      </c>
      <c r="T11">
        <f>INDEX(OutputValues,7,$S$4)</f>
        <v>2342.5</v>
      </c>
    </row>
    <row r="12" spans="1:20" x14ac:dyDescent="0.25">
      <c r="A12" s="15">
        <v>8000</v>
      </c>
      <c r="B12" s="60">
        <v>0</v>
      </c>
      <c r="C12" s="53">
        <v>0</v>
      </c>
      <c r="D12" s="53">
        <v>0</v>
      </c>
      <c r="E12" s="53">
        <v>1</v>
      </c>
      <c r="F12" s="53">
        <v>0</v>
      </c>
      <c r="G12" s="53">
        <v>1</v>
      </c>
      <c r="H12" s="53">
        <v>0</v>
      </c>
      <c r="I12" s="53">
        <v>0</v>
      </c>
      <c r="J12" s="53">
        <v>0</v>
      </c>
      <c r="K12" s="53">
        <v>1</v>
      </c>
      <c r="L12" s="53">
        <v>0</v>
      </c>
      <c r="M12" s="53">
        <v>0</v>
      </c>
      <c r="N12" s="53">
        <v>0</v>
      </c>
      <c r="O12" s="53">
        <v>1</v>
      </c>
      <c r="P12" s="53">
        <v>1</v>
      </c>
      <c r="Q12" s="53">
        <v>1</v>
      </c>
      <c r="R12" s="46">
        <v>2342.5</v>
      </c>
      <c r="T12">
        <f>INDEX(OutputValues,8,$S$4)</f>
        <v>2342.5</v>
      </c>
    </row>
    <row r="13" spans="1:20" x14ac:dyDescent="0.25">
      <c r="A13" s="15">
        <v>9000</v>
      </c>
      <c r="B13" s="60">
        <v>0</v>
      </c>
      <c r="C13" s="53">
        <v>0</v>
      </c>
      <c r="D13" s="53">
        <v>0</v>
      </c>
      <c r="E13" s="53">
        <v>1</v>
      </c>
      <c r="F13" s="53">
        <v>0</v>
      </c>
      <c r="G13" s="53">
        <v>1</v>
      </c>
      <c r="H13" s="53">
        <v>0</v>
      </c>
      <c r="I13" s="53">
        <v>0</v>
      </c>
      <c r="J13" s="53">
        <v>0</v>
      </c>
      <c r="K13" s="53">
        <v>1</v>
      </c>
      <c r="L13" s="53">
        <v>0</v>
      </c>
      <c r="M13" s="53">
        <v>0</v>
      </c>
      <c r="N13" s="53">
        <v>0</v>
      </c>
      <c r="O13" s="53">
        <v>1</v>
      </c>
      <c r="P13" s="53">
        <v>1</v>
      </c>
      <c r="Q13" s="53">
        <v>1</v>
      </c>
      <c r="R13" s="46">
        <v>2342.5</v>
      </c>
      <c r="T13">
        <f>INDEX(OutputValues,9,$S$4)</f>
        <v>2342.5</v>
      </c>
    </row>
    <row r="14" spans="1:20" x14ac:dyDescent="0.25">
      <c r="A14" s="15">
        <v>10000</v>
      </c>
      <c r="B14" s="60">
        <v>0</v>
      </c>
      <c r="C14" s="53">
        <v>0</v>
      </c>
      <c r="D14" s="53">
        <v>0</v>
      </c>
      <c r="E14" s="53">
        <v>1</v>
      </c>
      <c r="F14" s="53">
        <v>0</v>
      </c>
      <c r="G14" s="53">
        <v>1</v>
      </c>
      <c r="H14" s="53">
        <v>0</v>
      </c>
      <c r="I14" s="53">
        <v>0</v>
      </c>
      <c r="J14" s="53">
        <v>0</v>
      </c>
      <c r="K14" s="53">
        <v>1</v>
      </c>
      <c r="L14" s="53">
        <v>0</v>
      </c>
      <c r="M14" s="53">
        <v>0</v>
      </c>
      <c r="N14" s="53">
        <v>0</v>
      </c>
      <c r="O14" s="53">
        <v>1</v>
      </c>
      <c r="P14" s="53">
        <v>1</v>
      </c>
      <c r="Q14" s="53">
        <v>1</v>
      </c>
      <c r="R14" s="46">
        <v>2342.5</v>
      </c>
      <c r="T14">
        <f>INDEX(OutputValues,10,$S$4)</f>
        <v>2342.5</v>
      </c>
    </row>
    <row r="15" spans="1:20" x14ac:dyDescent="0.25">
      <c r="A15" s="15">
        <v>11000</v>
      </c>
      <c r="B15" s="60">
        <v>0</v>
      </c>
      <c r="C15" s="53">
        <v>0</v>
      </c>
      <c r="D15" s="53">
        <v>0</v>
      </c>
      <c r="E15" s="53">
        <v>1</v>
      </c>
      <c r="F15" s="53">
        <v>0</v>
      </c>
      <c r="G15" s="53">
        <v>1</v>
      </c>
      <c r="H15" s="53">
        <v>0</v>
      </c>
      <c r="I15" s="53">
        <v>0</v>
      </c>
      <c r="J15" s="53">
        <v>0</v>
      </c>
      <c r="K15" s="53">
        <v>1</v>
      </c>
      <c r="L15" s="53">
        <v>0</v>
      </c>
      <c r="M15" s="53">
        <v>0</v>
      </c>
      <c r="N15" s="53">
        <v>0</v>
      </c>
      <c r="O15" s="53">
        <v>1</v>
      </c>
      <c r="P15" s="53">
        <v>1</v>
      </c>
      <c r="Q15" s="53">
        <v>1</v>
      </c>
      <c r="R15" s="46">
        <v>2342.5</v>
      </c>
      <c r="T15">
        <f>INDEX(OutputValues,11,$S$4)</f>
        <v>2342.5</v>
      </c>
    </row>
    <row r="16" spans="1:20" x14ac:dyDescent="0.25">
      <c r="A16" s="15">
        <v>12000</v>
      </c>
      <c r="B16" s="60">
        <v>0</v>
      </c>
      <c r="C16" s="53">
        <v>0</v>
      </c>
      <c r="D16" s="53">
        <v>0</v>
      </c>
      <c r="E16" s="53">
        <v>1</v>
      </c>
      <c r="F16" s="53">
        <v>0</v>
      </c>
      <c r="G16" s="53">
        <v>1</v>
      </c>
      <c r="H16" s="53">
        <v>0</v>
      </c>
      <c r="I16" s="53">
        <v>0</v>
      </c>
      <c r="J16" s="53">
        <v>0</v>
      </c>
      <c r="K16" s="53">
        <v>1</v>
      </c>
      <c r="L16" s="53">
        <v>0</v>
      </c>
      <c r="M16" s="53">
        <v>0</v>
      </c>
      <c r="N16" s="53">
        <v>0</v>
      </c>
      <c r="O16" s="53">
        <v>1</v>
      </c>
      <c r="P16" s="53">
        <v>1</v>
      </c>
      <c r="Q16" s="53">
        <v>1</v>
      </c>
      <c r="R16" s="46">
        <v>2342.5</v>
      </c>
      <c r="T16">
        <f>INDEX(OutputValues,12,$S$4)</f>
        <v>2342.5</v>
      </c>
    </row>
    <row r="17" spans="1:20" x14ac:dyDescent="0.25">
      <c r="A17" s="15">
        <v>13000</v>
      </c>
      <c r="B17" s="60">
        <v>0</v>
      </c>
      <c r="C17" s="53">
        <v>0</v>
      </c>
      <c r="D17" s="53">
        <v>0</v>
      </c>
      <c r="E17" s="53">
        <v>1</v>
      </c>
      <c r="F17" s="53">
        <v>0</v>
      </c>
      <c r="G17" s="53">
        <v>1</v>
      </c>
      <c r="H17" s="53">
        <v>0</v>
      </c>
      <c r="I17" s="53">
        <v>0</v>
      </c>
      <c r="J17" s="53">
        <v>0</v>
      </c>
      <c r="K17" s="53">
        <v>1</v>
      </c>
      <c r="L17" s="53">
        <v>0</v>
      </c>
      <c r="M17" s="53">
        <v>0</v>
      </c>
      <c r="N17" s="53">
        <v>0</v>
      </c>
      <c r="O17" s="53">
        <v>1</v>
      </c>
      <c r="P17" s="53">
        <v>1</v>
      </c>
      <c r="Q17" s="53">
        <v>1</v>
      </c>
      <c r="R17" s="46">
        <v>2342.5</v>
      </c>
      <c r="T17">
        <f>INDEX(OutputValues,13,$S$4)</f>
        <v>2342.5</v>
      </c>
    </row>
    <row r="18" spans="1:20" x14ac:dyDescent="0.25">
      <c r="A18" s="15">
        <v>14000</v>
      </c>
      <c r="B18" s="60">
        <v>0</v>
      </c>
      <c r="C18" s="53">
        <v>0</v>
      </c>
      <c r="D18" s="53">
        <v>0</v>
      </c>
      <c r="E18" s="53">
        <v>1</v>
      </c>
      <c r="F18" s="53">
        <v>0</v>
      </c>
      <c r="G18" s="53">
        <v>1</v>
      </c>
      <c r="H18" s="53">
        <v>0</v>
      </c>
      <c r="I18" s="53">
        <v>0</v>
      </c>
      <c r="J18" s="53">
        <v>0</v>
      </c>
      <c r="K18" s="53">
        <v>1</v>
      </c>
      <c r="L18" s="53">
        <v>0</v>
      </c>
      <c r="M18" s="53">
        <v>0</v>
      </c>
      <c r="N18" s="53">
        <v>0</v>
      </c>
      <c r="O18" s="53">
        <v>1</v>
      </c>
      <c r="P18" s="53">
        <v>1</v>
      </c>
      <c r="Q18" s="53">
        <v>1</v>
      </c>
      <c r="R18" s="46">
        <v>2342.5</v>
      </c>
      <c r="T18">
        <f>INDEX(OutputValues,14,$S$4)</f>
        <v>2342.5</v>
      </c>
    </row>
    <row r="19" spans="1:20" x14ac:dyDescent="0.25">
      <c r="A19" s="15">
        <v>15000</v>
      </c>
      <c r="B19" s="62">
        <v>0</v>
      </c>
      <c r="C19" s="56">
        <v>0</v>
      </c>
      <c r="D19" s="56">
        <v>0</v>
      </c>
      <c r="E19" s="56">
        <v>1</v>
      </c>
      <c r="F19" s="56">
        <v>0</v>
      </c>
      <c r="G19" s="56">
        <v>1</v>
      </c>
      <c r="H19" s="56">
        <v>0</v>
      </c>
      <c r="I19" s="56">
        <v>0</v>
      </c>
      <c r="J19" s="56">
        <v>0</v>
      </c>
      <c r="K19" s="56">
        <v>1</v>
      </c>
      <c r="L19" s="56">
        <v>0</v>
      </c>
      <c r="M19" s="56">
        <v>0</v>
      </c>
      <c r="N19" s="56">
        <v>0</v>
      </c>
      <c r="O19" s="56">
        <v>1</v>
      </c>
      <c r="P19" s="56">
        <v>1</v>
      </c>
      <c r="Q19" s="56">
        <v>1</v>
      </c>
      <c r="R19" s="48">
        <v>2342.5</v>
      </c>
      <c r="T19">
        <f>INDEX(OutputValues,15,$S$4)</f>
        <v>2342.5</v>
      </c>
    </row>
  </sheetData>
  <dataValidations count="1">
    <dataValidation type="list" allowBlank="1" showInputMessage="1" showErrorMessage="1" sqref="T4" xr:uid="{67AFC3C5-9E5B-4F74-8277-6BCE2F1952DC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EC061-E06C-44F9-8DB7-873616CAFA5B}">
  <dimension ref="A1:H35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25" bestFit="1" customWidth="1"/>
    <col min="4" max="4" width="9.85546875" bestFit="1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8" x14ac:dyDescent="0.25">
      <c r="A1" s="1" t="s">
        <v>90</v>
      </c>
    </row>
    <row r="2" spans="1:8" x14ac:dyDescent="0.25">
      <c r="A2" s="1" t="s">
        <v>49</v>
      </c>
    </row>
    <row r="3" spans="1:8" x14ac:dyDescent="0.25">
      <c r="A3" s="1" t="s">
        <v>87</v>
      </c>
    </row>
    <row r="6" spans="1:8" ht="15.75" thickBot="1" x14ac:dyDescent="0.3">
      <c r="A6" t="s">
        <v>52</v>
      </c>
    </row>
    <row r="7" spans="1:8" x14ac:dyDescent="0.25">
      <c r="B7" s="32"/>
      <c r="C7" s="32"/>
      <c r="D7" s="32" t="s">
        <v>91</v>
      </c>
      <c r="E7" s="32" t="s">
        <v>93</v>
      </c>
      <c r="F7" s="32" t="s">
        <v>95</v>
      </c>
      <c r="G7" s="32" t="s">
        <v>97</v>
      </c>
      <c r="H7" s="32" t="s">
        <v>97</v>
      </c>
    </row>
    <row r="8" spans="1:8" ht="15.75" thickBot="1" x14ac:dyDescent="0.3">
      <c r="B8" s="33" t="s">
        <v>50</v>
      </c>
      <c r="C8" s="33" t="s">
        <v>51</v>
      </c>
      <c r="D8" s="33" t="s">
        <v>92</v>
      </c>
      <c r="E8" s="33" t="s">
        <v>94</v>
      </c>
      <c r="F8" s="33" t="s">
        <v>96</v>
      </c>
      <c r="G8" s="33" t="s">
        <v>98</v>
      </c>
      <c r="H8" s="33" t="s">
        <v>99</v>
      </c>
    </row>
    <row r="9" spans="1:8" x14ac:dyDescent="0.25">
      <c r="B9" s="31" t="s">
        <v>56</v>
      </c>
      <c r="C9" s="31" t="s">
        <v>13</v>
      </c>
      <c r="D9" s="31">
        <v>0</v>
      </c>
      <c r="E9" s="31">
        <v>-127</v>
      </c>
      <c r="F9" s="31">
        <v>397</v>
      </c>
      <c r="G9" s="31">
        <v>127</v>
      </c>
      <c r="H9" s="31">
        <v>1E+30</v>
      </c>
    </row>
    <row r="10" spans="1:8" x14ac:dyDescent="0.25">
      <c r="B10" s="31" t="s">
        <v>57</v>
      </c>
      <c r="C10" s="31" t="s">
        <v>13</v>
      </c>
      <c r="D10" s="31">
        <v>0</v>
      </c>
      <c r="E10" s="31">
        <v>-38</v>
      </c>
      <c r="F10" s="31">
        <v>486</v>
      </c>
      <c r="G10" s="31">
        <v>38</v>
      </c>
      <c r="H10" s="31">
        <v>1E+30</v>
      </c>
    </row>
    <row r="11" spans="1:8" x14ac:dyDescent="0.25">
      <c r="B11" s="31" t="s">
        <v>58</v>
      </c>
      <c r="C11" s="31" t="s">
        <v>13</v>
      </c>
      <c r="D11" s="31">
        <v>0</v>
      </c>
      <c r="E11" s="31">
        <v>-96</v>
      </c>
      <c r="F11" s="31">
        <v>428</v>
      </c>
      <c r="G11" s="31">
        <v>96</v>
      </c>
      <c r="H11" s="31">
        <v>1E+30</v>
      </c>
    </row>
    <row r="12" spans="1:8" x14ac:dyDescent="0.25">
      <c r="B12" s="31" t="s">
        <v>59</v>
      </c>
      <c r="C12" s="31" t="s">
        <v>13</v>
      </c>
      <c r="D12" s="31">
        <v>1</v>
      </c>
      <c r="E12" s="31">
        <v>0</v>
      </c>
      <c r="F12" s="31">
        <v>524</v>
      </c>
      <c r="G12" s="31">
        <v>1E+30</v>
      </c>
      <c r="H12" s="31">
        <v>38</v>
      </c>
    </row>
    <row r="13" spans="1:8" x14ac:dyDescent="0.25">
      <c r="B13" s="31" t="s">
        <v>60</v>
      </c>
      <c r="C13" s="31" t="s">
        <v>13</v>
      </c>
      <c r="D13" s="31">
        <v>0</v>
      </c>
      <c r="E13" s="31">
        <v>-45</v>
      </c>
      <c r="F13" s="31">
        <v>479</v>
      </c>
      <c r="G13" s="31">
        <v>45</v>
      </c>
      <c r="H13" s="31">
        <v>1E+30</v>
      </c>
    </row>
    <row r="14" spans="1:8" x14ac:dyDescent="0.25">
      <c r="B14" s="31" t="s">
        <v>61</v>
      </c>
      <c r="C14" s="31" t="s">
        <v>13</v>
      </c>
      <c r="D14" s="31">
        <v>1</v>
      </c>
      <c r="E14" s="31">
        <v>0</v>
      </c>
      <c r="F14" s="31">
        <v>389</v>
      </c>
      <c r="G14" s="31">
        <v>1E+30</v>
      </c>
      <c r="H14" s="31">
        <v>60</v>
      </c>
    </row>
    <row r="15" spans="1:8" x14ac:dyDescent="0.25">
      <c r="B15" s="31" t="s">
        <v>62</v>
      </c>
      <c r="C15" s="31" t="s">
        <v>13</v>
      </c>
      <c r="D15" s="31">
        <v>0</v>
      </c>
      <c r="E15" s="31">
        <v>-60</v>
      </c>
      <c r="F15" s="31">
        <v>329</v>
      </c>
      <c r="G15" s="31">
        <v>60</v>
      </c>
      <c r="H15" s="31">
        <v>1E+30</v>
      </c>
    </row>
    <row r="16" spans="1:8" x14ac:dyDescent="0.25">
      <c r="B16" s="31" t="s">
        <v>63</v>
      </c>
      <c r="C16" s="31" t="s">
        <v>13</v>
      </c>
      <c r="D16" s="31">
        <v>0</v>
      </c>
      <c r="E16" s="31">
        <v>-87</v>
      </c>
      <c r="F16" s="31">
        <v>302</v>
      </c>
      <c r="G16" s="31">
        <v>87</v>
      </c>
      <c r="H16" s="31">
        <v>1E+30</v>
      </c>
    </row>
    <row r="17" spans="1:8" x14ac:dyDescent="0.25">
      <c r="B17" s="31" t="s">
        <v>64</v>
      </c>
      <c r="C17" s="31" t="s">
        <v>13</v>
      </c>
      <c r="D17" s="31">
        <v>0</v>
      </c>
      <c r="E17" s="31">
        <v>-70</v>
      </c>
      <c r="F17" s="31">
        <v>319</v>
      </c>
      <c r="G17" s="31">
        <v>70</v>
      </c>
      <c r="H17" s="31">
        <v>1E+30</v>
      </c>
    </row>
    <row r="18" spans="1:8" x14ac:dyDescent="0.25">
      <c r="B18" s="31" t="s">
        <v>65</v>
      </c>
      <c r="C18" s="31" t="s">
        <v>13</v>
      </c>
      <c r="D18" s="31">
        <v>1</v>
      </c>
      <c r="E18" s="31">
        <v>84</v>
      </c>
      <c r="F18" s="31">
        <v>532</v>
      </c>
      <c r="G18" s="31">
        <v>1E+30</v>
      </c>
      <c r="H18" s="31">
        <v>84</v>
      </c>
    </row>
    <row r="19" spans="1:8" x14ac:dyDescent="0.25">
      <c r="B19" s="31" t="s">
        <v>66</v>
      </c>
      <c r="C19" s="31" t="s">
        <v>13</v>
      </c>
      <c r="D19" s="31">
        <v>0</v>
      </c>
      <c r="E19" s="31">
        <v>0</v>
      </c>
      <c r="F19" s="31">
        <v>448</v>
      </c>
      <c r="G19" s="31">
        <v>84</v>
      </c>
      <c r="H19" s="31">
        <v>28</v>
      </c>
    </row>
    <row r="20" spans="1:8" x14ac:dyDescent="0.25">
      <c r="B20" s="31" t="s">
        <v>67</v>
      </c>
      <c r="C20" s="31" t="s">
        <v>13</v>
      </c>
      <c r="D20" s="31">
        <v>0</v>
      </c>
      <c r="E20" s="31">
        <v>-28</v>
      </c>
      <c r="F20" s="31">
        <v>420</v>
      </c>
      <c r="G20" s="31">
        <v>28</v>
      </c>
      <c r="H20" s="31">
        <v>1E+30</v>
      </c>
    </row>
    <row r="21" spans="1:8" x14ac:dyDescent="0.25">
      <c r="B21" s="31" t="s">
        <v>68</v>
      </c>
      <c r="C21" s="31" t="s">
        <v>13</v>
      </c>
      <c r="D21" s="31">
        <v>1</v>
      </c>
      <c r="E21" s="31">
        <v>240.5</v>
      </c>
      <c r="F21" s="31">
        <v>240.5</v>
      </c>
      <c r="G21" s="31">
        <v>1E+30</v>
      </c>
      <c r="H21" s="31">
        <v>240.5</v>
      </c>
    </row>
    <row r="22" spans="1:8" x14ac:dyDescent="0.25">
      <c r="B22" s="31" t="s">
        <v>69</v>
      </c>
      <c r="C22" s="31" t="s">
        <v>13</v>
      </c>
      <c r="D22" s="31">
        <v>1</v>
      </c>
      <c r="E22" s="31">
        <v>310.5</v>
      </c>
      <c r="F22" s="31">
        <v>310.5</v>
      </c>
      <c r="G22" s="31">
        <v>1E+30</v>
      </c>
      <c r="H22" s="31">
        <v>310.5</v>
      </c>
    </row>
    <row r="23" spans="1:8" x14ac:dyDescent="0.25">
      <c r="B23" s="31" t="s">
        <v>70</v>
      </c>
      <c r="C23" s="31" t="s">
        <v>13</v>
      </c>
      <c r="D23" s="31">
        <v>1</v>
      </c>
      <c r="E23" s="31">
        <v>0</v>
      </c>
      <c r="F23" s="31">
        <v>210</v>
      </c>
      <c r="G23" s="31">
        <v>1E+30</v>
      </c>
      <c r="H23" s="31">
        <v>210</v>
      </c>
    </row>
    <row r="24" spans="1:8" ht="15.75" thickBot="1" x14ac:dyDescent="0.3">
      <c r="B24" s="30" t="s">
        <v>71</v>
      </c>
      <c r="C24" s="30" t="s">
        <v>13</v>
      </c>
      <c r="D24" s="30">
        <v>1</v>
      </c>
      <c r="E24" s="30">
        <v>0</v>
      </c>
      <c r="F24" s="30">
        <v>120</v>
      </c>
      <c r="G24" s="30">
        <v>1E+30</v>
      </c>
      <c r="H24" s="30">
        <v>120</v>
      </c>
    </row>
    <row r="26" spans="1:8" ht="15.75" thickBot="1" x14ac:dyDescent="0.3">
      <c r="A26" t="s">
        <v>53</v>
      </c>
    </row>
    <row r="27" spans="1:8" x14ac:dyDescent="0.25">
      <c r="B27" s="32"/>
      <c r="C27" s="32"/>
      <c r="D27" s="32" t="s">
        <v>91</v>
      </c>
      <c r="E27" s="32" t="s">
        <v>100</v>
      </c>
      <c r="F27" s="32" t="s">
        <v>102</v>
      </c>
      <c r="G27" s="32" t="s">
        <v>97</v>
      </c>
      <c r="H27" s="32" t="s">
        <v>97</v>
      </c>
    </row>
    <row r="28" spans="1:8" ht="15.75" thickBot="1" x14ac:dyDescent="0.3">
      <c r="B28" s="33" t="s">
        <v>50</v>
      </c>
      <c r="C28" s="33" t="s">
        <v>51</v>
      </c>
      <c r="D28" s="33" t="s">
        <v>92</v>
      </c>
      <c r="E28" s="33" t="s">
        <v>101</v>
      </c>
      <c r="F28" s="33" t="s">
        <v>103</v>
      </c>
      <c r="G28" s="33" t="s">
        <v>98</v>
      </c>
      <c r="H28" s="33" t="s">
        <v>99</v>
      </c>
    </row>
    <row r="29" spans="1:8" x14ac:dyDescent="0.25">
      <c r="B29" s="31" t="s">
        <v>72</v>
      </c>
      <c r="C29" s="31" t="s">
        <v>73</v>
      </c>
      <c r="D29" s="31">
        <v>1</v>
      </c>
      <c r="E29" s="31">
        <v>524</v>
      </c>
      <c r="F29" s="31">
        <v>1</v>
      </c>
      <c r="G29" s="31">
        <v>0</v>
      </c>
      <c r="H29" s="31">
        <v>1</v>
      </c>
    </row>
    <row r="30" spans="1:8" x14ac:dyDescent="0.25">
      <c r="B30" s="31" t="s">
        <v>74</v>
      </c>
      <c r="C30" s="31" t="s">
        <v>75</v>
      </c>
      <c r="D30" s="31">
        <v>1</v>
      </c>
      <c r="E30" s="31">
        <v>389</v>
      </c>
      <c r="F30" s="31">
        <v>1</v>
      </c>
      <c r="G30" s="31">
        <v>0</v>
      </c>
      <c r="H30" s="31">
        <v>1</v>
      </c>
    </row>
    <row r="31" spans="1:8" x14ac:dyDescent="0.25">
      <c r="B31" s="31" t="s">
        <v>76</v>
      </c>
      <c r="C31" s="31" t="s">
        <v>77</v>
      </c>
      <c r="D31" s="31">
        <v>0</v>
      </c>
      <c r="E31" s="31">
        <v>0</v>
      </c>
      <c r="F31" s="31">
        <v>1</v>
      </c>
      <c r="G31" s="31">
        <v>1E+30</v>
      </c>
      <c r="H31" s="31">
        <v>1</v>
      </c>
    </row>
    <row r="32" spans="1:8" x14ac:dyDescent="0.25">
      <c r="B32" s="31" t="s">
        <v>78</v>
      </c>
      <c r="C32" s="31" t="s">
        <v>88</v>
      </c>
      <c r="D32" s="31">
        <v>1</v>
      </c>
      <c r="E32" s="31">
        <v>448</v>
      </c>
      <c r="F32" s="31">
        <v>1</v>
      </c>
      <c r="G32" s="31">
        <v>1</v>
      </c>
      <c r="H32" s="31">
        <v>0</v>
      </c>
    </row>
    <row r="33" spans="2:8" x14ac:dyDescent="0.25">
      <c r="B33" s="31" t="s">
        <v>79</v>
      </c>
      <c r="C33" s="31" t="s">
        <v>89</v>
      </c>
      <c r="D33" s="31">
        <v>1</v>
      </c>
      <c r="E33" s="31">
        <v>210</v>
      </c>
      <c r="F33" s="31">
        <v>1</v>
      </c>
      <c r="G33" s="31">
        <v>0</v>
      </c>
      <c r="H33" s="31">
        <v>1</v>
      </c>
    </row>
    <row r="34" spans="2:8" x14ac:dyDescent="0.25">
      <c r="B34" s="31" t="s">
        <v>80</v>
      </c>
      <c r="C34" s="31" t="s">
        <v>44</v>
      </c>
      <c r="D34" s="31">
        <v>1</v>
      </c>
      <c r="E34" s="31">
        <v>120</v>
      </c>
      <c r="F34" s="31">
        <v>1</v>
      </c>
      <c r="G34" s="31">
        <v>0</v>
      </c>
      <c r="H34" s="31">
        <v>1</v>
      </c>
    </row>
    <row r="35" spans="2:8" ht="15.75" thickBot="1" x14ac:dyDescent="0.3">
      <c r="B35" s="30" t="s">
        <v>54</v>
      </c>
      <c r="C35" s="30" t="s">
        <v>55</v>
      </c>
      <c r="D35" s="34">
        <v>2326</v>
      </c>
      <c r="E35" s="30">
        <v>0</v>
      </c>
      <c r="F35" s="30">
        <v>3000</v>
      </c>
      <c r="G35" s="30">
        <v>1E+30</v>
      </c>
      <c r="H35" s="30">
        <v>674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E7E4-D3C8-4E04-A2F5-877D6C58283A}">
  <dimension ref="A1:K40"/>
  <sheetViews>
    <sheetView topLeftCell="A13" workbookViewId="0"/>
  </sheetViews>
  <sheetFormatPr defaultRowHeight="15" x14ac:dyDescent="0.25"/>
  <cols>
    <col min="1" max="1" width="21" customWidth="1"/>
    <col min="2" max="2" width="14.28515625" bestFit="1" customWidth="1"/>
    <col min="4" max="4" width="20.42578125" bestFit="1" customWidth="1"/>
    <col min="5" max="5" width="20.7109375" bestFit="1" customWidth="1"/>
    <col min="6" max="6" width="11.5703125" bestFit="1" customWidth="1"/>
    <col min="7" max="7" width="18.42578125" customWidth="1"/>
    <col min="9" max="9" width="17.5703125" customWidth="1"/>
  </cols>
  <sheetData>
    <row r="1" spans="1:10" ht="21" x14ac:dyDescent="0.35">
      <c r="A1" s="2" t="s">
        <v>0</v>
      </c>
    </row>
    <row r="3" spans="1:10" x14ac:dyDescent="0.25">
      <c r="A3" t="s">
        <v>2</v>
      </c>
      <c r="B3" s="4">
        <v>3000</v>
      </c>
    </row>
    <row r="4" spans="1:10" x14ac:dyDescent="0.25">
      <c r="A4" t="s">
        <v>3</v>
      </c>
      <c r="B4" s="3"/>
    </row>
    <row r="6" spans="1:10" x14ac:dyDescent="0.25">
      <c r="A6" s="1" t="s">
        <v>1</v>
      </c>
      <c r="B6" t="s">
        <v>41</v>
      </c>
      <c r="G6" s="1" t="s">
        <v>42</v>
      </c>
      <c r="J6" s="1"/>
    </row>
    <row r="7" spans="1:10" x14ac:dyDescent="0.25">
      <c r="A7" t="s">
        <v>81</v>
      </c>
      <c r="B7" s="4">
        <v>299</v>
      </c>
      <c r="C7" s="21"/>
      <c r="D7" s="19"/>
      <c r="E7" s="20"/>
      <c r="G7" s="1" t="s">
        <v>43</v>
      </c>
      <c r="H7" s="7" t="s">
        <v>44</v>
      </c>
      <c r="I7" s="1"/>
      <c r="J7" t="s">
        <v>45</v>
      </c>
    </row>
    <row r="8" spans="1:10" x14ac:dyDescent="0.25">
      <c r="A8" t="s">
        <v>82</v>
      </c>
      <c r="B8" s="4">
        <v>279</v>
      </c>
      <c r="C8" s="21"/>
      <c r="D8" s="19"/>
      <c r="E8" s="20"/>
      <c r="G8" s="13">
        <v>1</v>
      </c>
      <c r="H8" s="28">
        <f>SUM(F18:F22)</f>
        <v>1</v>
      </c>
      <c r="I8" s="23" t="s">
        <v>47</v>
      </c>
      <c r="J8" s="25">
        <v>1</v>
      </c>
    </row>
    <row r="9" spans="1:10" x14ac:dyDescent="0.25">
      <c r="A9" t="s">
        <v>83</v>
      </c>
      <c r="B9" s="4">
        <v>345</v>
      </c>
      <c r="C9" s="21"/>
      <c r="D9" s="19"/>
      <c r="E9" s="20"/>
      <c r="G9" s="12">
        <v>2</v>
      </c>
      <c r="H9" s="28">
        <f>SUM(F23:F26)</f>
        <v>1</v>
      </c>
      <c r="I9" s="23" t="s">
        <v>47</v>
      </c>
      <c r="J9" s="25">
        <v>1</v>
      </c>
    </row>
    <row r="10" spans="1:10" x14ac:dyDescent="0.25">
      <c r="A10" t="s">
        <v>84</v>
      </c>
      <c r="B10" s="5">
        <v>220.5</v>
      </c>
      <c r="C10" s="21"/>
      <c r="D10" s="19"/>
      <c r="E10" s="20"/>
      <c r="G10" s="12">
        <v>3</v>
      </c>
      <c r="H10" s="28">
        <f>SUM(F27:F29)</f>
        <v>1</v>
      </c>
      <c r="I10" s="23" t="s">
        <v>47</v>
      </c>
      <c r="J10" s="25">
        <v>1</v>
      </c>
    </row>
    <row r="11" spans="1:10" x14ac:dyDescent="0.25">
      <c r="A11" t="s">
        <v>85</v>
      </c>
      <c r="B11" s="4">
        <v>185</v>
      </c>
      <c r="C11" s="21"/>
      <c r="D11" s="19"/>
      <c r="E11" s="20"/>
      <c r="G11" s="13">
        <v>4</v>
      </c>
      <c r="H11" s="28">
        <f>SUM(F30:F31)</f>
        <v>1</v>
      </c>
      <c r="I11" s="23" t="s">
        <v>47</v>
      </c>
      <c r="J11" s="25">
        <v>1</v>
      </c>
    </row>
    <row r="12" spans="1:10" x14ac:dyDescent="0.25">
      <c r="A12" t="s">
        <v>86</v>
      </c>
      <c r="B12" s="4">
        <v>120</v>
      </c>
      <c r="C12" s="21"/>
      <c r="D12" s="19"/>
      <c r="E12" s="20"/>
      <c r="G12" s="13">
        <v>5</v>
      </c>
      <c r="H12" s="28">
        <f>SUM(F32)</f>
        <v>1</v>
      </c>
      <c r="I12" s="23" t="s">
        <v>47</v>
      </c>
      <c r="J12" s="26">
        <v>1</v>
      </c>
    </row>
    <row r="13" spans="1:10" x14ac:dyDescent="0.25">
      <c r="B13" s="18"/>
      <c r="C13" s="21"/>
      <c r="D13" s="19"/>
      <c r="E13" s="20"/>
      <c r="G13" s="13">
        <v>6</v>
      </c>
      <c r="H13" s="28">
        <v>0</v>
      </c>
      <c r="I13" s="23" t="s">
        <v>47</v>
      </c>
      <c r="J13" s="26">
        <v>1</v>
      </c>
    </row>
    <row r="14" spans="1:10" x14ac:dyDescent="0.25">
      <c r="A14" s="1"/>
      <c r="B14" s="18"/>
      <c r="C14" s="21"/>
      <c r="D14" s="19"/>
      <c r="E14" s="20"/>
      <c r="G14" s="1"/>
      <c r="H14" s="6"/>
      <c r="I14" s="1"/>
      <c r="J14" s="9"/>
    </row>
    <row r="16" spans="1:10" x14ac:dyDescent="0.25">
      <c r="A16" s="1" t="s">
        <v>10</v>
      </c>
      <c r="J16" s="1"/>
    </row>
    <row r="17" spans="1:11" x14ac:dyDescent="0.25">
      <c r="A17" s="1" t="s">
        <v>11</v>
      </c>
      <c r="B17" s="1" t="s">
        <v>12</v>
      </c>
      <c r="C17" s="1" t="s">
        <v>35</v>
      </c>
      <c r="D17" s="1" t="s">
        <v>36</v>
      </c>
      <c r="E17" s="1" t="s">
        <v>46</v>
      </c>
      <c r="F17" s="1" t="s">
        <v>13</v>
      </c>
      <c r="G17" s="1"/>
      <c r="H17" s="1" t="s">
        <v>39</v>
      </c>
      <c r="J17" s="6"/>
      <c r="K17" s="17"/>
    </row>
    <row r="18" spans="1:11" x14ac:dyDescent="0.25">
      <c r="A18">
        <v>1</v>
      </c>
      <c r="B18">
        <v>2</v>
      </c>
      <c r="C18" s="16">
        <v>98</v>
      </c>
      <c r="D18" s="16">
        <v>145</v>
      </c>
      <c r="E18" s="27">
        <v>299</v>
      </c>
      <c r="F18" s="8">
        <v>0</v>
      </c>
      <c r="G18" s="19" t="s">
        <v>17</v>
      </c>
      <c r="H18" s="7">
        <v>1</v>
      </c>
      <c r="K18" s="17"/>
    </row>
    <row r="19" spans="1:11" x14ac:dyDescent="0.25">
      <c r="A19">
        <v>1</v>
      </c>
      <c r="B19">
        <v>3</v>
      </c>
      <c r="C19" s="16">
        <v>187</v>
      </c>
      <c r="D19" s="16">
        <v>223</v>
      </c>
      <c r="E19" s="27">
        <v>299</v>
      </c>
      <c r="F19" s="8">
        <v>0</v>
      </c>
      <c r="G19" s="19" t="s">
        <v>17</v>
      </c>
      <c r="H19" s="7">
        <v>1</v>
      </c>
      <c r="K19" s="17"/>
    </row>
    <row r="20" spans="1:11" x14ac:dyDescent="0.25">
      <c r="A20">
        <v>1</v>
      </c>
      <c r="B20">
        <v>4</v>
      </c>
      <c r="C20" s="16">
        <v>129</v>
      </c>
      <c r="D20" s="16">
        <v>155</v>
      </c>
      <c r="E20" s="27">
        <v>299</v>
      </c>
      <c r="F20" s="8">
        <v>0</v>
      </c>
      <c r="G20" s="19" t="s">
        <v>17</v>
      </c>
      <c r="H20" s="7">
        <v>1</v>
      </c>
    </row>
    <row r="21" spans="1:11" x14ac:dyDescent="0.25">
      <c r="A21">
        <v>1</v>
      </c>
      <c r="B21">
        <v>5</v>
      </c>
      <c r="C21" s="16">
        <v>225</v>
      </c>
      <c r="D21" s="16">
        <v>292</v>
      </c>
      <c r="E21" s="27">
        <v>299</v>
      </c>
      <c r="F21" s="8">
        <v>1</v>
      </c>
      <c r="G21" s="19" t="s">
        <v>17</v>
      </c>
      <c r="H21" s="7">
        <v>1</v>
      </c>
    </row>
    <row r="22" spans="1:11" x14ac:dyDescent="0.25">
      <c r="A22">
        <v>1</v>
      </c>
      <c r="B22">
        <v>6</v>
      </c>
      <c r="C22" s="16">
        <v>180</v>
      </c>
      <c r="D22" s="16">
        <v>240</v>
      </c>
      <c r="E22" s="27">
        <v>299</v>
      </c>
      <c r="F22" s="8">
        <v>0</v>
      </c>
      <c r="G22" s="19" t="s">
        <v>17</v>
      </c>
      <c r="H22" s="7">
        <v>1</v>
      </c>
    </row>
    <row r="23" spans="1:11" x14ac:dyDescent="0.25">
      <c r="A23">
        <v>2</v>
      </c>
      <c r="B23">
        <v>3</v>
      </c>
      <c r="C23" s="16">
        <v>110</v>
      </c>
      <c r="D23" s="16">
        <v>140</v>
      </c>
      <c r="E23" s="27">
        <v>279</v>
      </c>
      <c r="F23" s="8">
        <v>1</v>
      </c>
      <c r="G23" s="19" t="s">
        <v>17</v>
      </c>
      <c r="H23" s="7">
        <v>1</v>
      </c>
    </row>
    <row r="24" spans="1:11" x14ac:dyDescent="0.25">
      <c r="A24">
        <v>2</v>
      </c>
      <c r="B24">
        <v>4</v>
      </c>
      <c r="C24" s="16">
        <v>50</v>
      </c>
      <c r="D24" s="16">
        <v>90</v>
      </c>
      <c r="E24" s="27">
        <v>279</v>
      </c>
      <c r="F24" s="8">
        <v>0</v>
      </c>
      <c r="G24" s="19" t="s">
        <v>17</v>
      </c>
      <c r="H24" s="7">
        <v>1</v>
      </c>
    </row>
    <row r="25" spans="1:11" x14ac:dyDescent="0.25">
      <c r="A25">
        <v>2</v>
      </c>
      <c r="B25">
        <v>5</v>
      </c>
      <c r="C25" s="16">
        <v>23</v>
      </c>
      <c r="D25" s="16">
        <v>45</v>
      </c>
      <c r="E25" s="27">
        <v>279</v>
      </c>
      <c r="F25" s="8">
        <v>0</v>
      </c>
      <c r="G25" s="19" t="s">
        <v>17</v>
      </c>
      <c r="H25" s="7">
        <v>1</v>
      </c>
    </row>
    <row r="26" spans="1:11" x14ac:dyDescent="0.25">
      <c r="A26">
        <v>2</v>
      </c>
      <c r="B26">
        <v>6</v>
      </c>
      <c r="C26" s="16">
        <v>40</v>
      </c>
      <c r="D26" s="16">
        <v>52</v>
      </c>
      <c r="E26" s="27">
        <v>279</v>
      </c>
      <c r="F26" s="8">
        <v>0</v>
      </c>
      <c r="G26" s="19" t="s">
        <v>17</v>
      </c>
      <c r="H26" s="7">
        <v>1</v>
      </c>
    </row>
    <row r="27" spans="1:11" x14ac:dyDescent="0.25">
      <c r="A27">
        <v>3</v>
      </c>
      <c r="B27">
        <v>4</v>
      </c>
      <c r="C27" s="16">
        <v>187</v>
      </c>
      <c r="D27" s="16">
        <v>292</v>
      </c>
      <c r="E27" s="16">
        <v>345</v>
      </c>
      <c r="F27" s="8">
        <v>1</v>
      </c>
      <c r="G27" s="19" t="s">
        <v>17</v>
      </c>
      <c r="H27" s="7">
        <v>1</v>
      </c>
    </row>
    <row r="28" spans="1:11" x14ac:dyDescent="0.25">
      <c r="A28">
        <v>3</v>
      </c>
      <c r="B28">
        <v>5</v>
      </c>
      <c r="C28" s="16">
        <v>103</v>
      </c>
      <c r="D28" s="16">
        <v>173</v>
      </c>
      <c r="E28" s="16">
        <v>345</v>
      </c>
      <c r="F28" s="8">
        <v>0</v>
      </c>
      <c r="G28" s="19" t="s">
        <v>17</v>
      </c>
      <c r="H28" s="7">
        <v>1</v>
      </c>
    </row>
    <row r="29" spans="1:11" x14ac:dyDescent="0.25">
      <c r="A29">
        <v>3</v>
      </c>
      <c r="B29">
        <v>6</v>
      </c>
      <c r="C29" s="16">
        <v>75</v>
      </c>
      <c r="D29" s="16">
        <v>121</v>
      </c>
      <c r="E29" s="16">
        <v>345</v>
      </c>
      <c r="F29" s="8">
        <v>0</v>
      </c>
      <c r="G29" s="19" t="s">
        <v>17</v>
      </c>
      <c r="H29" s="7">
        <v>1</v>
      </c>
    </row>
    <row r="30" spans="1:11" x14ac:dyDescent="0.25">
      <c r="A30">
        <v>4</v>
      </c>
      <c r="B30">
        <v>5</v>
      </c>
      <c r="C30" s="16">
        <v>20</v>
      </c>
      <c r="D30" s="16">
        <v>45</v>
      </c>
      <c r="E30" s="16">
        <v>220.5</v>
      </c>
      <c r="F30" s="8">
        <v>0</v>
      </c>
      <c r="G30" s="19" t="s">
        <v>17</v>
      </c>
      <c r="H30" s="7">
        <v>1</v>
      </c>
    </row>
    <row r="31" spans="1:11" x14ac:dyDescent="0.25">
      <c r="A31">
        <v>4</v>
      </c>
      <c r="B31">
        <v>6</v>
      </c>
      <c r="C31" s="16">
        <v>90</v>
      </c>
      <c r="D31" s="16">
        <v>125</v>
      </c>
      <c r="E31" s="16">
        <v>220.5</v>
      </c>
      <c r="F31" s="8">
        <v>1</v>
      </c>
      <c r="G31" s="19" t="s">
        <v>17</v>
      </c>
      <c r="H31" s="7">
        <v>1</v>
      </c>
    </row>
    <row r="32" spans="1:11" x14ac:dyDescent="0.25">
      <c r="A32">
        <v>5</v>
      </c>
      <c r="B32">
        <v>6</v>
      </c>
      <c r="C32" s="16">
        <v>25</v>
      </c>
      <c r="D32" s="16">
        <v>45</v>
      </c>
      <c r="E32" s="16">
        <v>185</v>
      </c>
      <c r="F32" s="8">
        <v>1</v>
      </c>
      <c r="G32" s="19" t="s">
        <v>17</v>
      </c>
      <c r="H32" s="7">
        <v>1</v>
      </c>
    </row>
    <row r="33" spans="1:8" x14ac:dyDescent="0.25">
      <c r="C33" s="16"/>
      <c r="D33" s="16"/>
      <c r="E33" s="16"/>
      <c r="F33" s="8"/>
      <c r="G33" s="19"/>
      <c r="H33" s="24"/>
    </row>
    <row r="35" spans="1:8" x14ac:dyDescent="0.25">
      <c r="A35" s="1" t="s">
        <v>37</v>
      </c>
      <c r="B35" s="16">
        <f>SUMPRODUCT(Min_Cost_per_Bus_Pass,Flow)</f>
        <v>637</v>
      </c>
    </row>
    <row r="36" spans="1:8" x14ac:dyDescent="0.25">
      <c r="A36" s="1" t="s">
        <v>38</v>
      </c>
      <c r="B36" s="16">
        <f>SUMPRODUCT(Max_Cost_per_Bus_Pass,Flow)</f>
        <v>894</v>
      </c>
    </row>
    <row r="37" spans="1:8" x14ac:dyDescent="0.25">
      <c r="A37" s="1"/>
      <c r="B37" s="7"/>
    </row>
    <row r="38" spans="1:8" x14ac:dyDescent="0.25">
      <c r="A38" s="1" t="s">
        <v>40</v>
      </c>
      <c r="B38" s="11">
        <f>SUMPRODUCT(Ticket_Cost,Flow)</f>
        <v>1328.5</v>
      </c>
    </row>
    <row r="39" spans="1:8" x14ac:dyDescent="0.25">
      <c r="D39" s="1" t="s">
        <v>18</v>
      </c>
      <c r="G39" s="1"/>
      <c r="H39" s="1"/>
    </row>
    <row r="40" spans="1:8" x14ac:dyDescent="0.25">
      <c r="A40" s="1" t="s">
        <v>16</v>
      </c>
      <c r="B40" s="22">
        <f>SUM(Min_Total_Bus_Cost,B38)</f>
        <v>1965.5</v>
      </c>
      <c r="C40" t="s">
        <v>17</v>
      </c>
      <c r="D40" s="10">
        <f>Total_Money_Available</f>
        <v>3000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BA879-5143-4586-9A4A-52524D877DDC}">
  <dimension ref="A1:B15"/>
  <sheetViews>
    <sheetView workbookViewId="0"/>
  </sheetViews>
  <sheetFormatPr defaultRowHeight="15" x14ac:dyDescent="0.25"/>
  <sheetData>
    <row r="1" spans="1:2" x14ac:dyDescent="0.25">
      <c r="A1">
        <v>1</v>
      </c>
    </row>
    <row r="2" spans="1:2" x14ac:dyDescent="0.25">
      <c r="A2" t="s">
        <v>111</v>
      </c>
    </row>
    <row r="3" spans="1:2" x14ac:dyDescent="0.25">
      <c r="A3">
        <v>1</v>
      </c>
    </row>
    <row r="4" spans="1:2" x14ac:dyDescent="0.25">
      <c r="A4">
        <v>1000</v>
      </c>
    </row>
    <row r="5" spans="1:2" x14ac:dyDescent="0.25">
      <c r="A5">
        <v>15000</v>
      </c>
    </row>
    <row r="6" spans="1:2" x14ac:dyDescent="0.25">
      <c r="A6">
        <v>1000</v>
      </c>
    </row>
    <row r="8" spans="1:2" x14ac:dyDescent="0.25">
      <c r="A8" s="39"/>
      <c r="B8" s="39"/>
    </row>
    <row r="9" spans="1:2" x14ac:dyDescent="0.25">
      <c r="A9" t="s">
        <v>137</v>
      </c>
    </row>
    <row r="10" spans="1:2" x14ac:dyDescent="0.25">
      <c r="A10" t="s">
        <v>2</v>
      </c>
    </row>
    <row r="15" spans="1:2" x14ac:dyDescent="0.25">
      <c r="B15" s="3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2889A-2EF7-4A3F-A3C5-FA0EC729584D}">
  <dimension ref="A1:B15"/>
  <sheetViews>
    <sheetView workbookViewId="0"/>
  </sheetViews>
  <sheetFormatPr defaultRowHeight="15" x14ac:dyDescent="0.25"/>
  <sheetData>
    <row r="1" spans="1:2" x14ac:dyDescent="0.25">
      <c r="A1">
        <v>1</v>
      </c>
    </row>
    <row r="2" spans="1:2" x14ac:dyDescent="0.25">
      <c r="A2" t="s">
        <v>111</v>
      </c>
    </row>
    <row r="3" spans="1:2" x14ac:dyDescent="0.25">
      <c r="A3">
        <v>1</v>
      </c>
    </row>
    <row r="4" spans="1:2" x14ac:dyDescent="0.25">
      <c r="A4">
        <v>1000</v>
      </c>
    </row>
    <row r="5" spans="1:2" x14ac:dyDescent="0.25">
      <c r="A5">
        <v>15000</v>
      </c>
    </row>
    <row r="6" spans="1:2" x14ac:dyDescent="0.25">
      <c r="A6">
        <v>1000</v>
      </c>
    </row>
    <row r="8" spans="1:2" x14ac:dyDescent="0.25">
      <c r="A8" s="39"/>
      <c r="B8" s="39"/>
    </row>
    <row r="9" spans="1:2" x14ac:dyDescent="0.25">
      <c r="A9" t="s">
        <v>138</v>
      </c>
    </row>
    <row r="10" spans="1:2" x14ac:dyDescent="0.25">
      <c r="A10" t="s">
        <v>2</v>
      </c>
    </row>
    <row r="15" spans="1:2" x14ac:dyDescent="0.25">
      <c r="B15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104</vt:i4>
      </vt:variant>
    </vt:vector>
  </HeadingPairs>
  <TitlesOfParts>
    <vt:vector size="112" baseType="lpstr">
      <vt:lpstr>Via Driving</vt:lpstr>
      <vt:lpstr>Driving SolverTable</vt:lpstr>
      <vt:lpstr>Via Bus</vt:lpstr>
      <vt:lpstr>Min Bus Cost SolverTable</vt:lpstr>
      <vt:lpstr>Max Bus Cost SolverTable</vt:lpstr>
      <vt:lpstr>Bus Sensitivity Report 1</vt:lpstr>
      <vt:lpstr>Via Bus (2)</vt:lpstr>
      <vt:lpstr>Bus 2 SolverTable</vt:lpstr>
      <vt:lpstr>'Via Bus'!Available_Funds</vt:lpstr>
      <vt:lpstr>'Via Bus (2)'!Available_Funds</vt:lpstr>
      <vt:lpstr>Available_Funds</vt:lpstr>
      <vt:lpstr>'Via Bus'!Average_Cost_Per_Gallon</vt:lpstr>
      <vt:lpstr>'Via Bus (2)'!Average_Cost_Per_Gallon</vt:lpstr>
      <vt:lpstr>Average_Cost_Per_Gallon</vt:lpstr>
      <vt:lpstr>Avg._Total_Cost_of_Gas</vt:lpstr>
      <vt:lpstr>'Via Bus'!Brake_Pads</vt:lpstr>
      <vt:lpstr>'Via Bus (2)'!Brake_Pads</vt:lpstr>
      <vt:lpstr>Brake_Pads</vt:lpstr>
      <vt:lpstr>'Bus 2 SolverTable'!ChartData</vt:lpstr>
      <vt:lpstr>'Driving SolverTable'!ChartData</vt:lpstr>
      <vt:lpstr>'Max Bus Cost SolverTable'!ChartData</vt:lpstr>
      <vt:lpstr>'Min Bus Cost SolverTable'!ChartData</vt:lpstr>
      <vt:lpstr>'Via Bus'!Cost_of_Tickets</vt:lpstr>
      <vt:lpstr>'Via Bus (2)'!Cost_of_Tickets</vt:lpstr>
      <vt:lpstr>Cost_of_Tickets</vt:lpstr>
      <vt:lpstr>'Via Bus'!Cost_per_Pad</vt:lpstr>
      <vt:lpstr>'Via Bus (2)'!Cost_per_Pad</vt:lpstr>
      <vt:lpstr>Cost_per_Pad</vt:lpstr>
      <vt:lpstr>'Via Bus'!Cost_per_Quart</vt:lpstr>
      <vt:lpstr>'Via Bus (2)'!Cost_per_Quart</vt:lpstr>
      <vt:lpstr>Cost_per_Quart</vt:lpstr>
      <vt:lpstr>'Via Bus'!Cost_per_Rotor</vt:lpstr>
      <vt:lpstr>'Via Bus (2)'!Cost_per_Rotor</vt:lpstr>
      <vt:lpstr>Cost_per_Rotor</vt:lpstr>
      <vt:lpstr>'Via Bus'!Destination</vt:lpstr>
      <vt:lpstr>'Via Bus (2)'!Destination</vt:lpstr>
      <vt:lpstr>Destination</vt:lpstr>
      <vt:lpstr>Distance</vt:lpstr>
      <vt:lpstr>Festival</vt:lpstr>
      <vt:lpstr>'Via Bus'!Festival_Name</vt:lpstr>
      <vt:lpstr>'Via Bus (2)'!Festival_Name</vt:lpstr>
      <vt:lpstr>Festival_Name</vt:lpstr>
      <vt:lpstr>'Via Bus'!Flow</vt:lpstr>
      <vt:lpstr>'Via Bus (2)'!Flow</vt:lpstr>
      <vt:lpstr>Flow</vt:lpstr>
      <vt:lpstr>'Bus 2 SolverTable'!InputValues</vt:lpstr>
      <vt:lpstr>'Driving SolverTable'!InputValues</vt:lpstr>
      <vt:lpstr>'Max Bus Cost SolverTable'!InputValues</vt:lpstr>
      <vt:lpstr>'Min Bus Cost SolverTable'!InputValues</vt:lpstr>
      <vt:lpstr>Max._Total_Cost_of_Gas</vt:lpstr>
      <vt:lpstr>'Via Bus (2)'!Max_Allowed</vt:lpstr>
      <vt:lpstr>'Via Driving'!Max_Allowed</vt:lpstr>
      <vt:lpstr>Max_Allowed</vt:lpstr>
      <vt:lpstr>'Via Bus (2)'!Max_Cost_per_Bus_Pass</vt:lpstr>
      <vt:lpstr>Max_Cost_per_Bus_Pass</vt:lpstr>
      <vt:lpstr>'Via Bus'!Max_Cost_Per_Gallon</vt:lpstr>
      <vt:lpstr>'Via Bus (2)'!Max_Cost_Per_Gallon</vt:lpstr>
      <vt:lpstr>Max_Cost_Per_Gallon</vt:lpstr>
      <vt:lpstr>'Via Bus (2)'!Max_Total_Bus_Cost</vt:lpstr>
      <vt:lpstr>Max_Total_Bus_Cost</vt:lpstr>
      <vt:lpstr>Min._Total_Cost_of_Gas</vt:lpstr>
      <vt:lpstr>'Via Bus (2)'!Min_Cost_per_Bus_Pass</vt:lpstr>
      <vt:lpstr>Min_Cost_per_Bus_Pass</vt:lpstr>
      <vt:lpstr>'Via Bus'!Min_Cost_Per_Gallon</vt:lpstr>
      <vt:lpstr>'Via Bus (2)'!Min_Cost_Per_Gallon</vt:lpstr>
      <vt:lpstr>Min_Cost_Per_Gallon</vt:lpstr>
      <vt:lpstr>'Via Bus (2)'!Min_Total_Bus_Cost</vt:lpstr>
      <vt:lpstr>Min_Total_Bus_Cost</vt:lpstr>
      <vt:lpstr>'Via Bus (2)'!Net_Outflow</vt:lpstr>
      <vt:lpstr>Net_Outflow</vt:lpstr>
      <vt:lpstr>'Via Bus'!Number_of_Quarts</vt:lpstr>
      <vt:lpstr>'Via Bus (2)'!Number_of_Quarts</vt:lpstr>
      <vt:lpstr>Number_of_Quarts</vt:lpstr>
      <vt:lpstr>'Via Bus'!Oil_Filter_Cost</vt:lpstr>
      <vt:lpstr>'Via Bus (2)'!Oil_Filter_Cost</vt:lpstr>
      <vt:lpstr>Oil_Filter_Cost</vt:lpstr>
      <vt:lpstr>'Via Bus'!Origin</vt:lpstr>
      <vt:lpstr>'Via Bus (2)'!Origin</vt:lpstr>
      <vt:lpstr>Origin</vt:lpstr>
      <vt:lpstr>'Bus 2 SolverTable'!OutputAddresses</vt:lpstr>
      <vt:lpstr>'Driving SolverTable'!OutputAddresses</vt:lpstr>
      <vt:lpstr>'Max Bus Cost SolverTable'!OutputAddresses</vt:lpstr>
      <vt:lpstr>'Min Bus Cost SolverTable'!OutputAddresses</vt:lpstr>
      <vt:lpstr>'Bus 2 SolverTable'!OutputValues</vt:lpstr>
      <vt:lpstr>'Driving SolverTable'!OutputValues</vt:lpstr>
      <vt:lpstr>'Max Bus Cost SolverTable'!OutputValues</vt:lpstr>
      <vt:lpstr>'Min Bus Cost SolverTable'!OutputValues</vt:lpstr>
      <vt:lpstr>'Via Bus'!Point_of_Origin</vt:lpstr>
      <vt:lpstr>'Via Bus (2)'!Point_of_Origin</vt:lpstr>
      <vt:lpstr>Point_of_Origin</vt:lpstr>
      <vt:lpstr>'Via Bus (2)'!Required</vt:lpstr>
      <vt:lpstr>Required</vt:lpstr>
      <vt:lpstr>'Via Bus'!Rotors</vt:lpstr>
      <vt:lpstr>'Via Bus (2)'!Rotors</vt:lpstr>
      <vt:lpstr>Rotors</vt:lpstr>
      <vt:lpstr>'Via Bus (2)'!Ticket_Cost</vt:lpstr>
      <vt:lpstr>Ticket_Cost</vt:lpstr>
      <vt:lpstr>'Via Bus (2)'!Ticket_Flow</vt:lpstr>
      <vt:lpstr>Ticket_Flow</vt:lpstr>
      <vt:lpstr>'Via Bus'!Total_Cost</vt:lpstr>
      <vt:lpstr>'Via Bus (2)'!Total_Cost</vt:lpstr>
      <vt:lpstr>Total_Cost</vt:lpstr>
      <vt:lpstr>Total_Cost__Max_Bus</vt:lpstr>
      <vt:lpstr>Total_Cost_Max_Bus</vt:lpstr>
      <vt:lpstr>'Via Bus'!Total_Distance</vt:lpstr>
      <vt:lpstr>'Via Bus (2)'!Total_Distance</vt:lpstr>
      <vt:lpstr>Total_Distance</vt:lpstr>
      <vt:lpstr>'Via Bus'!Total_Money_Available</vt:lpstr>
      <vt:lpstr>'Via Bus (2)'!Total_Money_Available</vt:lpstr>
      <vt:lpstr>Total_Money_Available</vt:lpstr>
      <vt:lpstr>'Via Bus (2)'!Total_Ticket_Cost</vt:lpstr>
      <vt:lpstr>Total_Ticket_Cost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Perez</dc:creator>
  <cp:lastModifiedBy>Danny Perez</cp:lastModifiedBy>
  <dcterms:created xsi:type="dcterms:W3CDTF">2018-12-11T09:33:56Z</dcterms:created>
  <dcterms:modified xsi:type="dcterms:W3CDTF">2018-12-14T03:19:54Z</dcterms:modified>
</cp:coreProperties>
</file>