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uario\Downloads\curso logica de programacion\curso css y html\"/>
    </mc:Choice>
  </mc:AlternateContent>
  <bookViews>
    <workbookView xWindow="0" yWindow="0" windowWidth="8025" windowHeight="9300" activeTab="1"/>
  </bookViews>
  <sheets>
    <sheet name="EEFF" sheetId="2" r:id="rId1"/>
    <sheet name="Empresa ABC" sheetId="5" r:id="rId2"/>
    <sheet name="A.Sensibilidad" sheetId="6" r:id="rId3"/>
  </sheets>
  <definedNames>
    <definedName name="objetivo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2" i="5" l="1"/>
  <c r="AA95" i="5"/>
  <c r="Z65" i="5"/>
  <c r="AB66" i="5"/>
  <c r="AA106" i="5"/>
  <c r="AF146" i="5"/>
  <c r="AD146" i="5"/>
  <c r="AF144" i="5"/>
  <c r="AE144" i="5"/>
  <c r="AE146" i="5" s="1"/>
  <c r="AD144" i="5"/>
  <c r="AC132" i="5"/>
  <c r="AC144" i="5" s="1"/>
  <c r="AC146" i="5" s="1"/>
  <c r="AB132" i="5"/>
  <c r="AB144" i="5" s="1"/>
  <c r="AB146" i="5" s="1"/>
  <c r="AA132" i="5"/>
  <c r="AA144" i="5" s="1"/>
  <c r="AA146" i="5" s="1"/>
  <c r="Z132" i="5"/>
  <c r="Z144" i="5" s="1"/>
  <c r="Z146" i="5" s="1"/>
  <c r="AA104" i="5"/>
  <c r="Y132" i="5" s="1"/>
  <c r="AF103" i="5"/>
  <c r="AE103" i="5"/>
  <c r="AD103" i="5"/>
  <c r="AC103" i="5"/>
  <c r="AB108" i="5" s="1"/>
  <c r="AC112" i="5" s="1"/>
  <c r="AB103" i="5"/>
  <c r="AF104" i="5"/>
  <c r="AE104" i="5"/>
  <c r="AD104" i="5"/>
  <c r="AC104" i="5"/>
  <c r="AB104" i="5"/>
  <c r="AB109" i="5"/>
  <c r="AC113" i="5" s="1"/>
  <c r="AA88" i="5"/>
  <c r="Y144" i="5" l="1"/>
  <c r="Y146" i="5" s="1"/>
  <c r="Y151" i="5" s="1"/>
  <c r="Y134" i="5"/>
  <c r="AC161" i="5"/>
  <c r="AA163" i="5" s="1"/>
  <c r="AE112" i="5"/>
  <c r="AA44" i="5" l="1"/>
  <c r="AG30" i="5" l="1"/>
  <c r="AE30" i="5"/>
  <c r="AD30" i="5"/>
  <c r="R58" i="5"/>
  <c r="S58" i="5" s="1"/>
  <c r="T58" i="5" s="1"/>
  <c r="I43" i="5"/>
  <c r="Q43" i="5" s="1"/>
  <c r="V33" i="5"/>
  <c r="AF30" i="5" s="1"/>
  <c r="AA32" i="5"/>
  <c r="AA30" i="5"/>
  <c r="R33" i="5"/>
  <c r="AD32" i="5" l="1"/>
  <c r="U58" i="5"/>
  <c r="AA52" i="5"/>
  <c r="AB52" i="5"/>
  <c r="AC52" i="5"/>
  <c r="AD52" i="5"/>
  <c r="Z52" i="5"/>
  <c r="AA62" i="5"/>
  <c r="AA64" i="5" s="1"/>
  <c r="Z62" i="5"/>
  <c r="Z64" i="5" s="1"/>
  <c r="AB62" i="5"/>
  <c r="AB64" i="5" s="1"/>
  <c r="AC62" i="5"/>
  <c r="AC64" i="5" s="1"/>
  <c r="AD62" i="5"/>
  <c r="AD64" i="5" s="1"/>
  <c r="AA61" i="5"/>
  <c r="AB61" i="5"/>
  <c r="AC61" i="5"/>
  <c r="AD61" i="5"/>
  <c r="Z61" i="5"/>
  <c r="V58" i="5" l="1"/>
  <c r="AE32" i="5"/>
  <c r="AA54" i="5"/>
  <c r="AA56" i="5" s="1"/>
  <c r="AA65" i="5" s="1"/>
  <c r="AB54" i="5"/>
  <c r="AB56" i="5" s="1"/>
  <c r="AB65" i="5" s="1"/>
  <c r="AC54" i="5"/>
  <c r="AC56" i="5" s="1"/>
  <c r="AC65" i="5" s="1"/>
  <c r="AD54" i="5"/>
  <c r="AD56" i="5" s="1"/>
  <c r="AD65" i="5" s="1"/>
  <c r="Z54" i="5"/>
  <c r="Z56" i="5" s="1"/>
  <c r="I18" i="5"/>
  <c r="AF32" i="5" l="1"/>
  <c r="W58" i="5"/>
  <c r="AG32" i="5" s="1"/>
  <c r="C39" i="5" l="1"/>
  <c r="F39" i="5"/>
  <c r="I39" i="5"/>
  <c r="L39" i="5"/>
  <c r="K39" i="5" l="1"/>
  <c r="H39" i="5"/>
  <c r="E39" i="5"/>
  <c r="AB32" i="5" l="1"/>
  <c r="AC32" i="5"/>
  <c r="AB30" i="5"/>
  <c r="AC30" i="5"/>
  <c r="F77" i="2" l="1"/>
  <c r="G77" i="2"/>
  <c r="L77" i="5"/>
  <c r="L32" i="5" l="1"/>
  <c r="L33" i="5"/>
  <c r="L34" i="5"/>
  <c r="L35" i="5"/>
  <c r="Q35" i="5" s="1"/>
  <c r="L36" i="5"/>
  <c r="L38" i="5"/>
  <c r="L40" i="5"/>
  <c r="L41" i="5"/>
  <c r="L42" i="5"/>
  <c r="L43" i="5"/>
  <c r="L44" i="5"/>
  <c r="L45" i="5"/>
  <c r="L46" i="5"/>
  <c r="Q46" i="5" s="1"/>
  <c r="R46" i="5" s="1"/>
  <c r="S46" i="5" s="1"/>
  <c r="L47" i="5"/>
  <c r="L48" i="5"/>
  <c r="L49" i="5"/>
  <c r="L50" i="5"/>
  <c r="L51" i="5"/>
  <c r="L52" i="5"/>
  <c r="L54" i="5"/>
  <c r="L55" i="5"/>
  <c r="L56" i="5"/>
  <c r="L57" i="5"/>
  <c r="L58" i="5"/>
  <c r="L59" i="5"/>
  <c r="L60" i="5"/>
  <c r="L61" i="5"/>
  <c r="L62" i="5"/>
  <c r="L64" i="5"/>
  <c r="L65" i="5"/>
  <c r="L66" i="5"/>
  <c r="L67" i="5"/>
  <c r="L68" i="5"/>
  <c r="L71" i="5"/>
  <c r="L72" i="5"/>
  <c r="L73" i="5"/>
  <c r="L74" i="5"/>
  <c r="L75" i="5"/>
  <c r="L76" i="5"/>
  <c r="L78" i="5"/>
  <c r="L31" i="5"/>
  <c r="I32" i="5"/>
  <c r="I33" i="5"/>
  <c r="Z30" i="5" s="1"/>
  <c r="I34" i="5"/>
  <c r="I35" i="5"/>
  <c r="I36" i="5"/>
  <c r="I38" i="5"/>
  <c r="I40" i="5"/>
  <c r="I41" i="5"/>
  <c r="I42" i="5"/>
  <c r="I44" i="5"/>
  <c r="I45" i="5"/>
  <c r="Q45" i="5" s="1"/>
  <c r="I46" i="5"/>
  <c r="I47" i="5"/>
  <c r="I48" i="5"/>
  <c r="I50" i="5"/>
  <c r="I51" i="5"/>
  <c r="I52" i="5"/>
  <c r="I54" i="5"/>
  <c r="I55" i="5"/>
  <c r="I56" i="5"/>
  <c r="I57" i="5"/>
  <c r="I58" i="5"/>
  <c r="I59" i="5"/>
  <c r="I60" i="5"/>
  <c r="I61" i="5"/>
  <c r="I62" i="5"/>
  <c r="I64" i="5"/>
  <c r="I65" i="5"/>
  <c r="I66" i="5"/>
  <c r="I67" i="5"/>
  <c r="I68" i="5"/>
  <c r="I71" i="5"/>
  <c r="I72" i="5"/>
  <c r="I73" i="5"/>
  <c r="I74" i="5"/>
  <c r="I75" i="5"/>
  <c r="I76" i="5"/>
  <c r="I77" i="5"/>
  <c r="I31" i="5"/>
  <c r="F32" i="5"/>
  <c r="F33" i="5"/>
  <c r="F34" i="5"/>
  <c r="F35" i="5"/>
  <c r="F36" i="5"/>
  <c r="F38" i="5"/>
  <c r="F40" i="5"/>
  <c r="F41" i="5"/>
  <c r="F42" i="5"/>
  <c r="F43" i="5"/>
  <c r="F44" i="5"/>
  <c r="F45" i="5"/>
  <c r="F46" i="5"/>
  <c r="F47" i="5"/>
  <c r="F48" i="5"/>
  <c r="F50" i="5"/>
  <c r="F51" i="5"/>
  <c r="F54" i="5"/>
  <c r="F55" i="5"/>
  <c r="F56" i="5"/>
  <c r="F57" i="5"/>
  <c r="F58" i="5"/>
  <c r="F59" i="5"/>
  <c r="F60" i="5"/>
  <c r="F61" i="5"/>
  <c r="F62" i="5"/>
  <c r="F64" i="5"/>
  <c r="F65" i="5"/>
  <c r="F66" i="5"/>
  <c r="F67" i="5"/>
  <c r="F68" i="5"/>
  <c r="F71" i="5"/>
  <c r="F72" i="5"/>
  <c r="F73" i="5"/>
  <c r="F74" i="5"/>
  <c r="F75" i="5"/>
  <c r="F76" i="5"/>
  <c r="F31" i="5"/>
  <c r="C32" i="5"/>
  <c r="C34" i="5"/>
  <c r="C35" i="5"/>
  <c r="C36" i="5"/>
  <c r="C38" i="5"/>
  <c r="C40" i="5"/>
  <c r="C41" i="5"/>
  <c r="C42" i="5"/>
  <c r="C43" i="5"/>
  <c r="C44" i="5"/>
  <c r="C45" i="5"/>
  <c r="C46" i="5"/>
  <c r="C47" i="5"/>
  <c r="C48" i="5"/>
  <c r="C50" i="5"/>
  <c r="C51" i="5"/>
  <c r="C54" i="5"/>
  <c r="C55" i="5"/>
  <c r="C56" i="5"/>
  <c r="C57" i="5"/>
  <c r="C58" i="5"/>
  <c r="C59" i="5"/>
  <c r="C60" i="5"/>
  <c r="C61" i="5"/>
  <c r="C62" i="5"/>
  <c r="C64" i="5"/>
  <c r="C65" i="5"/>
  <c r="C66" i="5"/>
  <c r="C67" i="5"/>
  <c r="C68" i="5"/>
  <c r="C71" i="5"/>
  <c r="C72" i="5"/>
  <c r="C73" i="5"/>
  <c r="C74" i="5"/>
  <c r="C75" i="5"/>
  <c r="C76" i="5"/>
  <c r="C31" i="5"/>
  <c r="L10" i="5"/>
  <c r="R10" i="5" s="1"/>
  <c r="L11" i="5"/>
  <c r="L12" i="5"/>
  <c r="L13" i="5"/>
  <c r="L14" i="5"/>
  <c r="L15" i="5"/>
  <c r="L16" i="5"/>
  <c r="L17" i="5"/>
  <c r="L18" i="5"/>
  <c r="L19" i="5"/>
  <c r="L20" i="5"/>
  <c r="L21" i="5"/>
  <c r="L22" i="5"/>
  <c r="L9" i="5"/>
  <c r="R9" i="5" s="1"/>
  <c r="S9" i="5" s="1"/>
  <c r="T9" i="5" s="1"/>
  <c r="U9" i="5" s="1"/>
  <c r="I10" i="5"/>
  <c r="I11" i="5"/>
  <c r="I12" i="5"/>
  <c r="I13" i="5"/>
  <c r="I14" i="5"/>
  <c r="I15" i="5"/>
  <c r="I16" i="5"/>
  <c r="I17" i="5"/>
  <c r="I19" i="5"/>
  <c r="I20" i="5"/>
  <c r="I21" i="5"/>
  <c r="I22" i="5"/>
  <c r="I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9" i="5"/>
  <c r="D30" i="2"/>
  <c r="C33" i="5" s="1"/>
  <c r="E77" i="2"/>
  <c r="F77" i="5" s="1"/>
  <c r="E69" i="2"/>
  <c r="F69" i="5" s="1"/>
  <c r="F69" i="2"/>
  <c r="I69" i="5" s="1"/>
  <c r="G69" i="2"/>
  <c r="L69" i="5" s="1"/>
  <c r="D69" i="2"/>
  <c r="C69" i="5" s="1"/>
  <c r="F63" i="2"/>
  <c r="I63" i="5" s="1"/>
  <c r="Z23" i="5" s="1"/>
  <c r="G63" i="2"/>
  <c r="L63" i="5" s="1"/>
  <c r="AA38" i="5" l="1"/>
  <c r="V9" i="5"/>
  <c r="W9" i="5" s="1"/>
  <c r="R36" i="5"/>
  <c r="G70" i="2"/>
  <c r="L70" i="5" s="1"/>
  <c r="F70" i="2"/>
  <c r="I70" i="5" s="1"/>
  <c r="Q36" i="5"/>
  <c r="AA31" i="5" s="1"/>
  <c r="AJ7" i="5"/>
  <c r="Z32" i="5"/>
  <c r="AI9" i="5"/>
  <c r="Z31" i="5"/>
  <c r="AI8" i="5"/>
  <c r="AI7" i="5"/>
  <c r="Z38" i="5"/>
  <c r="E75" i="5"/>
  <c r="E67" i="5"/>
  <c r="E59" i="5"/>
  <c r="E51" i="5"/>
  <c r="K20" i="5"/>
  <c r="K12" i="5"/>
  <c r="K19" i="5"/>
  <c r="K11" i="5"/>
  <c r="K17" i="5"/>
  <c r="K16" i="5"/>
  <c r="S35" i="5"/>
  <c r="T35" i="5" s="1"/>
  <c r="K18" i="5"/>
  <c r="K10" i="5"/>
  <c r="K9" i="5"/>
  <c r="E45" i="5"/>
  <c r="K22" i="5"/>
  <c r="K14" i="5"/>
  <c r="K21" i="5"/>
  <c r="K13" i="5"/>
  <c r="E54" i="5"/>
  <c r="E46" i="5"/>
  <c r="E62" i="5"/>
  <c r="E40" i="5"/>
  <c r="E38" i="5"/>
  <c r="E33" i="5"/>
  <c r="E66" i="5"/>
  <c r="E61" i="5"/>
  <c r="E50" i="5"/>
  <c r="E71" i="5"/>
  <c r="E55" i="5"/>
  <c r="E47" i="5"/>
  <c r="E34" i="5"/>
  <c r="E65" i="5"/>
  <c r="E57" i="5"/>
  <c r="E41" i="5"/>
  <c r="E72" i="5"/>
  <c r="E64" i="5"/>
  <c r="E56" i="5"/>
  <c r="E48" i="5"/>
  <c r="E35" i="5"/>
  <c r="E69" i="5"/>
  <c r="E32" i="5"/>
  <c r="E73" i="5"/>
  <c r="E36" i="5"/>
  <c r="E74" i="5"/>
  <c r="E58" i="5"/>
  <c r="E42" i="5"/>
  <c r="E76" i="5"/>
  <c r="E68" i="5"/>
  <c r="E60" i="5"/>
  <c r="E44" i="5"/>
  <c r="E43" i="5"/>
  <c r="F78" i="2"/>
  <c r="I78" i="5" s="1"/>
  <c r="F49" i="2"/>
  <c r="I49" i="5" s="1"/>
  <c r="F37" i="2"/>
  <c r="E63" i="2"/>
  <c r="D63" i="2"/>
  <c r="C63" i="5" s="1"/>
  <c r="E49" i="2"/>
  <c r="E37" i="2"/>
  <c r="F37" i="5" s="1"/>
  <c r="D49" i="2"/>
  <c r="D37" i="2"/>
  <c r="C37" i="5" s="1"/>
  <c r="D77" i="2"/>
  <c r="C77" i="5" s="1"/>
  <c r="E77" i="5" s="1"/>
  <c r="U35" i="5" l="1"/>
  <c r="T15" i="5"/>
  <c r="T17" i="5"/>
  <c r="T12" i="5"/>
  <c r="E37" i="5"/>
  <c r="D70" i="2"/>
  <c r="C70" i="5" s="1"/>
  <c r="D52" i="2"/>
  <c r="C52" i="5" s="1"/>
  <c r="C49" i="5"/>
  <c r="E52" i="2"/>
  <c r="F52" i="5" s="1"/>
  <c r="E52" i="5" s="1"/>
  <c r="F49" i="5"/>
  <c r="E49" i="5" s="1"/>
  <c r="F63" i="5"/>
  <c r="E63" i="5" s="1"/>
  <c r="E70" i="2"/>
  <c r="F53" i="2"/>
  <c r="I53" i="5" s="1"/>
  <c r="J39" i="5" s="1"/>
  <c r="I37" i="5"/>
  <c r="Z22" i="5" s="1"/>
  <c r="Z24" i="5" s="1"/>
  <c r="AI10" i="5"/>
  <c r="T46" i="5"/>
  <c r="R49" i="5"/>
  <c r="Q49" i="5"/>
  <c r="AI11" i="5"/>
  <c r="Z33" i="5"/>
  <c r="AA39" i="5"/>
  <c r="Z15" i="5" s="1"/>
  <c r="AJ9" i="5"/>
  <c r="AB38" i="5"/>
  <c r="AB39" i="5" s="1"/>
  <c r="AA15" i="5" s="1"/>
  <c r="Q17" i="5"/>
  <c r="Q15" i="5"/>
  <c r="Z12" i="5" s="1"/>
  <c r="Q13" i="5"/>
  <c r="Q18" i="5"/>
  <c r="Q19" i="5"/>
  <c r="Q14" i="5"/>
  <c r="Z11" i="5" s="1"/>
  <c r="D53" i="2"/>
  <c r="F80" i="2"/>
  <c r="D78" i="2"/>
  <c r="C78" i="5" s="1"/>
  <c r="E53" i="2"/>
  <c r="U36" i="5" l="1"/>
  <c r="AE31" i="5" s="1"/>
  <c r="AE33" i="5" s="1"/>
  <c r="U14" i="5"/>
  <c r="AD11" i="5" s="1"/>
  <c r="U18" i="5"/>
  <c r="U13" i="5"/>
  <c r="U17" i="5"/>
  <c r="U19" i="5"/>
  <c r="U12" i="5"/>
  <c r="U15" i="5"/>
  <c r="AD12" i="5" s="1"/>
  <c r="AD38" i="5"/>
  <c r="U46" i="5"/>
  <c r="V35" i="5"/>
  <c r="F53" i="5"/>
  <c r="D80" i="2"/>
  <c r="C53" i="5"/>
  <c r="D39" i="5" s="1"/>
  <c r="F70" i="5"/>
  <c r="E70" i="5" s="1"/>
  <c r="E78" i="2"/>
  <c r="F78" i="5" s="1"/>
  <c r="E78" i="5" s="1"/>
  <c r="AC38" i="5"/>
  <c r="AC39" i="5" s="1"/>
  <c r="AB15" i="5" s="1"/>
  <c r="S49" i="5"/>
  <c r="AA33" i="5"/>
  <c r="AA34" i="5" s="1"/>
  <c r="Z14" i="5" s="1"/>
  <c r="AJ8" i="5"/>
  <c r="AJ10" i="5" s="1"/>
  <c r="AJ11" i="5" s="1"/>
  <c r="S10" i="5"/>
  <c r="T10" i="5" s="1"/>
  <c r="AK9" i="5"/>
  <c r="AK7" i="5"/>
  <c r="Q16" i="5"/>
  <c r="Z9" i="5" s="1"/>
  <c r="S36" i="5"/>
  <c r="R18" i="5"/>
  <c r="R17" i="5"/>
  <c r="R11" i="5"/>
  <c r="R15" i="5"/>
  <c r="R19" i="5"/>
  <c r="R13" i="5"/>
  <c r="R12" i="5"/>
  <c r="R14" i="5"/>
  <c r="T49" i="5"/>
  <c r="M15" i="5"/>
  <c r="K56" i="5"/>
  <c r="M9" i="5"/>
  <c r="U37" i="5" l="1"/>
  <c r="U10" i="5"/>
  <c r="U11" i="5" s="1"/>
  <c r="T11" i="5"/>
  <c r="AE38" i="5"/>
  <c r="AE39" i="5" s="1"/>
  <c r="AD15" i="5" s="1"/>
  <c r="V46" i="5"/>
  <c r="V13" i="5"/>
  <c r="V12" i="5"/>
  <c r="V36" i="5"/>
  <c r="AF31" i="5" s="1"/>
  <c r="AF33" i="5" s="1"/>
  <c r="AF34" i="5" s="1"/>
  <c r="AE14" i="5" s="1"/>
  <c r="V18" i="5"/>
  <c r="V14" i="5"/>
  <c r="AE11" i="5" s="1"/>
  <c r="V19" i="5"/>
  <c r="V17" i="5"/>
  <c r="V15" i="5"/>
  <c r="AE12" i="5" s="1"/>
  <c r="W35" i="5"/>
  <c r="AD39" i="5"/>
  <c r="Z10" i="5"/>
  <c r="Z13" i="5" s="1"/>
  <c r="Z16" i="5" s="1"/>
  <c r="G39" i="5"/>
  <c r="E53" i="5"/>
  <c r="E80" i="2"/>
  <c r="AA12" i="5"/>
  <c r="AA11" i="5"/>
  <c r="AM9" i="5"/>
  <c r="AL9" i="5"/>
  <c r="AB31" i="5"/>
  <c r="AB33" i="5" s="1"/>
  <c r="AK8" i="5"/>
  <c r="AK10" i="5" s="1"/>
  <c r="AL7" i="5"/>
  <c r="Q50" i="5"/>
  <c r="Q52" i="5" s="1"/>
  <c r="Q20" i="5"/>
  <c r="AC15" i="5"/>
  <c r="R16" i="5"/>
  <c r="R37" i="5"/>
  <c r="AB22" i="5" s="1"/>
  <c r="T36" i="5"/>
  <c r="S18" i="5"/>
  <c r="S14" i="5"/>
  <c r="AB11" i="5" s="1"/>
  <c r="S12" i="5"/>
  <c r="S19" i="5"/>
  <c r="S17" i="5"/>
  <c r="S15" i="5"/>
  <c r="AB12" i="5" s="1"/>
  <c r="S13" i="5"/>
  <c r="S11" i="5"/>
  <c r="H32" i="5"/>
  <c r="J9" i="5"/>
  <c r="K54" i="5"/>
  <c r="V37" i="5" l="1"/>
  <c r="T50" i="5"/>
  <c r="T52" i="5" s="1"/>
  <c r="AD31" i="5"/>
  <c r="AD33" i="5" s="1"/>
  <c r="T37" i="5"/>
  <c r="W36" i="5"/>
  <c r="AG31" i="5" s="1"/>
  <c r="AG33" i="5" s="1"/>
  <c r="AG34" i="5" s="1"/>
  <c r="AF14" i="5" s="1"/>
  <c r="W19" i="5"/>
  <c r="W18" i="5"/>
  <c r="W17" i="5"/>
  <c r="W15" i="5"/>
  <c r="AF12" i="5" s="1"/>
  <c r="W14" i="5"/>
  <c r="AF11" i="5" s="1"/>
  <c r="W12" i="5"/>
  <c r="W13" i="5"/>
  <c r="W46" i="5"/>
  <c r="AG38" i="5" s="1"/>
  <c r="AF38" i="5"/>
  <c r="AF39" i="5" s="1"/>
  <c r="AE15" i="5" s="1"/>
  <c r="W37" i="5"/>
  <c r="V10" i="5"/>
  <c r="U16" i="5"/>
  <c r="AD9" i="5" s="1"/>
  <c r="AB34" i="5"/>
  <c r="AA14" i="5" s="1"/>
  <c r="Q21" i="5"/>
  <c r="Q22" i="5" s="1"/>
  <c r="AC31" i="5"/>
  <c r="AC33" i="5" s="1"/>
  <c r="AL8" i="5"/>
  <c r="AL10" i="5" s="1"/>
  <c r="AM7" i="5"/>
  <c r="AA9" i="5"/>
  <c r="R50" i="5"/>
  <c r="R20" i="5"/>
  <c r="S37" i="5"/>
  <c r="AC22" i="5" s="1"/>
  <c r="S16" i="5"/>
  <c r="T18" i="5"/>
  <c r="T14" i="5"/>
  <c r="AC11" i="5" s="1"/>
  <c r="AC12" i="5"/>
  <c r="T19" i="5"/>
  <c r="T13" i="5"/>
  <c r="M19" i="5"/>
  <c r="M12" i="5"/>
  <c r="M13" i="5"/>
  <c r="K32" i="5"/>
  <c r="N32" i="5"/>
  <c r="M17" i="5"/>
  <c r="M10" i="5"/>
  <c r="M14" i="5"/>
  <c r="M18" i="5"/>
  <c r="W10" i="5" l="1"/>
  <c r="W11" i="5" s="1"/>
  <c r="W16" i="5" s="1"/>
  <c r="V11" i="5"/>
  <c r="V16" i="5" s="1"/>
  <c r="AE9" i="5" s="1"/>
  <c r="U20" i="5"/>
  <c r="AG39" i="5"/>
  <c r="AF15" i="5" s="1"/>
  <c r="AD34" i="5"/>
  <c r="AC14" i="5" s="1"/>
  <c r="AE34" i="5"/>
  <c r="AD14" i="5" s="1"/>
  <c r="R52" i="5"/>
  <c r="R53" i="5" s="1"/>
  <c r="R21" i="5"/>
  <c r="AC34" i="5"/>
  <c r="AB14" i="5" s="1"/>
  <c r="AM8" i="5"/>
  <c r="AM10" i="5" s="1"/>
  <c r="Q76" i="5"/>
  <c r="Q77" i="5" s="1"/>
  <c r="AA10" i="5"/>
  <c r="AA13" i="5" s="1"/>
  <c r="AA16" i="5" s="1"/>
  <c r="AB9" i="5"/>
  <c r="AB10" i="5" s="1"/>
  <c r="S50" i="5"/>
  <c r="S20" i="5"/>
  <c r="S21" i="5" s="1"/>
  <c r="S22" i="5" s="1"/>
  <c r="R69" i="5"/>
  <c r="AD22" i="5"/>
  <c r="R63" i="5"/>
  <c r="AB23" i="5" s="1"/>
  <c r="AB24" i="5" s="1"/>
  <c r="T16" i="5"/>
  <c r="AC9" i="5" s="1"/>
  <c r="M21" i="5"/>
  <c r="AD10" i="5" l="1"/>
  <c r="AD13" i="5" s="1"/>
  <c r="AD16" i="5" s="1"/>
  <c r="V20" i="5"/>
  <c r="AC10" i="5"/>
  <c r="AC13" i="5" s="1"/>
  <c r="AC16" i="5" s="1"/>
  <c r="U21" i="5"/>
  <c r="U22" i="5" s="1"/>
  <c r="W20" i="5"/>
  <c r="AF9" i="5"/>
  <c r="S52" i="5"/>
  <c r="S53" i="5" s="1"/>
  <c r="R22" i="5"/>
  <c r="S76" i="5"/>
  <c r="S77" i="5" s="1"/>
  <c r="AB13" i="5"/>
  <c r="AB16" i="5" s="1"/>
  <c r="T20" i="5"/>
  <c r="T21" i="5" s="1"/>
  <c r="T22" i="5" s="1"/>
  <c r="T53" i="5"/>
  <c r="R70" i="5"/>
  <c r="S63" i="5"/>
  <c r="AC23" i="5" s="1"/>
  <c r="AC24" i="5" s="1"/>
  <c r="AC25" i="5" s="1"/>
  <c r="AM11" i="5" s="1"/>
  <c r="S69" i="5"/>
  <c r="T69" i="5"/>
  <c r="K34" i="5"/>
  <c r="H34" i="5"/>
  <c r="AF10" i="5" l="1"/>
  <c r="AF13" i="5" s="1"/>
  <c r="AF16" i="5" s="1"/>
  <c r="V21" i="5"/>
  <c r="V22" i="5" s="1"/>
  <c r="W21" i="5"/>
  <c r="W22" i="5" s="1"/>
  <c r="AE10" i="5"/>
  <c r="AE13" i="5" s="1"/>
  <c r="AE16" i="5" s="1"/>
  <c r="R76" i="5"/>
  <c r="R77" i="5" s="1"/>
  <c r="T76" i="5"/>
  <c r="T77" i="5" s="1"/>
  <c r="S70" i="5"/>
  <c r="S78" i="5" s="1"/>
  <c r="S80" i="5" s="1"/>
  <c r="T63" i="5"/>
  <c r="AD23" i="5" s="1"/>
  <c r="AD24" i="5" s="1"/>
  <c r="AD25" i="5" s="1"/>
  <c r="R78" i="5" l="1"/>
  <c r="R80" i="5" s="1"/>
  <c r="T70" i="5"/>
  <c r="T78" i="5" s="1"/>
  <c r="T80" i="5" s="1"/>
  <c r="M11" i="5"/>
  <c r="M16" i="5" l="1"/>
  <c r="M20" i="5"/>
  <c r="M22" i="5" l="1"/>
  <c r="R79" i="5" l="1"/>
  <c r="K35" i="5" l="1"/>
  <c r="K36" i="5"/>
  <c r="K38" i="5"/>
  <c r="K40" i="5"/>
  <c r="K41" i="5"/>
  <c r="K42" i="5"/>
  <c r="K43" i="5"/>
  <c r="K44" i="5"/>
  <c r="K45" i="5"/>
  <c r="K46" i="5"/>
  <c r="K47" i="5"/>
  <c r="K48" i="5"/>
  <c r="K50" i="5"/>
  <c r="K51" i="5"/>
  <c r="K55" i="5"/>
  <c r="K57" i="5"/>
  <c r="K59" i="5"/>
  <c r="K60" i="5"/>
  <c r="K61" i="5"/>
  <c r="K62" i="5"/>
  <c r="K64" i="5"/>
  <c r="K66" i="5"/>
  <c r="K67" i="5"/>
  <c r="K68" i="5"/>
  <c r="K71" i="5"/>
  <c r="K72" i="5"/>
  <c r="K73" i="5"/>
  <c r="K74" i="5"/>
  <c r="K75" i="5"/>
  <c r="K76" i="5"/>
  <c r="H54" i="5"/>
  <c r="B27" i="5"/>
  <c r="Q27" i="5" s="1"/>
  <c r="B6" i="5"/>
  <c r="Q6" i="5" s="1"/>
  <c r="X6" i="5" s="1"/>
  <c r="H9" i="5"/>
  <c r="K69" i="5"/>
  <c r="Y18" i="5" l="1"/>
  <c r="Y47" i="5"/>
  <c r="Y68" i="5" s="1"/>
  <c r="K58" i="5"/>
  <c r="K63" i="5"/>
  <c r="H56" i="5"/>
  <c r="K65" i="5"/>
  <c r="K77" i="5"/>
  <c r="S79" i="5"/>
  <c r="K33" i="5"/>
  <c r="H33" i="5"/>
  <c r="E9" i="5"/>
  <c r="H48" i="5"/>
  <c r="H44" i="5"/>
  <c r="H40" i="5"/>
  <c r="H37" i="5"/>
  <c r="H47" i="5"/>
  <c r="H43" i="5"/>
  <c r="H51" i="5"/>
  <c r="H46" i="5"/>
  <c r="H42" i="5"/>
  <c r="H38" i="5"/>
  <c r="H36" i="5"/>
  <c r="H50" i="5"/>
  <c r="H45" i="5"/>
  <c r="H41" i="5"/>
  <c r="H35" i="5"/>
  <c r="D13" i="5"/>
  <c r="D9" i="5"/>
  <c r="D21" i="5"/>
  <c r="D10" i="5"/>
  <c r="D19" i="5"/>
  <c r="D18" i="5"/>
  <c r="D15" i="5"/>
  <c r="D14" i="5"/>
  <c r="E18" i="5"/>
  <c r="G18" i="5"/>
  <c r="H10" i="5"/>
  <c r="J10" i="5"/>
  <c r="H14" i="5"/>
  <c r="J14" i="5"/>
  <c r="H73" i="5"/>
  <c r="H67" i="5"/>
  <c r="H62" i="5"/>
  <c r="H58" i="5"/>
  <c r="E13" i="5"/>
  <c r="G13" i="5"/>
  <c r="H15" i="5"/>
  <c r="J15" i="5"/>
  <c r="H74" i="5"/>
  <c r="H64" i="5"/>
  <c r="H55" i="5"/>
  <c r="H63" i="5"/>
  <c r="E17" i="5"/>
  <c r="G17" i="5"/>
  <c r="E12" i="5"/>
  <c r="G12" i="5"/>
  <c r="H19" i="5"/>
  <c r="J19" i="5"/>
  <c r="E21" i="5"/>
  <c r="G21" i="5"/>
  <c r="G15" i="5"/>
  <c r="E15" i="5"/>
  <c r="E10" i="5"/>
  <c r="G10" i="5"/>
  <c r="J18" i="5"/>
  <c r="H18" i="5"/>
  <c r="J13" i="5"/>
  <c r="H13" i="5"/>
  <c r="H76" i="5"/>
  <c r="H72" i="5"/>
  <c r="H66" i="5"/>
  <c r="H61" i="5"/>
  <c r="H57" i="5"/>
  <c r="J21" i="5"/>
  <c r="H21" i="5"/>
  <c r="H68" i="5"/>
  <c r="H59" i="5"/>
  <c r="H77" i="5"/>
  <c r="G9" i="5"/>
  <c r="D17" i="5"/>
  <c r="D12" i="5"/>
  <c r="G19" i="5"/>
  <c r="E19" i="5"/>
  <c r="E14" i="5"/>
  <c r="G14" i="5"/>
  <c r="J17" i="5"/>
  <c r="H17" i="5"/>
  <c r="H12" i="5"/>
  <c r="J12" i="5"/>
  <c r="H75" i="5"/>
  <c r="H71" i="5"/>
  <c r="H65" i="5"/>
  <c r="H60" i="5"/>
  <c r="K49" i="5"/>
  <c r="K78" i="5" l="1"/>
  <c r="H52" i="5"/>
  <c r="K52" i="5"/>
  <c r="G34" i="5"/>
  <c r="G56" i="5"/>
  <c r="J33" i="5"/>
  <c r="J56" i="5"/>
  <c r="J55" i="5"/>
  <c r="J54" i="5"/>
  <c r="J63" i="5"/>
  <c r="J31" i="5"/>
  <c r="J58" i="5"/>
  <c r="J73" i="5"/>
  <c r="J34" i="5"/>
  <c r="J35" i="5"/>
  <c r="G40" i="5"/>
  <c r="G35" i="5"/>
  <c r="G41" i="5"/>
  <c r="G50" i="5"/>
  <c r="J47" i="5"/>
  <c r="J49" i="5"/>
  <c r="H49" i="5"/>
  <c r="G49" i="5"/>
  <c r="J41" i="5"/>
  <c r="G48" i="5"/>
  <c r="G32" i="5"/>
  <c r="J36" i="5"/>
  <c r="J42" i="5"/>
  <c r="G38" i="5"/>
  <c r="G46" i="5"/>
  <c r="J37" i="5"/>
  <c r="J44" i="5"/>
  <c r="J40" i="5"/>
  <c r="G47" i="5"/>
  <c r="J52" i="5"/>
  <c r="J50" i="5"/>
  <c r="J51" i="5"/>
  <c r="G45" i="5"/>
  <c r="J43" i="5"/>
  <c r="G36" i="5"/>
  <c r="G52" i="5"/>
  <c r="J45" i="5"/>
  <c r="G33" i="5"/>
  <c r="G44" i="5"/>
  <c r="G37" i="5"/>
  <c r="G43" i="5"/>
  <c r="J38" i="5"/>
  <c r="J46" i="5"/>
  <c r="G42" i="5"/>
  <c r="G51" i="5"/>
  <c r="J48" i="5"/>
  <c r="J32" i="5"/>
  <c r="D11" i="5"/>
  <c r="E11" i="5"/>
  <c r="G11" i="5"/>
  <c r="J71" i="5"/>
  <c r="J77" i="5"/>
  <c r="J68" i="5"/>
  <c r="J64" i="5"/>
  <c r="J69" i="5"/>
  <c r="J60" i="5"/>
  <c r="J66" i="5"/>
  <c r="J65" i="5"/>
  <c r="J59" i="5"/>
  <c r="J72" i="5"/>
  <c r="J57" i="5"/>
  <c r="G53" i="5"/>
  <c r="G68" i="5"/>
  <c r="J70" i="5"/>
  <c r="G31" i="5"/>
  <c r="G71" i="5"/>
  <c r="J67" i="5"/>
  <c r="G61" i="5"/>
  <c r="G72" i="5"/>
  <c r="G73" i="5"/>
  <c r="G63" i="5"/>
  <c r="G78" i="5"/>
  <c r="J76" i="5"/>
  <c r="G65" i="5"/>
  <c r="G75" i="5"/>
  <c r="J74" i="5"/>
  <c r="J62" i="5"/>
  <c r="G59" i="5"/>
  <c r="G58" i="5"/>
  <c r="J16" i="5"/>
  <c r="H11" i="5"/>
  <c r="J11" i="5"/>
  <c r="G64" i="5"/>
  <c r="G74" i="5"/>
  <c r="G69" i="5"/>
  <c r="H53" i="5"/>
  <c r="J53" i="5"/>
  <c r="J75" i="5"/>
  <c r="G55" i="5"/>
  <c r="H69" i="5"/>
  <c r="G62" i="5"/>
  <c r="J61" i="5"/>
  <c r="G60" i="5"/>
  <c r="G77" i="5"/>
  <c r="G67" i="5"/>
  <c r="G57" i="5"/>
  <c r="G66" i="5"/>
  <c r="G76" i="5"/>
  <c r="G54" i="5"/>
  <c r="D40" i="5" l="1"/>
  <c r="D65" i="5"/>
  <c r="K70" i="5"/>
  <c r="J78" i="5"/>
  <c r="D52" i="5"/>
  <c r="D34" i="5"/>
  <c r="D32" i="5"/>
  <c r="D50" i="5"/>
  <c r="D33" i="5"/>
  <c r="D43" i="5"/>
  <c r="D35" i="5"/>
  <c r="D51" i="5"/>
  <c r="D41" i="5"/>
  <c r="D48" i="5"/>
  <c r="D46" i="5"/>
  <c r="D36" i="5"/>
  <c r="D47" i="5"/>
  <c r="D45" i="5"/>
  <c r="D38" i="5"/>
  <c r="D44" i="5"/>
  <c r="D31" i="5"/>
  <c r="D42" i="5"/>
  <c r="D37" i="5"/>
  <c r="D49" i="5"/>
  <c r="D16" i="5"/>
  <c r="D53" i="5"/>
  <c r="D71" i="5"/>
  <c r="D69" i="5"/>
  <c r="D56" i="5"/>
  <c r="D64" i="5"/>
  <c r="D63" i="5"/>
  <c r="D76" i="5"/>
  <c r="D68" i="5"/>
  <c r="D74" i="5"/>
  <c r="D60" i="5"/>
  <c r="D58" i="5"/>
  <c r="D67" i="5"/>
  <c r="D62" i="5"/>
  <c r="D54" i="5"/>
  <c r="D59" i="5"/>
  <c r="D55" i="5"/>
  <c r="D61" i="5"/>
  <c r="D73" i="5"/>
  <c r="D57" i="5"/>
  <c r="D66" i="5"/>
  <c r="D75" i="5"/>
  <c r="D72" i="5"/>
  <c r="D77" i="5"/>
  <c r="G70" i="5"/>
  <c r="G22" i="5"/>
  <c r="H20" i="5"/>
  <c r="J20" i="5"/>
  <c r="H78" i="5"/>
  <c r="E16" i="5"/>
  <c r="G16" i="5"/>
  <c r="D78" i="5"/>
  <c r="H16" i="5"/>
  <c r="H70" i="5"/>
  <c r="D70" i="5"/>
  <c r="H22" i="5"/>
  <c r="J22" i="5"/>
  <c r="AA81" i="5" l="1"/>
  <c r="AC81" i="5"/>
  <c r="AE81" i="5"/>
  <c r="AA80" i="5"/>
  <c r="AD80" i="5"/>
  <c r="AB81" i="5"/>
  <c r="AD81" i="5"/>
  <c r="AB80" i="5"/>
  <c r="AE80" i="5"/>
  <c r="AC80" i="5"/>
  <c r="E22" i="5"/>
  <c r="D20" i="5"/>
  <c r="D22" i="5"/>
  <c r="G20" i="5"/>
  <c r="E20" i="5"/>
  <c r="AA89" i="5" l="1"/>
  <c r="AA90" i="5" s="1"/>
  <c r="G37" i="2"/>
  <c r="G53" i="2" l="1"/>
  <c r="L37" i="5"/>
  <c r="Q37" i="5"/>
  <c r="AA22" i="5" s="1"/>
  <c r="K37" i="5" l="1"/>
  <c r="G80" i="2"/>
  <c r="L53" i="5"/>
  <c r="Q53" i="5"/>
  <c r="Q69" i="5"/>
  <c r="M39" i="5" l="1"/>
  <c r="M57" i="5"/>
  <c r="M68" i="5"/>
  <c r="M64" i="5"/>
  <c r="M67" i="5"/>
  <c r="M65" i="5"/>
  <c r="M60" i="5"/>
  <c r="M55" i="5"/>
  <c r="M51" i="5"/>
  <c r="M49" i="5"/>
  <c r="M62" i="5"/>
  <c r="M54" i="5"/>
  <c r="M70" i="5"/>
  <c r="M44" i="5"/>
  <c r="M35" i="5"/>
  <c r="M69" i="5"/>
  <c r="M52" i="5"/>
  <c r="M41" i="5"/>
  <c r="M78" i="5"/>
  <c r="M40" i="5"/>
  <c r="M43" i="5"/>
  <c r="M74" i="5"/>
  <c r="M34" i="5"/>
  <c r="M61" i="5"/>
  <c r="M53" i="5"/>
  <c r="M47" i="5"/>
  <c r="M66" i="5"/>
  <c r="M75" i="5"/>
  <c r="M58" i="5"/>
  <c r="M50" i="5"/>
  <c r="M63" i="5"/>
  <c r="M56" i="5"/>
  <c r="M45" i="5"/>
  <c r="M32" i="5"/>
  <c r="M33" i="5"/>
  <c r="M48" i="5"/>
  <c r="M76" i="5"/>
  <c r="M31" i="5"/>
  <c r="M36" i="5"/>
  <c r="M71" i="5"/>
  <c r="M46" i="5"/>
  <c r="M72" i="5"/>
  <c r="M59" i="5"/>
  <c r="M77" i="5"/>
  <c r="M73" i="5"/>
  <c r="M42" i="5"/>
  <c r="M38" i="5"/>
  <c r="K53" i="5"/>
  <c r="M37" i="5"/>
  <c r="Q63" i="5"/>
  <c r="AA23" i="5" s="1"/>
  <c r="AA24" i="5" s="1"/>
  <c r="AA25" i="5" l="1"/>
  <c r="AK11" i="5" s="1"/>
  <c r="AB25" i="5"/>
  <c r="AL11" i="5" s="1"/>
  <c r="Q70" i="5"/>
  <c r="Q78" i="5" s="1"/>
  <c r="Q80" i="5" s="1"/>
</calcChain>
</file>

<file path=xl/comments1.xml><?xml version="1.0" encoding="utf-8"?>
<comments xmlns="http://schemas.openxmlformats.org/spreadsheetml/2006/main">
  <authors>
    <author>Estudiante Politecnico Grancolombiano</author>
  </authors>
  <commentList>
    <comment ref="C74" authorId="0" shapeId="0">
      <text>
        <r>
          <rPr>
            <b/>
            <sz val="9"/>
            <color indexed="81"/>
            <rFont val="Tahoma"/>
            <family val="2"/>
          </rPr>
          <t>Estudiante Politecnico Grancolombiano:</t>
        </r>
        <r>
          <rPr>
            <sz val="9"/>
            <color indexed="81"/>
            <rFont val="Tahoma"/>
            <family val="2"/>
          </rPr>
          <t xml:space="preserve">
prima de colocacion de acciones
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Estudiante Politecnico Grancolombiano:</t>
        </r>
        <r>
          <rPr>
            <sz val="9"/>
            <color indexed="81"/>
            <rFont val="Tahoma"/>
            <family val="2"/>
          </rPr>
          <t xml:space="preserve">
ganancia o perdidas acomuladas 
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Estudiante Politecnico Grancolombiano:</t>
        </r>
        <r>
          <rPr>
            <sz val="9"/>
            <color indexed="81"/>
            <rFont val="Tahoma"/>
            <family val="2"/>
          </rPr>
          <t xml:space="preserve">
ganancias del ejercicio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W12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me es clara la frase. Fno sé si la tasa interna de retorno es la misma tasa promedio interna de retorno de inversión. Si es así, hay que modificar la frase</t>
        </r>
      </text>
    </comment>
  </commentList>
</comments>
</file>

<file path=xl/sharedStrings.xml><?xml version="1.0" encoding="utf-8"?>
<sst xmlns="http://schemas.openxmlformats.org/spreadsheetml/2006/main" count="314" uniqueCount="199">
  <si>
    <t>Estado de Resutlados</t>
  </si>
  <si>
    <t>Ingresos de Actividades Ordinarias</t>
  </si>
  <si>
    <t>Costo de Ventas</t>
  </si>
  <si>
    <t>Garancia Bruta</t>
  </si>
  <si>
    <t>Otros Ingresos</t>
  </si>
  <si>
    <t>Gastos de Administración</t>
  </si>
  <si>
    <t>ESTADO DE SITUACIÓN FINANCIERA CONSOLIDADO</t>
  </si>
  <si>
    <t>ACTIVOS</t>
  </si>
  <si>
    <t>Activos Corrientes</t>
  </si>
  <si>
    <t>Activos no Corrientes</t>
  </si>
  <si>
    <t>Inversiones en asociadas</t>
  </si>
  <si>
    <t>Propiedades, planta y equipo</t>
  </si>
  <si>
    <t>Activos Intangibles</t>
  </si>
  <si>
    <t>Activo por Impuestos Diferidos</t>
  </si>
  <si>
    <t>Activos Totales</t>
  </si>
  <si>
    <t>Total Activos no Corrientes</t>
  </si>
  <si>
    <t>Total Activos  Corrientes</t>
  </si>
  <si>
    <t>PASIVOS Y PATRIMONIO</t>
  </si>
  <si>
    <t>Pasivos Corrientes</t>
  </si>
  <si>
    <t>Total Pasivos Corrientes</t>
  </si>
  <si>
    <t>Pasivos no Corrientes</t>
  </si>
  <si>
    <t>Pasivos Totales</t>
  </si>
  <si>
    <t>Patrimonio</t>
  </si>
  <si>
    <t>Total Patrimonio</t>
  </si>
  <si>
    <t>Total pasivos y patrimonio</t>
  </si>
  <si>
    <t>CHECK</t>
  </si>
  <si>
    <t>Estado del Resutado Integral</t>
  </si>
  <si>
    <t>Depreciación</t>
  </si>
  <si>
    <t>Sector</t>
  </si>
  <si>
    <t>Utilidad Operacional</t>
  </si>
  <si>
    <t>CON ACREEDORES COMERCIALES</t>
  </si>
  <si>
    <t>Efectivo (efectivo y equivalente al efectivo)</t>
  </si>
  <si>
    <t>Gastos de Ventas</t>
  </si>
  <si>
    <t>Gastos Financieros</t>
  </si>
  <si>
    <t>Otros gastos</t>
  </si>
  <si>
    <t>Provisión Impuesto de Renta</t>
  </si>
  <si>
    <t>Utilidad Neta</t>
  </si>
  <si>
    <t>Otras cuentas por cobras</t>
  </si>
  <si>
    <t xml:space="preserve">Inventarios </t>
  </si>
  <si>
    <t xml:space="preserve">Deudores Comerciales </t>
  </si>
  <si>
    <t>Otro</t>
  </si>
  <si>
    <t xml:space="preserve">  Terrenos</t>
  </si>
  <si>
    <t xml:space="preserve">  Construcciones</t>
  </si>
  <si>
    <t xml:space="preserve">  Maquinaria y Equipo</t>
  </si>
  <si>
    <t xml:space="preserve">  Equipo de Transporte</t>
  </si>
  <si>
    <t xml:space="preserve">  Equipo de Oficina</t>
  </si>
  <si>
    <t xml:space="preserve">  Muebles y Enseres</t>
  </si>
  <si>
    <t xml:space="preserve">  Otros</t>
  </si>
  <si>
    <t xml:space="preserve">  Depreciación Acumulada</t>
  </si>
  <si>
    <t>Propiedad, planta y equipo Neto</t>
  </si>
  <si>
    <t>Amortización de Diferidos</t>
  </si>
  <si>
    <t>Porción corriente de la deuda de LP</t>
  </si>
  <si>
    <t>Obligaciones Financieras de CP</t>
  </si>
  <si>
    <t>Acreedores comerciales - Proveedores</t>
  </si>
  <si>
    <t>Pasivos Laborales</t>
  </si>
  <si>
    <t>Impuestos por pagar</t>
  </si>
  <si>
    <t>Obligaciones financiera de LP</t>
  </si>
  <si>
    <t>Obligaciones con accionistas</t>
  </si>
  <si>
    <t>Capital pagado</t>
  </si>
  <si>
    <t>Reserva Legal</t>
  </si>
  <si>
    <t>Otras Reservas</t>
  </si>
  <si>
    <t>Utilidades retenidas</t>
  </si>
  <si>
    <t>Utilidades del Periodo</t>
  </si>
  <si>
    <t>Utilidad antes de impuestos</t>
  </si>
  <si>
    <t>Análisis Vertical año 2018</t>
  </si>
  <si>
    <t>Análisis Vertical año 2017</t>
  </si>
  <si>
    <t>Horizontal relativo 2018-2017</t>
  </si>
  <si>
    <t>Otro pasovo por impuesto por diferido</t>
  </si>
  <si>
    <t xml:space="preserve">  Construcciones y edificaciones </t>
  </si>
  <si>
    <t>Otras Reservas adopcion a ncif</t>
  </si>
  <si>
    <t>Horizontal relativo 2019-2018</t>
  </si>
  <si>
    <t>EVA PROYECTADO</t>
  </si>
  <si>
    <t>VA EVA</t>
  </si>
  <si>
    <t>VALOR EMPRESA</t>
  </si>
  <si>
    <t>Deudores Comerciales</t>
  </si>
  <si>
    <t>Inventarios</t>
  </si>
  <si>
    <t>Acreedores Comericales</t>
  </si>
  <si>
    <t>Análisis Vertical año 2020</t>
  </si>
  <si>
    <t xml:space="preserve">Cuentas por cobrar accionistas </t>
  </si>
  <si>
    <t>Horizontal relativo 2020-2019</t>
  </si>
  <si>
    <t>Analisis Vertical año  2019</t>
  </si>
  <si>
    <t>Analisis Vertical año 2019</t>
  </si>
  <si>
    <t>EMPRESA COMERCIAL</t>
  </si>
  <si>
    <t>Estado de Situación Financiera</t>
  </si>
  <si>
    <t>Estado de Resutlados Proyectado</t>
  </si>
  <si>
    <t>PIB Sector</t>
  </si>
  <si>
    <t>IPC</t>
  </si>
  <si>
    <t>IPP</t>
  </si>
  <si>
    <t>ESTADO DE SITUACIÓN FINANCIERA PROYECTADO</t>
  </si>
  <si>
    <t>Otras cuentas por cobrar</t>
  </si>
  <si>
    <t>(+)</t>
  </si>
  <si>
    <t>(-)</t>
  </si>
  <si>
    <t>Impuestos</t>
  </si>
  <si>
    <t xml:space="preserve">Depreciaciones </t>
  </si>
  <si>
    <t>Amortizaciones</t>
  </si>
  <si>
    <t>(=)</t>
  </si>
  <si>
    <t>(+/-)</t>
  </si>
  <si>
    <t>Incremento/Decremento capital de trabajo</t>
  </si>
  <si>
    <t>Incremento/Decremento activos fijos</t>
  </si>
  <si>
    <t>Flujo de caja libre</t>
  </si>
  <si>
    <t>FLUJO DE CAJA PROYECTADO</t>
  </si>
  <si>
    <t>Capital de Trabajo</t>
  </si>
  <si>
    <t>CAPITAL DE TRABAJO</t>
  </si>
  <si>
    <t>Capital de Trabajo neto</t>
  </si>
  <si>
    <t>Capital de trabajo neto operativo</t>
  </si>
  <si>
    <t>Acreedores comerciales</t>
  </si>
  <si>
    <t>Capital de trabajo neto operativo KTNO</t>
  </si>
  <si>
    <t>Variación Capital de trabajo CT</t>
  </si>
  <si>
    <t>Variación del KTNO</t>
  </si>
  <si>
    <t>Inversión en Activos</t>
  </si>
  <si>
    <t>Inversión Activo fijo bruto</t>
  </si>
  <si>
    <t>FCL</t>
  </si>
  <si>
    <t>Flujo de Caja Bruto</t>
  </si>
  <si>
    <t>Costo de Capital</t>
  </si>
  <si>
    <t>Deuda con costo financiero</t>
  </si>
  <si>
    <t>Total Capital Invertido</t>
  </si>
  <si>
    <t>Costo de la Deuda gastos financieros/deuda con costo</t>
  </si>
  <si>
    <t>Costo del Patrimonio</t>
  </si>
  <si>
    <t>Tasa libre de riesgos Rf</t>
  </si>
  <si>
    <t>Rendimiento del mercado RM</t>
  </si>
  <si>
    <t>Beta desapalancado de la industria (comercio al por mayor)</t>
  </si>
  <si>
    <t>Beta apalancado Bo* (1+((D/P)*(1-Tx)))</t>
  </si>
  <si>
    <t>Riesgo País</t>
  </si>
  <si>
    <t>RAZONES DE ACTIVIDAD</t>
  </si>
  <si>
    <t>Fórmulas</t>
  </si>
  <si>
    <t>Periodo de cobro a deudores comerciales - Días</t>
  </si>
  <si>
    <t>(cxc / ventas) *360</t>
  </si>
  <si>
    <t>Rotación de inventario - Días</t>
  </si>
  <si>
    <t>(inventario / costo ventas) * 360</t>
  </si>
  <si>
    <t>Periodo de pago a acreedores comerciales - Días</t>
  </si>
  <si>
    <t>(proveedores/costo de ventas) *360</t>
  </si>
  <si>
    <t>Ciclo Operacional - Días</t>
  </si>
  <si>
    <t>rotacion cartera + rotación inventarios</t>
  </si>
  <si>
    <t>Ciclo de conversión del Efectivo - Días</t>
  </si>
  <si>
    <t>RC + R Invent. - R. Proveedores</t>
  </si>
  <si>
    <t>Gastos financieros</t>
  </si>
  <si>
    <t>Tasa de impuestos</t>
  </si>
  <si>
    <t>KDT</t>
  </si>
  <si>
    <t>KE +Rp</t>
  </si>
  <si>
    <t>CPPC</t>
  </si>
  <si>
    <t>Métodos de Decisión Financiera</t>
  </si>
  <si>
    <t>VPN</t>
  </si>
  <si>
    <t>TIR</t>
  </si>
  <si>
    <t>RBC</t>
  </si>
  <si>
    <t xml:space="preserve">Ke </t>
  </si>
  <si>
    <t>PROMEDIO</t>
  </si>
  <si>
    <t>Tasa de Descuento</t>
  </si>
  <si>
    <t>Año</t>
  </si>
  <si>
    <t>Inversión Inicial</t>
  </si>
  <si>
    <t>Teniendo todos los flujos de caja libre a valor presente por cualquiera de los dos métodos, podemos hallar el valor presente neto VPN:</t>
  </si>
  <si>
    <t>Inversión inicial</t>
  </si>
  <si>
    <t xml:space="preserve">Usando la función financiera VNA, dar clic en Fx y buscar la funciòn de carácter financiero VNA.  Allí se ingresa la tasa de descuento o WACC para el proyecto y los flujos de caja libre </t>
  </si>
  <si>
    <t>de los cinco periodos para nuestro ejemplo. Al final se resta la inversión incial:</t>
  </si>
  <si>
    <r>
      <t xml:space="preserve">VA </t>
    </r>
    <r>
      <rPr>
        <sz val="9"/>
        <color theme="1"/>
        <rFont val="Calibri"/>
        <family val="2"/>
        <scheme val="minor"/>
      </rPr>
      <t>(usando la fórmula)</t>
    </r>
  </si>
  <si>
    <r>
      <t xml:space="preserve">VA </t>
    </r>
    <r>
      <rPr>
        <sz val="9"/>
        <color theme="1"/>
        <rFont val="Calibri"/>
        <family val="2"/>
        <scheme val="minor"/>
      </rPr>
      <t>(con la función financiera)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</si>
  <si>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 xml:space="preserve"> de los flujos de caja libre a VA</t>
    </r>
  </si>
  <si>
    <t>Valor presente neto para la EMPRESA DE COMERCIAL:</t>
  </si>
  <si>
    <t>Para calcular la RBC por este método es necesario hacer el resumen de los ingresos y de los egresos que llevan al resultado</t>
  </si>
  <si>
    <t>del flujo de caja libre:</t>
  </si>
  <si>
    <t>Año 0</t>
  </si>
  <si>
    <t>Año 1</t>
  </si>
  <si>
    <t>Año 2</t>
  </si>
  <si>
    <t>Año 3</t>
  </si>
  <si>
    <t>Año 4</t>
  </si>
  <si>
    <t>Año 5</t>
  </si>
  <si>
    <t>Total Ingresos del proyecto</t>
  </si>
  <si>
    <t>Total egresos proyecto</t>
  </si>
  <si>
    <t>Tasa de descuento</t>
  </si>
  <si>
    <t>Aplicando la fórmula de VPN (Función VNA) :</t>
  </si>
  <si>
    <t>VPN de los Ingresos =</t>
  </si>
  <si>
    <t>VPN de los Egresos + Inversión inicial =</t>
  </si>
  <si>
    <t>Ahora aplicamos la fórmula:</t>
  </si>
  <si>
    <t>=</t>
  </si>
  <si>
    <t>Para determinar la tasa interna de retorno, nos vamos a apoyar en la función de categoría financiera que encontramos como TIR para calcular la tasa promedio de retorno de la inversión:</t>
  </si>
  <si>
    <t>Con los flujos de caja para la EMPRESA DE ABRIGOS:</t>
  </si>
  <si>
    <t>TIR =</t>
  </si>
  <si>
    <t>VA</t>
  </si>
  <si>
    <t>Teniendo los flujos de caja descontados con la tasa de interés o WACC, procedemos a aplicar la fórmula:</t>
  </si>
  <si>
    <t>n =</t>
  </si>
  <si>
    <t>II =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</si>
  <si>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</rPr>
      <t>FC =</t>
    </r>
  </si>
  <si>
    <t>FCr =</t>
  </si>
  <si>
    <t>PRI =</t>
  </si>
  <si>
    <t>+</t>
  </si>
  <si>
    <t>Años</t>
  </si>
  <si>
    <t>(5643-5499)</t>
  </si>
  <si>
    <t>ANALISIS DE SENSIBILIDAD</t>
  </si>
  <si>
    <t>VENTAS</t>
  </si>
  <si>
    <t>COSTOS DE VENTAS</t>
  </si>
  <si>
    <t>GASTOS DE ADMINISTRACION</t>
  </si>
  <si>
    <t>TASA DE DESCUENTO</t>
  </si>
  <si>
    <t>INVERSION INICIAL</t>
  </si>
  <si>
    <t>VPN=0</t>
  </si>
  <si>
    <t>VARIACION VENTAS</t>
  </si>
  <si>
    <t>VARIACION COSTOS DE VENTAS</t>
  </si>
  <si>
    <t>VARIACION GASTOS DE ADMINISTRACION</t>
  </si>
  <si>
    <t>VARIACION TASA DE DESCUENTO</t>
  </si>
  <si>
    <t>VARIACION INVERSION INICIAL</t>
  </si>
  <si>
    <t>VARIACION GASTOS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</si>
</sst>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-* #,##0_-;\-* #,##0_-;_-* &quot;-&quot;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* #,##0_-;\-* #,##0_-;_-* &quot;-&quot;??_-;_-@_-"/>
    <numFmt numFmtId="166" formatCode="0.0"/>
    <numFmt numFmtId="167" formatCode="0.0%"/>
    <numFmt numFmtId="168" formatCode="_-* #,##0.00_-;\-* #,##0.00_-;_-* &quot;-&quot;_-;_-@_-"/>
    <numFmt numFmtId="169" formatCode="_-&quot;$&quot;\ * #,##0.00_-;\-&quot;$&quot;\ * #,##0.00_-;_-&quot;$&quot;\ * &quot;-&quot;_-;_-@_-"/>
    <numFmt numFmtId="170" formatCode="_-&quot;$&quot;* #,##0.000_-;\-&quot;$&quot;* #,##0.000_-;_-&quot;$&quot;* &quot;-&quot;_-;_-@_-"/>
    <numFmt numFmtId="171" formatCode="_-* #,##0.00000_-;\-* #,##0.00000_-;_-* &quot;-&quot;??_-;_-@_-"/>
    <numFmt numFmtId="172" formatCode="_-* #,##0.000000_-;\-* #,##0.000000_-;_-* &quot;-&quot;??_-;_-@_-"/>
    <numFmt numFmtId="173" formatCode="_-* #,##0.00000_-;\-* #,##0.00000_-;_-* &quot;-&quot;?????_-;_-@_-"/>
    <numFmt numFmtId="174" formatCode="_-* #,##0.00000000000_-;\-* #,##0.00000000000_-;_-* &quot;-&quot;??_-;_-@_-"/>
    <numFmt numFmtId="175" formatCode="0.0000%"/>
    <numFmt numFmtId="176" formatCode="_-* #,##0.0_-;\-* #,##0.0_-;_-* &quot;-&quot;_-;_-@_-"/>
    <numFmt numFmtId="177" formatCode="_-* #,##0.0_-;\-* #,##0.0_-;_-* &quot;-&quot;?_-;_-@_-"/>
    <numFmt numFmtId="178" formatCode="0.00000%"/>
    <numFmt numFmtId="179" formatCode="_-* #,##0\ _€_-;\-* #,##0\ _€_-;_-* &quot;-&quot;??\ _€_-;_-@_-"/>
    <numFmt numFmtId="180" formatCode="_-* #,##0.00\ _€_-;\-* #,##0.00\ _€_-;_-* &quot;-&quot;??\ _€_-;_-@_-"/>
    <numFmt numFmtId="181" formatCode="#,##0.00\ &quot;€&quot;;[Red]\-#,##0.00\ &quot;€&quot;"/>
    <numFmt numFmtId="185" formatCode="0E+00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Abadi"/>
      <family val="2"/>
    </font>
    <font>
      <b/>
      <sz val="11"/>
      <color theme="1"/>
      <name val="Abad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  <font>
      <sz val="10"/>
      <color theme="1"/>
      <name val="Abadi"/>
      <family val="2"/>
    </font>
    <font>
      <b/>
      <sz val="10"/>
      <color theme="1"/>
      <name val="Abadi"/>
      <family val="2"/>
    </font>
    <font>
      <i/>
      <sz val="10"/>
      <color theme="1"/>
      <name val="Abadi"/>
      <family val="2"/>
    </font>
    <font>
      <b/>
      <i/>
      <sz val="10"/>
      <color theme="1"/>
      <name val="Abadi"/>
      <family val="2"/>
    </font>
    <font>
      <sz val="8"/>
      <color theme="1"/>
      <name val="Abadi"/>
      <family val="2"/>
    </font>
    <font>
      <b/>
      <sz val="12"/>
      <color theme="1"/>
      <name val="Aldhabi"/>
      <charset val="178"/>
    </font>
    <font>
      <b/>
      <sz val="14"/>
      <color theme="1"/>
      <name val="Aldhabi"/>
      <charset val="178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8"/>
      <name val="Calibri Light"/>
      <family val="2"/>
      <scheme val="major"/>
    </font>
    <font>
      <sz val="8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Symbol"/>
      <family val="1"/>
      <charset val="2"/>
    </font>
    <font>
      <b/>
      <sz val="28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Sitka Small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9" fillId="0" borderId="0"/>
    <xf numFmtId="0" fontId="40" fillId="0" borderId="0"/>
  </cellStyleXfs>
  <cellXfs count="332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2" fillId="0" borderId="1" xfId="0" applyFont="1" applyBorder="1"/>
    <xf numFmtId="9" fontId="4" fillId="0" borderId="0" xfId="2" applyFont="1" applyBorder="1" applyAlignment="1">
      <alignment horizontal="center"/>
    </xf>
    <xf numFmtId="41" fontId="0" fillId="0" borderId="0" xfId="3" applyFont="1"/>
    <xf numFmtId="0" fontId="0" fillId="0" borderId="0" xfId="0" applyBorder="1"/>
    <xf numFmtId="0" fontId="0" fillId="0" borderId="0" xfId="0" applyFill="1" applyBorder="1"/>
    <xf numFmtId="165" fontId="0" fillId="0" borderId="1" xfId="1" applyNumberFormat="1" applyFont="1" applyFill="1" applyBorder="1"/>
    <xf numFmtId="41" fontId="0" fillId="0" borderId="1" xfId="3" applyFont="1" applyBorder="1"/>
    <xf numFmtId="165" fontId="0" fillId="0" borderId="1" xfId="2" applyNumberFormat="1" applyFont="1" applyFill="1" applyBorder="1"/>
    <xf numFmtId="0" fontId="0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9" fontId="0" fillId="0" borderId="1" xfId="2" applyFont="1" applyFill="1" applyBorder="1"/>
    <xf numFmtId="9" fontId="0" fillId="0" borderId="1" xfId="2" applyFont="1" applyBorder="1"/>
    <xf numFmtId="10" fontId="0" fillId="0" borderId="0" xfId="2" applyNumberFormat="1" applyFont="1"/>
    <xf numFmtId="10" fontId="0" fillId="0" borderId="1" xfId="2" applyNumberFormat="1" applyFont="1" applyFill="1" applyBorder="1"/>
    <xf numFmtId="0" fontId="10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0" fontId="7" fillId="6" borderId="1" xfId="2" applyNumberFormat="1" applyFont="1" applyFill="1" applyBorder="1" applyAlignment="1">
      <alignment horizontal="center" wrapText="1"/>
    </xf>
    <xf numFmtId="9" fontId="4" fillId="2" borderId="1" xfId="2" applyFont="1" applyFill="1" applyBorder="1"/>
    <xf numFmtId="10" fontId="4" fillId="2" borderId="1" xfId="2" applyNumberFormat="1" applyFont="1" applyFill="1" applyBorder="1"/>
    <xf numFmtId="167" fontId="0" fillId="0" borderId="1" xfId="2" applyNumberFormat="1" applyFon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3" fontId="0" fillId="0" borderId="0" xfId="0" applyNumberFormat="1"/>
    <xf numFmtId="10" fontId="12" fillId="0" borderId="1" xfId="2" applyNumberFormat="1" applyFont="1" applyFill="1" applyBorder="1" applyAlignment="1">
      <alignment horizontal="center" wrapText="1"/>
    </xf>
    <xf numFmtId="9" fontId="4" fillId="2" borderId="1" xfId="2" applyNumberFormat="1" applyFont="1" applyFill="1" applyBorder="1" applyAlignment="1">
      <alignment horizontal="center"/>
    </xf>
    <xf numFmtId="0" fontId="9" fillId="2" borderId="1" xfId="0" applyFont="1" applyFill="1" applyBorder="1"/>
    <xf numFmtId="9" fontId="1" fillId="2" borderId="1" xfId="2" applyFont="1" applyFill="1" applyBorder="1"/>
    <xf numFmtId="10" fontId="0" fillId="2" borderId="1" xfId="2" applyNumberFormat="1" applyFont="1" applyFill="1" applyBorder="1"/>
    <xf numFmtId="0" fontId="0" fillId="2" borderId="1" xfId="0" applyFill="1" applyBorder="1"/>
    <xf numFmtId="0" fontId="0" fillId="0" borderId="9" xfId="0" applyFill="1" applyBorder="1"/>
    <xf numFmtId="0" fontId="2" fillId="0" borderId="1" xfId="0" applyFont="1" applyFill="1" applyBorder="1"/>
    <xf numFmtId="0" fontId="5" fillId="0" borderId="1" xfId="0" applyFont="1" applyFill="1" applyBorder="1"/>
    <xf numFmtId="0" fontId="3" fillId="0" borderId="1" xfId="0" applyFont="1" applyFill="1" applyBorder="1"/>
    <xf numFmtId="0" fontId="16" fillId="0" borderId="1" xfId="0" applyFont="1" applyFill="1" applyBorder="1"/>
    <xf numFmtId="0" fontId="11" fillId="0" borderId="1" xfId="0" applyFont="1" applyFill="1" applyBorder="1"/>
    <xf numFmtId="0" fontId="6" fillId="0" borderId="1" xfId="0" applyFont="1" applyFill="1" applyBorder="1"/>
    <xf numFmtId="0" fontId="12" fillId="6" borderId="1" xfId="0" applyFont="1" applyFill="1" applyBorder="1" applyAlignment="1">
      <alignment horizontal="center" vertical="center" wrapText="1"/>
    </xf>
    <xf numFmtId="0" fontId="0" fillId="0" borderId="0" xfId="0" applyFont="1"/>
    <xf numFmtId="17" fontId="2" fillId="0" borderId="1" xfId="0" applyNumberFormat="1" applyFont="1" applyBorder="1" applyAlignment="1">
      <alignment horizontal="center" vertical="center"/>
    </xf>
    <xf numFmtId="9" fontId="0" fillId="3" borderId="1" xfId="2" applyFont="1" applyFill="1" applyBorder="1"/>
    <xf numFmtId="0" fontId="17" fillId="0" borderId="1" xfId="0" applyFont="1" applyBorder="1"/>
    <xf numFmtId="0" fontId="17" fillId="0" borderId="0" xfId="0" applyFont="1"/>
    <xf numFmtId="0" fontId="17" fillId="0" borderId="0" xfId="0" applyFont="1" applyBorder="1"/>
    <xf numFmtId="0" fontId="18" fillId="0" borderId="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" xfId="0" applyFont="1" applyBorder="1"/>
    <xf numFmtId="165" fontId="17" fillId="0" borderId="1" xfId="1" applyNumberFormat="1" applyFont="1" applyBorder="1"/>
    <xf numFmtId="165" fontId="18" fillId="0" borderId="1" xfId="1" applyNumberFormat="1" applyFont="1" applyBorder="1"/>
    <xf numFmtId="165" fontId="17" fillId="0" borderId="0" xfId="1" applyNumberFormat="1" applyFont="1"/>
    <xf numFmtId="0" fontId="17" fillId="0" borderId="1" xfId="0" applyFont="1" applyFill="1" applyBorder="1"/>
    <xf numFmtId="41" fontId="17" fillId="0" borderId="1" xfId="3" applyFont="1" applyBorder="1"/>
    <xf numFmtId="0" fontId="19" fillId="0" borderId="1" xfId="0" applyFont="1" applyBorder="1"/>
    <xf numFmtId="165" fontId="17" fillId="0" borderId="0" xfId="0" applyNumberFormat="1" applyFont="1" applyFill="1" applyBorder="1"/>
    <xf numFmtId="0" fontId="20" fillId="0" borderId="1" xfId="0" applyFont="1" applyBorder="1"/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65" fontId="17" fillId="0" borderId="9" xfId="1" applyNumberFormat="1" applyFont="1" applyBorder="1"/>
    <xf numFmtId="171" fontId="17" fillId="0" borderId="0" xfId="1" applyNumberFormat="1" applyFont="1"/>
    <xf numFmtId="172" fontId="17" fillId="0" borderId="0" xfId="1" applyNumberFormat="1" applyFont="1"/>
    <xf numFmtId="173" fontId="17" fillId="0" borderId="0" xfId="0" applyNumberFormat="1" applyFont="1"/>
    <xf numFmtId="174" fontId="17" fillId="0" borderId="0" xfId="1" applyNumberFormat="1" applyFont="1"/>
    <xf numFmtId="17" fontId="18" fillId="0" borderId="1" xfId="0" applyNumberFormat="1" applyFont="1" applyBorder="1"/>
    <xf numFmtId="41" fontId="18" fillId="0" borderId="1" xfId="3" applyFont="1" applyBorder="1"/>
    <xf numFmtId="174" fontId="21" fillId="0" borderId="0" xfId="1" applyNumberFormat="1" applyFont="1"/>
    <xf numFmtId="0" fontId="7" fillId="5" borderId="2" xfId="0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 vertical="center"/>
    </xf>
    <xf numFmtId="0" fontId="25" fillId="4" borderId="0" xfId="0" applyFont="1" applyFill="1" applyBorder="1"/>
    <xf numFmtId="0" fontId="24" fillId="4" borderId="0" xfId="0" applyFont="1" applyFill="1" applyBorder="1"/>
    <xf numFmtId="41" fontId="25" fillId="4" borderId="0" xfId="3" applyFont="1" applyFill="1" applyBorder="1"/>
    <xf numFmtId="0" fontId="29" fillId="4" borderId="0" xfId="0" applyFont="1" applyFill="1" applyBorder="1"/>
    <xf numFmtId="0" fontId="26" fillId="4" borderId="0" xfId="0" applyFont="1" applyFill="1" applyBorder="1" applyAlignment="1">
      <alignment horizontal="center" vertical="center" wrapText="1"/>
    </xf>
    <xf numFmtId="164" fontId="25" fillId="4" borderId="0" xfId="4" applyFont="1" applyFill="1" applyBorder="1"/>
    <xf numFmtId="164" fontId="25" fillId="4" borderId="0" xfId="4" applyFont="1" applyFill="1" applyBorder="1" applyAlignment="1">
      <alignment horizontal="center"/>
    </xf>
    <xf numFmtId="164" fontId="24" fillId="4" borderId="0" xfId="4" applyFont="1" applyFill="1" applyBorder="1"/>
    <xf numFmtId="164" fontId="28" fillId="4" borderId="0" xfId="4" applyFont="1" applyFill="1" applyBorder="1"/>
    <xf numFmtId="0" fontId="25" fillId="4" borderId="0" xfId="0" applyFont="1" applyFill="1" applyBorder="1" applyAlignment="1">
      <alignment horizontal="center"/>
    </xf>
    <xf numFmtId="10" fontId="25" fillId="4" borderId="0" xfId="2" applyNumberFormat="1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5" fillId="4" borderId="0" xfId="0" applyFont="1" applyFill="1" applyBorder="1" applyAlignment="1">
      <alignment wrapText="1"/>
    </xf>
    <xf numFmtId="170" fontId="25" fillId="4" borderId="0" xfId="4" applyNumberFormat="1" applyFont="1" applyFill="1" applyBorder="1"/>
    <xf numFmtId="0" fontId="24" fillId="4" borderId="0" xfId="0" applyFont="1" applyFill="1" applyBorder="1" applyAlignment="1">
      <alignment wrapText="1"/>
    </xf>
    <xf numFmtId="169" fontId="25" fillId="4" borderId="0" xfId="4" applyNumberFormat="1" applyFont="1" applyFill="1" applyBorder="1"/>
    <xf numFmtId="0" fontId="28" fillId="4" borderId="0" xfId="0" applyFont="1" applyFill="1" applyBorder="1" applyAlignment="1">
      <alignment wrapText="1"/>
    </xf>
    <xf numFmtId="0" fontId="7" fillId="5" borderId="10" xfId="0" applyFont="1" applyFill="1" applyBorder="1" applyAlignment="1">
      <alignment horizontal="center" vertical="center"/>
    </xf>
    <xf numFmtId="0" fontId="4" fillId="0" borderId="10" xfId="0" applyFont="1" applyBorder="1"/>
    <xf numFmtId="0" fontId="0" fillId="0" borderId="10" xfId="0" applyBorder="1"/>
    <xf numFmtId="0" fontId="0" fillId="0" borderId="10" xfId="0" applyFill="1" applyBorder="1"/>
    <xf numFmtId="10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41" fontId="0" fillId="0" borderId="1" xfId="0" applyNumberFormat="1" applyBorder="1"/>
    <xf numFmtId="175" fontId="4" fillId="2" borderId="1" xfId="2" applyNumberFormat="1" applyFont="1" applyFill="1" applyBorder="1"/>
    <xf numFmtId="1" fontId="0" fillId="0" borderId="1" xfId="2" applyNumberFormat="1" applyFont="1" applyBorder="1"/>
    <xf numFmtId="10" fontId="0" fillId="3" borderId="1" xfId="2" applyNumberFormat="1" applyFont="1" applyFill="1" applyBorder="1"/>
    <xf numFmtId="41" fontId="30" fillId="4" borderId="1" xfId="3" applyFont="1" applyFill="1" applyBorder="1"/>
    <xf numFmtId="0" fontId="30" fillId="0" borderId="0" xfId="0" applyFont="1"/>
    <xf numFmtId="1" fontId="2" fillId="0" borderId="1" xfId="0" applyNumberFormat="1" applyFont="1" applyBorder="1" applyAlignment="1">
      <alignment horizontal="center" vertical="center"/>
    </xf>
    <xf numFmtId="41" fontId="31" fillId="4" borderId="1" xfId="3" applyFont="1" applyFill="1" applyBorder="1"/>
    <xf numFmtId="168" fontId="0" fillId="0" borderId="0" xfId="3" applyNumberFormat="1" applyFont="1"/>
    <xf numFmtId="165" fontId="2" fillId="0" borderId="1" xfId="1" applyNumberFormat="1" applyFont="1" applyFill="1" applyBorder="1"/>
    <xf numFmtId="10" fontId="2" fillId="2" borderId="1" xfId="2" applyNumberFormat="1" applyFont="1" applyFill="1" applyBorder="1"/>
    <xf numFmtId="9" fontId="2" fillId="0" borderId="1" xfId="2" applyFont="1" applyFill="1" applyBorder="1"/>
    <xf numFmtId="41" fontId="31" fillId="4" borderId="1" xfId="3" applyFont="1" applyFill="1" applyBorder="1" applyAlignment="1">
      <alignment horizontal="center"/>
    </xf>
    <xf numFmtId="0" fontId="30" fillId="4" borderId="0" xfId="0" applyFont="1" applyFill="1" applyBorder="1"/>
    <xf numFmtId="41" fontId="30" fillId="4" borderId="0" xfId="0" applyNumberFormat="1" applyFont="1" applyFill="1" applyBorder="1"/>
    <xf numFmtId="9" fontId="0" fillId="0" borderId="1" xfId="0" applyNumberFormat="1" applyBorder="1"/>
    <xf numFmtId="0" fontId="0" fillId="0" borderId="11" xfId="0" applyBorder="1"/>
    <xf numFmtId="10" fontId="0" fillId="0" borderId="0" xfId="2" applyNumberFormat="1" applyFont="1" applyFill="1"/>
    <xf numFmtId="0" fontId="35" fillId="0" borderId="1" xfId="0" applyFont="1" applyBorder="1"/>
    <xf numFmtId="0" fontId="36" fillId="0" borderId="1" xfId="0" applyFont="1" applyBorder="1"/>
    <xf numFmtId="176" fontId="0" fillId="0" borderId="1" xfId="3" applyNumberFormat="1" applyFont="1" applyBorder="1"/>
    <xf numFmtId="177" fontId="0" fillId="0" borderId="1" xfId="0" applyNumberFormat="1" applyBorder="1"/>
    <xf numFmtId="0" fontId="2" fillId="0" borderId="0" xfId="0" applyFont="1"/>
    <xf numFmtId="165" fontId="2" fillId="0" borderId="1" xfId="0" applyNumberFormat="1" applyFont="1" applyBorder="1"/>
    <xf numFmtId="0" fontId="0" fillId="0" borderId="1" xfId="0" applyFont="1" applyFill="1" applyBorder="1"/>
    <xf numFmtId="165" fontId="0" fillId="0" borderId="1" xfId="0" applyNumberFormat="1" applyFont="1" applyBorder="1"/>
    <xf numFmtId="41" fontId="0" fillId="0" borderId="1" xfId="0" applyNumberFormat="1" applyFont="1" applyBorder="1"/>
    <xf numFmtId="0" fontId="0" fillId="0" borderId="13" xfId="0" applyBorder="1"/>
    <xf numFmtId="165" fontId="0" fillId="0" borderId="13" xfId="0" applyNumberFormat="1" applyBorder="1"/>
    <xf numFmtId="0" fontId="2" fillId="0" borderId="9" xfId="0" applyFont="1" applyBorder="1"/>
    <xf numFmtId="165" fontId="2" fillId="0" borderId="9" xfId="0" applyNumberFormat="1" applyFont="1" applyBorder="1"/>
    <xf numFmtId="0" fontId="2" fillId="0" borderId="0" xfId="0" applyFont="1" applyAlignment="1">
      <alignment horizontal="right"/>
    </xf>
    <xf numFmtId="0" fontId="2" fillId="0" borderId="1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/>
    <xf numFmtId="2" fontId="38" fillId="0" borderId="1" xfId="0" applyNumberFormat="1" applyFont="1" applyBorder="1"/>
    <xf numFmtId="167" fontId="0" fillId="0" borderId="0" xfId="2" applyNumberFormat="1" applyFont="1"/>
    <xf numFmtId="10" fontId="4" fillId="2" borderId="1" xfId="2" applyNumberFormat="1" applyFont="1" applyFill="1" applyBorder="1" applyAlignment="1">
      <alignment horizontal="center"/>
    </xf>
    <xf numFmtId="0" fontId="9" fillId="0" borderId="0" xfId="0" applyFont="1"/>
    <xf numFmtId="41" fontId="2" fillId="0" borderId="1" xfId="3" applyFont="1" applyBorder="1"/>
    <xf numFmtId="41" fontId="30" fillId="0" borderId="1" xfId="3" applyFont="1" applyBorder="1"/>
    <xf numFmtId="41" fontId="32" fillId="4" borderId="1" xfId="3" applyFont="1" applyFill="1" applyBorder="1" applyAlignment="1">
      <alignment horizontal="center" vertical="center"/>
    </xf>
    <xf numFmtId="41" fontId="33" fillId="4" borderId="1" xfId="3" applyFont="1" applyFill="1" applyBorder="1"/>
    <xf numFmtId="41" fontId="34" fillId="4" borderId="1" xfId="3" applyFont="1" applyFill="1" applyBorder="1"/>
    <xf numFmtId="41" fontId="31" fillId="0" borderId="1" xfId="3" applyFont="1" applyFill="1" applyBorder="1"/>
    <xf numFmtId="41" fontId="31" fillId="4" borderId="1" xfId="3" applyFont="1" applyFill="1" applyBorder="1" applyAlignment="1">
      <alignment wrapText="1"/>
    </xf>
    <xf numFmtId="41" fontId="31" fillId="4" borderId="1" xfId="3" applyFont="1" applyFill="1" applyBorder="1" applyAlignment="1">
      <alignment horizontal="center" vertical="center"/>
    </xf>
    <xf numFmtId="41" fontId="30" fillId="4" borderId="1" xfId="3" applyFont="1" applyFill="1" applyBorder="1" applyAlignment="1">
      <alignment wrapText="1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166" fontId="0" fillId="4" borderId="0" xfId="0" applyNumberFormat="1" applyFill="1" applyBorder="1"/>
    <xf numFmtId="2" fontId="0" fillId="4" borderId="0" xfId="0" applyNumberFormat="1" applyFill="1" applyBorder="1"/>
    <xf numFmtId="0" fontId="2" fillId="5" borderId="0" xfId="0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41" fontId="0" fillId="0" borderId="1" xfId="0" applyNumberFormat="1" applyBorder="1" applyAlignment="1">
      <alignment horizontal="right"/>
    </xf>
    <xf numFmtId="41" fontId="0" fillId="0" borderId="1" xfId="3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0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0" fontId="0" fillId="0" borderId="1" xfId="2" applyNumberFormat="1" applyFont="1" applyBorder="1" applyAlignment="1">
      <alignment horizontal="right"/>
    </xf>
    <xf numFmtId="10" fontId="0" fillId="3" borderId="1" xfId="2" applyNumberFormat="1" applyFont="1" applyFill="1" applyBorder="1" applyAlignment="1">
      <alignment horizontal="right"/>
    </xf>
    <xf numFmtId="0" fontId="2" fillId="8" borderId="1" xfId="0" applyFont="1" applyFill="1" applyBorder="1"/>
    <xf numFmtId="178" fontId="0" fillId="0" borderId="1" xfId="2" applyNumberFormat="1" applyFont="1" applyBorder="1" applyAlignment="1">
      <alignment horizontal="right"/>
    </xf>
    <xf numFmtId="0" fontId="0" fillId="4" borderId="1" xfId="0" applyFill="1" applyBorder="1"/>
    <xf numFmtId="165" fontId="0" fillId="4" borderId="1" xfId="1" applyNumberFormat="1" applyFont="1" applyFill="1" applyBorder="1"/>
    <xf numFmtId="10" fontId="0" fillId="4" borderId="1" xfId="2" applyNumberFormat="1" applyFont="1" applyFill="1" applyBorder="1"/>
    <xf numFmtId="9" fontId="0" fillId="4" borderId="1" xfId="2" applyFont="1" applyFill="1" applyBorder="1"/>
    <xf numFmtId="9" fontId="1" fillId="4" borderId="1" xfId="2" applyFont="1" applyFill="1" applyBorder="1"/>
    <xf numFmtId="10" fontId="0" fillId="4" borderId="0" xfId="2" applyNumberFormat="1" applyFont="1" applyFill="1"/>
    <xf numFmtId="0" fontId="0" fillId="4" borderId="0" xfId="0" applyFill="1"/>
    <xf numFmtId="0" fontId="0" fillId="7" borderId="1" xfId="0" applyFill="1" applyBorder="1"/>
    <xf numFmtId="10" fontId="0" fillId="7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2" fontId="0" fillId="4" borderId="1" xfId="0" applyNumberFormat="1" applyFill="1" applyBorder="1"/>
    <xf numFmtId="10" fontId="0" fillId="9" borderId="1" xfId="0" applyNumberFormat="1" applyFill="1" applyBorder="1"/>
    <xf numFmtId="165" fontId="0" fillId="4" borderId="0" xfId="0" applyNumberFormat="1" applyFill="1" applyBorder="1"/>
    <xf numFmtId="0" fontId="2" fillId="0" borderId="10" xfId="0" applyFont="1" applyBorder="1" applyAlignment="1">
      <alignment horizontal="center" vertical="center"/>
    </xf>
    <xf numFmtId="41" fontId="0" fillId="0" borderId="10" xfId="3" applyFont="1" applyBorder="1"/>
    <xf numFmtId="176" fontId="0" fillId="0" borderId="10" xfId="3" applyNumberFormat="1" applyFont="1" applyBorder="1"/>
    <xf numFmtId="1" fontId="0" fillId="0" borderId="10" xfId="0" applyNumberFormat="1" applyBorder="1"/>
    <xf numFmtId="177" fontId="0" fillId="0" borderId="10" xfId="0" applyNumberFormat="1" applyBorder="1"/>
    <xf numFmtId="165" fontId="0" fillId="0" borderId="10" xfId="0" applyNumberFormat="1" applyBorder="1"/>
    <xf numFmtId="165" fontId="2" fillId="0" borderId="10" xfId="0" applyNumberFormat="1" applyFont="1" applyBorder="1"/>
    <xf numFmtId="0" fontId="37" fillId="0" borderId="11" xfId="0" applyFont="1" applyBorder="1"/>
    <xf numFmtId="0" fontId="38" fillId="0" borderId="11" xfId="0" applyFont="1" applyBorder="1" applyAlignment="1">
      <alignment horizontal="left" vertical="center"/>
    </xf>
    <xf numFmtId="0" fontId="0" fillId="0" borderId="2" xfId="0" applyBorder="1"/>
    <xf numFmtId="0" fontId="35" fillId="0" borderId="7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41" fontId="30" fillId="0" borderId="0" xfId="3" applyFont="1" applyBorder="1"/>
    <xf numFmtId="41" fontId="30" fillId="4" borderId="0" xfId="3" applyFont="1" applyFill="1" applyBorder="1"/>
    <xf numFmtId="41" fontId="31" fillId="4" borderId="0" xfId="3" applyFont="1" applyFill="1" applyBorder="1"/>
    <xf numFmtId="41" fontId="31" fillId="0" borderId="0" xfId="3" applyFont="1" applyFill="1" applyBorder="1"/>
    <xf numFmtId="41" fontId="30" fillId="4" borderId="0" xfId="3" applyFont="1" applyFill="1" applyBorder="1" applyAlignment="1">
      <alignment wrapText="1"/>
    </xf>
    <xf numFmtId="41" fontId="31" fillId="4" borderId="0" xfId="3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9" fontId="0" fillId="0" borderId="0" xfId="0" applyNumberFormat="1"/>
    <xf numFmtId="0" fontId="18" fillId="0" borderId="0" xfId="0" applyFont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23" fillId="0" borderId="6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1" fontId="2" fillId="5" borderId="5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0" fontId="41" fillId="0" borderId="0" xfId="0" applyFont="1" applyFill="1" applyBorder="1"/>
    <xf numFmtId="166" fontId="0" fillId="0" borderId="0" xfId="0" applyNumberFormat="1"/>
    <xf numFmtId="0" fontId="0" fillId="11" borderId="0" xfId="0" applyFill="1"/>
    <xf numFmtId="0" fontId="41" fillId="11" borderId="0" xfId="0" applyFont="1" applyFill="1" applyBorder="1"/>
    <xf numFmtId="0" fontId="42" fillId="11" borderId="0" xfId="0" applyFont="1" applyFill="1" applyBorder="1" applyAlignment="1">
      <alignment horizontal="center"/>
    </xf>
    <xf numFmtId="0" fontId="46" fillId="11" borderId="1" xfId="0" applyFont="1" applyFill="1" applyBorder="1"/>
    <xf numFmtId="0" fontId="42" fillId="11" borderId="1" xfId="0" applyFont="1" applyFill="1" applyBorder="1"/>
    <xf numFmtId="179" fontId="42" fillId="11" borderId="1" xfId="0" applyNumberFormat="1" applyFont="1" applyFill="1" applyBorder="1"/>
    <xf numFmtId="179" fontId="47" fillId="11" borderId="1" xfId="0" applyNumberFormat="1" applyFont="1" applyFill="1" applyBorder="1"/>
    <xf numFmtId="179" fontId="0" fillId="11" borderId="1" xfId="0" applyNumberFormat="1" applyFont="1" applyFill="1" applyBorder="1"/>
    <xf numFmtId="0" fontId="43" fillId="11" borderId="0" xfId="0" applyFont="1" applyFill="1" applyBorder="1"/>
    <xf numFmtId="9" fontId="41" fillId="11" borderId="0" xfId="0" applyNumberFormat="1" applyFont="1" applyFill="1" applyBorder="1"/>
    <xf numFmtId="0" fontId="41" fillId="11" borderId="0" xfId="0" applyFont="1" applyFill="1" applyBorder="1" applyAlignment="1">
      <alignment horizontal="right"/>
    </xf>
    <xf numFmtId="181" fontId="41" fillId="11" borderId="0" xfId="1" applyNumberFormat="1" applyFont="1" applyFill="1" applyBorder="1"/>
    <xf numFmtId="180" fontId="41" fillId="11" borderId="0" xfId="1" applyNumberFormat="1" applyFont="1" applyFill="1" applyBorder="1"/>
    <xf numFmtId="180" fontId="41" fillId="11" borderId="0" xfId="0" applyNumberFormat="1" applyFont="1" applyFill="1" applyBorder="1"/>
    <xf numFmtId="180" fontId="41" fillId="11" borderId="4" xfId="0" applyNumberFormat="1" applyFont="1" applyFill="1" applyBorder="1"/>
    <xf numFmtId="0" fontId="48" fillId="11" borderId="0" xfId="0" applyFont="1" applyFill="1" applyBorder="1" applyAlignment="1">
      <alignment horizontal="center" vertical="center"/>
    </xf>
    <xf numFmtId="0" fontId="0" fillId="2" borderId="0" xfId="0" applyFill="1"/>
    <xf numFmtId="0" fontId="45" fillId="2" borderId="0" xfId="0" applyFont="1" applyFill="1"/>
    <xf numFmtId="9" fontId="0" fillId="2" borderId="0" xfId="2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79" fontId="0" fillId="2" borderId="1" xfId="1" applyNumberFormat="1" applyFont="1" applyFill="1" applyBorder="1"/>
    <xf numFmtId="179" fontId="0" fillId="2" borderId="0" xfId="1" applyNumberFormat="1" applyFont="1" applyFill="1" applyBorder="1"/>
    <xf numFmtId="0" fontId="0" fillId="2" borderId="0" xfId="0" applyFont="1" applyFill="1"/>
    <xf numFmtId="180" fontId="0" fillId="2" borderId="0" xfId="1" applyNumberFormat="1" applyFont="1" applyFill="1"/>
    <xf numFmtId="181" fontId="0" fillId="2" borderId="0" xfId="1" applyNumberFormat="1" applyFont="1" applyFill="1"/>
    <xf numFmtId="43" fontId="0" fillId="2" borderId="0" xfId="1" applyFont="1" applyFill="1"/>
    <xf numFmtId="181" fontId="0" fillId="2" borderId="0" xfId="0" applyNumberFormat="1" applyFill="1"/>
    <xf numFmtId="0" fontId="0" fillId="2" borderId="10" xfId="0" applyFill="1" applyBorder="1"/>
    <xf numFmtId="0" fontId="0" fillId="2" borderId="2" xfId="0" applyFill="1" applyBorder="1"/>
    <xf numFmtId="180" fontId="0" fillId="2" borderId="1" xfId="0" applyNumberFormat="1" applyFill="1" applyBorder="1"/>
    <xf numFmtId="0" fontId="41" fillId="2" borderId="10" xfId="0" applyFont="1" applyFill="1" applyBorder="1"/>
    <xf numFmtId="180" fontId="0" fillId="2" borderId="0" xfId="0" applyNumberFormat="1" applyFill="1"/>
    <xf numFmtId="0" fontId="2" fillId="2" borderId="10" xfId="0" applyFont="1" applyFill="1" applyBorder="1"/>
    <xf numFmtId="0" fontId="2" fillId="2" borderId="11" xfId="0" applyFont="1" applyFill="1" applyBorder="1"/>
    <xf numFmtId="180" fontId="2" fillId="2" borderId="1" xfId="0" applyNumberFormat="1" applyFont="1" applyFill="1" applyBorder="1"/>
    <xf numFmtId="0" fontId="2" fillId="10" borderId="10" xfId="0" applyFont="1" applyFill="1" applyBorder="1"/>
    <xf numFmtId="0" fontId="0" fillId="10" borderId="11" xfId="0" applyFill="1" applyBorder="1"/>
    <xf numFmtId="43" fontId="2" fillId="10" borderId="1" xfId="1" applyFont="1" applyFill="1" applyBorder="1"/>
    <xf numFmtId="166" fontId="41" fillId="12" borderId="15" xfId="0" applyNumberFormat="1" applyFont="1" applyFill="1" applyBorder="1" applyAlignment="1">
      <alignment horizontal="center" vertical="center"/>
    </xf>
    <xf numFmtId="166" fontId="41" fillId="12" borderId="7" xfId="0" applyNumberFormat="1" applyFont="1" applyFill="1" applyBorder="1" applyAlignment="1">
      <alignment horizontal="center" vertical="center"/>
    </xf>
    <xf numFmtId="166" fontId="41" fillId="12" borderId="3" xfId="0" applyNumberFormat="1" applyFont="1" applyFill="1" applyBorder="1" applyAlignment="1">
      <alignment horizontal="center" vertical="center"/>
    </xf>
    <xf numFmtId="166" fontId="41" fillId="12" borderId="14" xfId="0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13" borderId="0" xfId="0" applyFill="1"/>
    <xf numFmtId="9" fontId="0" fillId="13" borderId="0" xfId="2" applyFont="1" applyFill="1"/>
    <xf numFmtId="0" fontId="2" fillId="13" borderId="0" xfId="0" applyFont="1" applyFill="1" applyAlignment="1">
      <alignment horizontal="center"/>
    </xf>
    <xf numFmtId="0" fontId="0" fillId="13" borderId="1" xfId="0" applyFill="1" applyBorder="1"/>
    <xf numFmtId="0" fontId="2" fillId="13" borderId="1" xfId="0" applyFont="1" applyFill="1" applyBorder="1" applyAlignment="1">
      <alignment horizontal="center"/>
    </xf>
    <xf numFmtId="179" fontId="0" fillId="13" borderId="1" xfId="1" applyNumberFormat="1" applyFon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0" fillId="0" borderId="0" xfId="0" applyBorder="1" applyAlignment="1">
      <alignment horizontal="center"/>
    </xf>
    <xf numFmtId="0" fontId="0" fillId="14" borderId="0" xfId="0" applyFill="1"/>
    <xf numFmtId="9" fontId="0" fillId="14" borderId="0" xfId="2" applyFont="1" applyFill="1"/>
    <xf numFmtId="0" fontId="2" fillId="14" borderId="0" xfId="0" applyFont="1" applyFill="1" applyAlignment="1">
      <alignment horizontal="center"/>
    </xf>
    <xf numFmtId="0" fontId="0" fillId="14" borderId="1" xfId="0" applyFill="1" applyBorder="1"/>
    <xf numFmtId="0" fontId="2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79" fontId="0" fillId="14" borderId="1" xfId="1" applyNumberFormat="1" applyFont="1" applyFill="1" applyBorder="1"/>
    <xf numFmtId="41" fontId="0" fillId="14" borderId="1" xfId="0" applyNumberFormat="1" applyFill="1" applyBorder="1"/>
    <xf numFmtId="0" fontId="2" fillId="14" borderId="0" xfId="0" applyFont="1" applyFill="1"/>
    <xf numFmtId="179" fontId="2" fillId="14" borderId="0" xfId="0" applyNumberFormat="1" applyFont="1" applyFill="1"/>
    <xf numFmtId="43" fontId="2" fillId="14" borderId="0" xfId="1" applyFont="1" applyFill="1"/>
    <xf numFmtId="0" fontId="50" fillId="14" borderId="0" xfId="0" applyFont="1" applyFill="1"/>
    <xf numFmtId="0" fontId="0" fillId="14" borderId="0" xfId="0" applyFill="1" applyAlignment="1">
      <alignment horizontal="right" vertical="center"/>
    </xf>
    <xf numFmtId="0" fontId="0" fillId="14" borderId="0" xfId="0" applyFill="1" applyAlignment="1"/>
    <xf numFmtId="0" fontId="0" fillId="14" borderId="0" xfId="0" applyFill="1" applyAlignment="1">
      <alignment horizontal="right"/>
    </xf>
    <xf numFmtId="179" fontId="0" fillId="14" borderId="0" xfId="0" applyNumberFormat="1" applyFill="1" applyAlignment="1"/>
    <xf numFmtId="0" fontId="41" fillId="14" borderId="0" xfId="0" applyFont="1" applyFill="1" applyAlignment="1">
      <alignment horizontal="right"/>
    </xf>
    <xf numFmtId="0" fontId="2" fillId="14" borderId="0" xfId="0" applyFont="1" applyFill="1" applyAlignment="1">
      <alignment horizontal="right" vertical="center"/>
    </xf>
    <xf numFmtId="0" fontId="0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49" fillId="14" borderId="4" xfId="0" applyFont="1" applyFill="1" applyBorder="1" applyAlignment="1">
      <alignment vertical="center"/>
    </xf>
    <xf numFmtId="0" fontId="2" fillId="14" borderId="0" xfId="0" applyFont="1" applyFill="1" applyAlignment="1">
      <alignment vertical="center"/>
    </xf>
    <xf numFmtId="3" fontId="2" fillId="14" borderId="0" xfId="0" applyNumberFormat="1" applyFont="1" applyFill="1" applyAlignment="1">
      <alignment horizontal="center" vertical="center"/>
    </xf>
    <xf numFmtId="0" fontId="0" fillId="14" borderId="0" xfId="0" applyFont="1" applyFill="1"/>
    <xf numFmtId="180" fontId="0" fillId="14" borderId="0" xfId="0" applyNumberFormat="1" applyFill="1" applyAlignment="1">
      <alignment horizontal="center" vertical="center"/>
    </xf>
    <xf numFmtId="180" fontId="0" fillId="10" borderId="0" xfId="0" applyNumberFormat="1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right" vertical="center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164" fontId="2" fillId="4" borderId="0" xfId="4" applyFont="1" applyFill="1" applyBorder="1" applyAlignment="1">
      <alignment horizontal="center"/>
    </xf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170" fontId="0" fillId="4" borderId="0" xfId="4" applyNumberFormat="1" applyFont="1" applyFill="1" applyBorder="1"/>
    <xf numFmtId="41" fontId="0" fillId="4" borderId="0" xfId="3" applyFont="1" applyFill="1" applyBorder="1"/>
    <xf numFmtId="0" fontId="0" fillId="4" borderId="0" xfId="0" applyFont="1" applyFill="1" applyBorder="1" applyAlignment="1">
      <alignment horizontal="left" vertical="top" wrapText="1"/>
    </xf>
    <xf numFmtId="41" fontId="2" fillId="4" borderId="0" xfId="2" applyNumberFormat="1" applyFont="1" applyFill="1" applyBorder="1"/>
    <xf numFmtId="164" fontId="0" fillId="4" borderId="0" xfId="4" applyFont="1" applyFill="1" applyBorder="1"/>
    <xf numFmtId="0" fontId="0" fillId="5" borderId="0" xfId="0" applyFont="1" applyFill="1"/>
    <xf numFmtId="0" fontId="2" fillId="4" borderId="0" xfId="4" applyNumberFormat="1" applyFont="1" applyFill="1" applyBorder="1" applyAlignment="1">
      <alignment horizontal="center" vertical="center"/>
    </xf>
    <xf numFmtId="164" fontId="0" fillId="4" borderId="0" xfId="4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1" fontId="2" fillId="4" borderId="0" xfId="4" applyNumberFormat="1" applyFont="1" applyFill="1" applyBorder="1" applyAlignment="1">
      <alignment horizontal="center"/>
    </xf>
    <xf numFmtId="180" fontId="0" fillId="0" borderId="0" xfId="0" applyNumberFormat="1" applyFont="1"/>
    <xf numFmtId="41" fontId="2" fillId="4" borderId="0" xfId="3" applyFont="1" applyFill="1" applyBorder="1" applyAlignment="1">
      <alignment wrapText="1"/>
    </xf>
    <xf numFmtId="0" fontId="7" fillId="4" borderId="0" xfId="0" applyFont="1" applyFill="1" applyBorder="1" applyAlignment="1">
      <alignment horizontal="center" vertical="center" wrapText="1"/>
    </xf>
    <xf numFmtId="10" fontId="0" fillId="4" borderId="0" xfId="2" applyNumberFormat="1" applyFont="1" applyFill="1" applyBorder="1"/>
    <xf numFmtId="10" fontId="2" fillId="4" borderId="0" xfId="2" applyNumberFormat="1" applyFont="1" applyFill="1" applyBorder="1"/>
    <xf numFmtId="165" fontId="0" fillId="4" borderId="0" xfId="3" applyNumberFormat="1" applyFont="1" applyFill="1" applyBorder="1"/>
    <xf numFmtId="41" fontId="0" fillId="15" borderId="1" xfId="3" applyFont="1" applyFill="1" applyBorder="1"/>
    <xf numFmtId="41" fontId="0" fillId="0" borderId="0" xfId="0" applyNumberFormat="1"/>
    <xf numFmtId="185" fontId="0" fillId="0" borderId="0" xfId="0" applyNumberFormat="1"/>
    <xf numFmtId="0" fontId="0" fillId="4" borderId="0" xfId="0" applyFont="1" applyFill="1" applyBorder="1" applyAlignment="1">
      <alignment horizontal="right"/>
    </xf>
  </cellXfs>
  <cellStyles count="7">
    <cellStyle name="Millares" xfId="1" builtinId="3"/>
    <cellStyle name="Millares [0]" xfId="3" builtinId="6"/>
    <cellStyle name="Moneda [0]" xfId="4" builtinId="7"/>
    <cellStyle name="Normal" xfId="0" builtinId="0"/>
    <cellStyle name="Normal 2" xfId="5"/>
    <cellStyle name="Normal 3" xfId="6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214016</xdr:colOff>
      <xdr:row>61</xdr:row>
      <xdr:rowOff>62472</xdr:rowOff>
    </xdr:from>
    <xdr:to>
      <xdr:col>25</xdr:col>
      <xdr:colOff>30819</xdr:colOff>
      <xdr:row>62</xdr:row>
      <xdr:rowOff>1198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1839" y="12526907"/>
          <a:ext cx="1629625" cy="133323"/>
        </a:xfrm>
        <a:prstGeom prst="rect">
          <a:avLst/>
        </a:prstGeom>
      </xdr:spPr>
    </xdr:pic>
    <xdr:clientData/>
  </xdr:twoCellAnchor>
  <xdr:oneCellAnchor>
    <xdr:from>
      <xdr:col>25</xdr:col>
      <xdr:colOff>200025</xdr:colOff>
      <xdr:row>111</xdr:row>
      <xdr:rowOff>80962</xdr:rowOff>
    </xdr:from>
    <xdr:ext cx="3182474" cy="2872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/>
            <xdr:cNvSpPr txBox="1"/>
          </xdr:nvSpPr>
          <xdr:spPr>
            <a:xfrm>
              <a:off x="1352550" y="23074312"/>
              <a:ext cx="3182474" cy="287258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es-ES" sz="9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kumimoji="0" lang="es-ES" sz="9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𝑅𝐵𝐶</m:t>
                    </m:r>
                    <m:r>
                      <a:rPr kumimoji="0" lang="es-ES" sz="9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   </m:t>
                    </m:r>
                    <m:f>
                      <m:fPr>
                        <m:ctrlP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𝑉𝑎𝑙𝑜𝑟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CO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𝑟𝑒𝑠𝑒𝑛𝑡𝑒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𝐼𝑛𝑔𝑟𝑒𝑠𝑜𝑠</m:t>
                        </m:r>
                      </m:num>
                      <m:den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𝑉𝑎𝑙𝑜𝑟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𝑝𝑟𝑒𝑠𝑒𝑛𝑡𝑒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𝑙𝑜𝑠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𝐸𝑔𝑟𝑒𝑠𝑜𝑠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𝐼𝑛𝑣𝑒𝑟𝑠𝑖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kumimoji="0" lang="es-ES" sz="9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𝐼𝑛𝑐𝑖𝑎𝑙</m:t>
                        </m:r>
                      </m:den>
                    </m:f>
                    <m:r>
                      <a:rPr kumimoji="0" lang="es-ES" sz="9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</m:t>
                    </m:r>
                  </m:oMath>
                </m:oMathPara>
              </a14:m>
              <a:endParaRPr kumimoji="0" lang="es-ES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4" name="CuadroTexto 13"/>
            <xdr:cNvSpPr txBox="1"/>
          </xdr:nvSpPr>
          <xdr:spPr>
            <a:xfrm>
              <a:off x="1352550" y="23074312"/>
              <a:ext cx="3182474" cy="287258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9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 𝑅𝐵𝐶=     (𝑉𝑎𝑙𝑜𝑟 </a:t>
              </a:r>
              <a:r>
                <a:rPr kumimoji="0" lang="es-CO" sz="9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kumimoji="0" lang="es-ES" sz="9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𝑟𝑒𝑠𝑒𝑛𝑡𝑒 𝑑𝑒 𝑙𝑜𝑠 𝐼𝑛𝑔𝑟𝑒𝑠𝑜𝑠)/( 𝑉𝑎𝑙𝑜𝑟 𝑝𝑟𝑒𝑠𝑒𝑛𝑡𝑒 𝑑𝑒 𝑙𝑜𝑠 𝐸𝑔𝑟𝑒𝑠𝑜𝑠+𝐼𝑛𝑣𝑒𝑟𝑠𝑖ó𝑛 𝐼𝑛𝑐𝑖𝑎𝑙)    </a:t>
              </a:r>
              <a:endParaRPr kumimoji="0" lang="es-ES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23</xdr:col>
      <xdr:colOff>133349</xdr:colOff>
      <xdr:row>120</xdr:row>
      <xdr:rowOff>85725</xdr:rowOff>
    </xdr:from>
    <xdr:to>
      <xdr:col>26</xdr:col>
      <xdr:colOff>647699</xdr:colOff>
      <xdr:row>122</xdr:row>
      <xdr:rowOff>114300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1"/>
            <xdr:cNvSpPr txBox="1"/>
          </xdr:nvSpPr>
          <xdr:spPr>
            <a:xfrm>
              <a:off x="1285874" y="25365075"/>
              <a:ext cx="4543425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14:m>
                <m:oMath xmlns:m="http://schemas.openxmlformats.org/officeDocument/2006/math">
                  <m:r>
                    <a:rPr lang="es-ES" sz="12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  − </m:t>
                  </m:r>
                  <m:r>
                    <a:rPr lang="es-ES" sz="12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𝐼𝐼</m:t>
                  </m:r>
                  <m:r>
                    <a:rPr lang="es-ES" sz="12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  +  </m:t>
                  </m:r>
                  <m:f>
                    <m:fPr>
                      <m:ctrlPr>
                        <a:rPr lang="es-E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fPr>
                    <m:num>
                      <m:r>
                        <a:rPr lang="es-E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𝐹𝐶</m:t>
                      </m:r>
                      <m:r>
                        <a:rPr lang="es-E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1</m:t>
                      </m:r>
                    </m:num>
                    <m:den>
                      <m:sSup>
                        <m:sSupPr>
                          <m:ctrlPr>
                            <a:rPr lang="es-ES" sz="12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ES" sz="12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dPr>
                            <m:e>
                              <m:r>
                                <a:rPr lang="es-ES" sz="12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1+</m:t>
                              </m:r>
                              <m:r>
                                <a:rPr lang="es-ES" sz="12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𝑖</m:t>
                              </m:r>
                            </m:e>
                          </m:d>
                        </m:e>
                        <m:sup>
                          <m:r>
                            <a:rPr lang="es-ES" sz="12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1</m:t>
                          </m:r>
                        </m:sup>
                      </m:sSup>
                    </m:den>
                  </m:f>
                  <m:r>
                    <a:rPr lang="es-ES" sz="12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  +  </m:t>
                  </m:r>
                  <m:f>
                    <m:fPr>
                      <m:ctrlPr>
                        <a:rPr lang="es-E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fPr>
                    <m:num>
                      <m:r>
                        <a:rPr lang="es-E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𝐹𝐶</m:t>
                      </m:r>
                      <m:r>
                        <a:rPr lang="es-E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2</m:t>
                      </m:r>
                    </m:num>
                    <m:den>
                      <m:sSup>
                        <m:sSupPr>
                          <m:ctrlPr>
                            <a:rPr lang="es-ES" sz="12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ES" sz="12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dPr>
                            <m:e>
                              <m:r>
                                <a:rPr lang="es-ES" sz="12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1+</m:t>
                              </m:r>
                              <m:r>
                                <a:rPr lang="es-ES" sz="12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𝑖</m:t>
                              </m:r>
                            </m:e>
                          </m:d>
                        </m:e>
                        <m:sup>
                          <m:r>
                            <a:rPr lang="es-ES" sz="12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a:rPr lang="es-ES" sz="12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 +  </m:t>
                  </m:r>
                  <m:f>
                    <m:fPr>
                      <m:ctrlPr>
                        <a:rPr lang="es-E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fPr>
                    <m:num>
                      <m:r>
                        <a:rPr lang="es-E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𝐹𝐶</m:t>
                      </m:r>
                      <m:r>
                        <a:rPr lang="es-E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3</m:t>
                      </m:r>
                    </m:num>
                    <m:den>
                      <m:sSup>
                        <m:sSupPr>
                          <m:ctrlPr>
                            <a:rPr lang="es-ES" sz="12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ES" sz="12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dPr>
                            <m:e>
                              <m:r>
                                <a:rPr lang="es-ES" sz="12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1+</m:t>
                              </m:r>
                              <m:r>
                                <a:rPr lang="es-ES" sz="12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𝑖</m:t>
                              </m:r>
                            </m:e>
                          </m:d>
                        </m:e>
                        <m:sup>
                          <m:r>
                            <a:rPr lang="es-ES" sz="12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3</m:t>
                          </m:r>
                        </m:sup>
                      </m:sSup>
                    </m:den>
                  </m:f>
                  <m:r>
                    <a:rPr lang="es-ES" sz="12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++  </m:t>
                  </m:r>
                  <m:f>
                    <m:fPr>
                      <m:ctrlPr>
                        <a:rPr lang="es-E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fPr>
                    <m:num>
                      <m:r>
                        <a:rPr lang="es-ES" sz="12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𝐹𝐶𝑛</m:t>
                      </m:r>
                    </m:num>
                    <m:den>
                      <m:sSup>
                        <m:sSupPr>
                          <m:ctrlPr>
                            <a:rPr lang="es-ES" sz="12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sSupPr>
                        <m:e>
                          <m:r>
                            <a:rPr lang="es-ES" sz="12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(1+</m:t>
                          </m:r>
                          <m:r>
                            <a:rPr lang="es-ES" sz="12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𝑖</m:t>
                          </m:r>
                          <m:r>
                            <a:rPr lang="es-ES" sz="12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)</m:t>
                          </m:r>
                        </m:e>
                        <m:sup>
                          <m:r>
                            <a:rPr lang="es-ES" sz="12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𝑛</m:t>
                          </m:r>
                        </m:sup>
                      </m:sSup>
                    </m:den>
                  </m:f>
                  <m:r>
                    <a:rPr lang="es-ES" sz="1200" i="1">
                      <a:solidFill>
                        <a:srgbClr val="00000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 </m:t>
                  </m:r>
                </m:oMath>
              </a14:m>
              <a:r>
                <a:rPr lang="es-ES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  = </a:t>
              </a:r>
              <a:r>
                <a:rPr lang="es-ES" sz="18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0</a:t>
              </a:r>
              <a:endParaRPr lang="es-E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 </m:t>
                    </m:r>
                  </m:oMath>
                </m:oMathPara>
              </a14:m>
              <a:endParaRPr lang="es-E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3" name="CuadroTexto 1"/>
            <xdr:cNvSpPr txBox="1"/>
          </xdr:nvSpPr>
          <xdr:spPr>
            <a:xfrm>
              <a:off x="1285874" y="25365075"/>
              <a:ext cx="4543425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s-E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 − 𝐼𝐼  +  </a:t>
              </a:r>
              <a:r>
                <a:rPr lang="es-E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 </a:t>
              </a:r>
              <a:r>
                <a:rPr lang="es-E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𝐹𝐶1/(1+𝑖)^1    +  </a:t>
              </a:r>
              <a:r>
                <a:rPr lang="es-E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 </a:t>
              </a:r>
              <a:r>
                <a:rPr lang="es-E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𝐹𝐶2/(1+𝑖)^2   +  </a:t>
              </a:r>
              <a:r>
                <a:rPr lang="es-E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 </a:t>
              </a:r>
              <a:r>
                <a:rPr lang="es-E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𝐹𝐶3/(1+𝑖)^3 ++  </a:t>
              </a:r>
              <a:r>
                <a:rPr lang="es-E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 </a:t>
              </a:r>
              <a:r>
                <a:rPr lang="es-E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𝐹𝐶𝑛/〖(1+𝑖)〗^𝑛   </a:t>
              </a:r>
              <a:r>
                <a:rPr lang="es-ES" sz="12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  = </a:t>
              </a:r>
              <a:r>
                <a:rPr lang="es-ES" sz="18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</a:rPr>
                <a:t>0</a:t>
              </a:r>
              <a:endParaRPr lang="es-E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s-ES" sz="12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endParaRPr lang="es-ES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22</xdr:col>
      <xdr:colOff>45463</xdr:colOff>
      <xdr:row>117</xdr:row>
      <xdr:rowOff>95250</xdr:rowOff>
    </xdr:from>
    <xdr:ext cx="4818242" cy="530658"/>
    <xdr:sp macro="" textlink="">
      <xdr:nvSpPr>
        <xdr:cNvPr id="24" name="Rectángulo 23"/>
        <xdr:cNvSpPr/>
      </xdr:nvSpPr>
      <xdr:spPr>
        <a:xfrm>
          <a:off x="807463" y="24803100"/>
          <a:ext cx="4818242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3. Tasa</a:t>
          </a:r>
          <a:r>
            <a:rPr lang="es-E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Interna de Retorno </a:t>
          </a:r>
          <a:r>
            <a:rPr lang="es-E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(TIR)</a:t>
          </a:r>
        </a:p>
      </xdr:txBody>
    </xdr:sp>
    <xdr:clientData/>
  </xdr:oneCellAnchor>
  <xdr:oneCellAnchor>
    <xdr:from>
      <xdr:col>22</xdr:col>
      <xdr:colOff>661834</xdr:colOff>
      <xdr:row>159</xdr:row>
      <xdr:rowOff>35232</xdr:rowOff>
    </xdr:from>
    <xdr:ext cx="2324100" cy="5958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uadroTexto 28"/>
            <xdr:cNvSpPr txBox="1"/>
          </xdr:nvSpPr>
          <xdr:spPr>
            <a:xfrm>
              <a:off x="17182076" y="32184667"/>
              <a:ext cx="2324100" cy="595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400" b="0"/>
                <a:t>PRI</a:t>
              </a:r>
              <a:r>
                <a:rPr lang="es-ES" sz="2400" b="0" baseline="0"/>
                <a:t> = n + </a:t>
              </a:r>
              <a14:m>
                <m:oMath xmlns:m="http://schemas.openxmlformats.org/officeDocument/2006/math">
                  <m:f>
                    <m:fPr>
                      <m:ctrlPr>
                        <a:rPr lang="es-ES" sz="24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s-ES" sz="2400" b="0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s-ES" sz="2400" b="0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II</m:t>
                      </m:r>
                      <m:r>
                        <m:rPr>
                          <m:nor/>
                        </m:rPr>
                        <a:rPr lang="es-ES" sz="2400" b="0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 </m:t>
                      </m:r>
                      <m:r>
                        <a:rPr lang="es-ES" sz="2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  <a:sym typeface="Symbol" panose="05050102010706020507" pitchFamily="18" charset="2"/>
                        </a:rPr>
                        <m:t></m:t>
                      </m:r>
                      <m:r>
                        <m:rPr>
                          <m:nor/>
                        </m:rPr>
                        <a:rPr lang="es-ES" sz="2400" b="0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FC</m:t>
                      </m:r>
                      <m:r>
                        <m:rPr>
                          <m:nor/>
                        </m:rPr>
                        <a:rPr lang="es-ES" sz="2400" b="0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es-ES" sz="2400" b="0" i="1" baseline="0">
                          <a:latin typeface="Cambria Math" panose="02040503050406030204" pitchFamily="18" charset="0"/>
                        </a:rPr>
                        <m:t>𝐹𝐶𝑟</m:t>
                      </m:r>
                    </m:den>
                  </m:f>
                </m:oMath>
              </a14:m>
              <a:endParaRPr lang="es-ES" sz="2400" b="0"/>
            </a:p>
          </xdr:txBody>
        </xdr:sp>
      </mc:Choice>
      <mc:Fallback>
        <xdr:sp macro="" textlink="">
          <xdr:nvSpPr>
            <xdr:cNvPr id="29" name="CuadroTexto 28"/>
            <xdr:cNvSpPr txBox="1"/>
          </xdr:nvSpPr>
          <xdr:spPr>
            <a:xfrm>
              <a:off x="17182076" y="32184667"/>
              <a:ext cx="2324100" cy="595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400" b="0"/>
                <a:t>PRI</a:t>
              </a:r>
              <a:r>
                <a:rPr lang="es-ES" sz="2400" b="0" baseline="0"/>
                <a:t> = n + </a:t>
              </a:r>
              <a:r>
                <a:rPr lang="es-ES" sz="2400" b="0" i="0" baseline="0">
                  <a:latin typeface="Cambria Math" panose="02040503050406030204" pitchFamily="18" charset="0"/>
                </a:rPr>
                <a:t>(</a:t>
              </a:r>
              <a:r>
                <a:rPr lang="es-ES" sz="2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"(II − </a:t>
              </a:r>
              <a:r>
                <a:rPr lang="es-ES" sz="2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" </a:t>
              </a:r>
              <a:r>
                <a:rPr lang="es-ES" sz="2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"</a:t>
              </a:r>
              <a:r>
                <a:rPr lang="es-ES" sz="2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FC)</a:t>
              </a:r>
              <a:r>
                <a:rPr lang="es-ES" sz="2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)/</a:t>
              </a:r>
              <a:r>
                <a:rPr lang="es-ES" sz="2400" b="0" i="0" baseline="0">
                  <a:latin typeface="Cambria Math" panose="02040503050406030204" pitchFamily="18" charset="0"/>
                </a:rPr>
                <a:t>𝐹𝐶𝑟</a:t>
              </a:r>
              <a:endParaRPr lang="es-ES" sz="2400" b="0"/>
            </a:p>
          </xdr:txBody>
        </xdr:sp>
      </mc:Fallback>
    </mc:AlternateContent>
    <xdr:clientData/>
  </xdr:oneCellAnchor>
  <xdr:twoCellAnchor>
    <xdr:from>
      <xdr:col>27</xdr:col>
      <xdr:colOff>762000</xdr:colOff>
      <xdr:row>156</xdr:row>
      <xdr:rowOff>180975</xdr:rowOff>
    </xdr:from>
    <xdr:to>
      <xdr:col>29</xdr:col>
      <xdr:colOff>95250</xdr:colOff>
      <xdr:row>158</xdr:row>
      <xdr:rowOff>161925</xdr:rowOff>
    </xdr:to>
    <xdr:sp macro="" textlink="">
      <xdr:nvSpPr>
        <xdr:cNvPr id="30" name="Corchetes 29"/>
        <xdr:cNvSpPr/>
      </xdr:nvSpPr>
      <xdr:spPr>
        <a:xfrm>
          <a:off x="6943725" y="44958000"/>
          <a:ext cx="1209675" cy="3619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22</xdr:col>
      <xdr:colOff>727177</xdr:colOff>
      <xdr:row>137</xdr:row>
      <xdr:rowOff>102418</xdr:rowOff>
    </xdr:from>
    <xdr:ext cx="7087133" cy="530658"/>
    <xdr:sp macro="" textlink="">
      <xdr:nvSpPr>
        <xdr:cNvPr id="31" name="Rectángulo 30"/>
        <xdr:cNvSpPr/>
      </xdr:nvSpPr>
      <xdr:spPr>
        <a:xfrm>
          <a:off x="17247419" y="27909273"/>
          <a:ext cx="7087133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4. Periodo</a:t>
          </a:r>
          <a:r>
            <a:rPr lang="es-E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Recuperación de la Inversión</a:t>
          </a:r>
          <a:r>
            <a:rPr lang="es-E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(TIR)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H88"/>
  <sheetViews>
    <sheetView showGridLines="0" topLeftCell="B43" zoomScale="130" zoomScaleNormal="130" workbookViewId="0">
      <selection activeCell="K18" sqref="K18"/>
    </sheetView>
  </sheetViews>
  <sheetFormatPr baseColWidth="10" defaultRowHeight="12.75"/>
  <cols>
    <col min="1" max="2" width="11.42578125" style="49"/>
    <col min="3" max="3" width="31.7109375" style="49" customWidth="1"/>
    <col min="4" max="4" width="8.42578125" style="49" bestFit="1" customWidth="1"/>
    <col min="5" max="5" width="12" style="49" customWidth="1"/>
    <col min="6" max="7" width="8.42578125" style="49" bestFit="1" customWidth="1"/>
    <col min="8" max="8" width="16.28515625" style="49" customWidth="1"/>
    <col min="9" max="9" width="15.5703125" style="49" customWidth="1"/>
    <col min="10" max="16384" width="11.42578125" style="49"/>
  </cols>
  <sheetData>
    <row r="1" spans="3:7">
      <c r="C1" s="205"/>
      <c r="D1" s="205"/>
      <c r="E1" s="205"/>
      <c r="F1" s="205"/>
      <c r="G1" s="205"/>
    </row>
    <row r="3" spans="3:7" ht="15" customHeight="1">
      <c r="C3" s="206" t="s">
        <v>82</v>
      </c>
      <c r="D3" s="206"/>
      <c r="E3" s="206"/>
      <c r="F3" s="206"/>
      <c r="G3" s="206"/>
    </row>
    <row r="4" spans="3:7" ht="16.5" thickBot="1">
      <c r="C4" s="207" t="s">
        <v>26</v>
      </c>
      <c r="D4" s="207"/>
      <c r="E4" s="207"/>
      <c r="F4" s="207"/>
      <c r="G4" s="207"/>
    </row>
    <row r="5" spans="3:7" ht="13.5" thickTop="1">
      <c r="C5" s="50"/>
      <c r="D5" s="50"/>
      <c r="E5" s="50"/>
      <c r="F5" s="50"/>
    </row>
    <row r="6" spans="3:7">
      <c r="C6" s="48"/>
      <c r="D6" s="52">
        <v>2017</v>
      </c>
      <c r="E6" s="52">
        <v>2018</v>
      </c>
      <c r="F6" s="63">
        <v>2019</v>
      </c>
      <c r="G6" s="69">
        <v>43983</v>
      </c>
    </row>
    <row r="7" spans="3:7">
      <c r="C7" s="48" t="s">
        <v>1</v>
      </c>
      <c r="D7" s="54">
        <v>12534.2493636</v>
      </c>
      <c r="E7" s="64">
        <v>12552.472938000001</v>
      </c>
      <c r="F7" s="64">
        <v>13365.0271584</v>
      </c>
      <c r="G7" s="58">
        <v>6697.5635243999996</v>
      </c>
    </row>
    <row r="8" spans="3:7">
      <c r="C8" s="48" t="s">
        <v>2</v>
      </c>
      <c r="D8" s="54">
        <v>9928.9589411999987</v>
      </c>
      <c r="E8" s="64">
        <v>9745.8748871999996</v>
      </c>
      <c r="F8" s="64">
        <v>10478.562606</v>
      </c>
      <c r="G8" s="58">
        <v>5104.9702583999997</v>
      </c>
    </row>
    <row r="9" spans="3:7">
      <c r="C9" s="48" t="s">
        <v>3</v>
      </c>
      <c r="D9" s="54">
        <v>2605.2904223999999</v>
      </c>
      <c r="E9" s="64">
        <v>2806.5980507999998</v>
      </c>
      <c r="F9" s="64">
        <v>2886.4645524000002</v>
      </c>
      <c r="G9" s="58">
        <v>1592.5932660000001</v>
      </c>
    </row>
    <row r="10" spans="3:7">
      <c r="C10" s="48" t="s">
        <v>5</v>
      </c>
      <c r="D10" s="54">
        <v>804.72640560000002</v>
      </c>
      <c r="E10" s="64">
        <v>623.91889919999994</v>
      </c>
      <c r="F10" s="64">
        <v>706.09885319999989</v>
      </c>
      <c r="G10" s="58">
        <v>341.90533679999999</v>
      </c>
    </row>
    <row r="11" spans="3:7">
      <c r="C11" s="48" t="s">
        <v>32</v>
      </c>
      <c r="D11" s="54">
        <v>1397.4845531999999</v>
      </c>
      <c r="E11" s="64">
        <v>1384.0460808</v>
      </c>
      <c r="F11" s="64">
        <v>1510.5317423999998</v>
      </c>
      <c r="G11" s="58">
        <v>509.2025304</v>
      </c>
    </row>
    <row r="12" spans="3:7">
      <c r="C12" s="48" t="s">
        <v>27</v>
      </c>
      <c r="D12" s="54">
        <v>115.602306</v>
      </c>
      <c r="E12" s="64">
        <v>112.94787120000001</v>
      </c>
      <c r="F12" s="64">
        <v>93.46899839999999</v>
      </c>
      <c r="G12" s="58">
        <v>320.92149839999996</v>
      </c>
    </row>
    <row r="13" spans="3:7">
      <c r="C13" s="48" t="s">
        <v>50</v>
      </c>
      <c r="D13" s="54">
        <v>17.662087199999998</v>
      </c>
      <c r="E13" s="64">
        <v>6</v>
      </c>
      <c r="F13" s="64">
        <v>0</v>
      </c>
      <c r="G13" s="58">
        <v>0</v>
      </c>
    </row>
    <row r="14" spans="3:7">
      <c r="C14" s="53" t="s">
        <v>29</v>
      </c>
      <c r="D14" s="54">
        <v>269.81507039999997</v>
      </c>
      <c r="E14" s="64">
        <v>679.68519960000003</v>
      </c>
      <c r="F14" s="64">
        <v>576.36495839999998</v>
      </c>
      <c r="G14" s="58">
        <v>420.56390039999997</v>
      </c>
    </row>
    <row r="15" spans="3:7">
      <c r="C15" s="48" t="s">
        <v>33</v>
      </c>
      <c r="D15" s="54">
        <v>734.91076799999996</v>
      </c>
      <c r="E15" s="64">
        <v>567.82067640000002</v>
      </c>
      <c r="F15" s="64">
        <v>459.96489839999998</v>
      </c>
      <c r="G15" s="58">
        <v>105.56735399999999</v>
      </c>
    </row>
    <row r="16" spans="3:7">
      <c r="C16" s="48" t="s">
        <v>34</v>
      </c>
      <c r="D16" s="54">
        <v>53.197939199999993</v>
      </c>
      <c r="E16" s="64">
        <v>64.220950799999997</v>
      </c>
      <c r="F16" s="64">
        <v>142.5778392</v>
      </c>
      <c r="G16" s="58">
        <v>7.4636423999999995</v>
      </c>
    </row>
    <row r="17" spans="3:7">
      <c r="C17" s="48" t="s">
        <v>4</v>
      </c>
      <c r="D17" s="54">
        <v>83.393493599999999</v>
      </c>
      <c r="E17" s="64">
        <v>25.927557599999997</v>
      </c>
      <c r="F17" s="64">
        <v>590.0617608</v>
      </c>
      <c r="G17" s="58">
        <v>3.4341504</v>
      </c>
    </row>
    <row r="18" spans="3:7">
      <c r="C18" s="48" t="s">
        <v>63</v>
      </c>
      <c r="D18" s="54">
        <v>-434.9001432</v>
      </c>
      <c r="E18" s="64">
        <v>73.571129999999997</v>
      </c>
      <c r="F18" s="64">
        <v>563.88398159999997</v>
      </c>
      <c r="G18" s="58">
        <v>310.96705439999999</v>
      </c>
    </row>
    <row r="19" spans="3:7">
      <c r="C19" s="48" t="s">
        <v>35</v>
      </c>
      <c r="D19" s="54">
        <v>39.1032084</v>
      </c>
      <c r="E19" s="64">
        <v>141.51678719999998</v>
      </c>
      <c r="F19" s="64">
        <v>32.410678799999999</v>
      </c>
      <c r="G19" s="58">
        <v>74.386799999999994</v>
      </c>
    </row>
    <row r="20" spans="3:7">
      <c r="C20" s="48" t="s">
        <v>36</v>
      </c>
      <c r="D20" s="54">
        <v>-474.00335159999997</v>
      </c>
      <c r="E20" s="64">
        <v>-67.945657199999999</v>
      </c>
      <c r="F20" s="64">
        <v>531.47330279999994</v>
      </c>
      <c r="G20" s="58">
        <v>236.5802544</v>
      </c>
    </row>
    <row r="21" spans="3:7">
      <c r="D21" s="56"/>
      <c r="E21" s="56"/>
      <c r="F21" s="50"/>
    </row>
    <row r="23" spans="3:7" ht="14.1" customHeight="1">
      <c r="C23" s="208" t="s">
        <v>82</v>
      </c>
      <c r="D23" s="208"/>
      <c r="E23" s="208"/>
      <c r="F23" s="208"/>
      <c r="G23" s="208"/>
    </row>
    <row r="24" spans="3:7" ht="14.1" customHeight="1" thickBot="1">
      <c r="C24" s="209" t="s">
        <v>83</v>
      </c>
      <c r="D24" s="209"/>
      <c r="E24" s="209"/>
      <c r="F24" s="209"/>
      <c r="G24" s="209"/>
    </row>
    <row r="25" spans="3:7" ht="13.5" thickTop="1">
      <c r="C25" s="62"/>
      <c r="D25" s="62"/>
      <c r="E25" s="62"/>
      <c r="F25" s="62"/>
      <c r="G25" s="62"/>
    </row>
    <row r="26" spans="3:7">
      <c r="C26" s="48"/>
      <c r="D26" s="51">
        <v>2017</v>
      </c>
      <c r="E26" s="51">
        <v>2018</v>
      </c>
      <c r="F26" s="51">
        <v>2019</v>
      </c>
      <c r="G26" s="69">
        <v>43983</v>
      </c>
    </row>
    <row r="27" spans="3:7">
      <c r="C27" s="53" t="s">
        <v>7</v>
      </c>
      <c r="D27" s="48"/>
      <c r="E27" s="48"/>
      <c r="F27" s="54"/>
      <c r="G27" s="48"/>
    </row>
    <row r="28" spans="3:7">
      <c r="C28" s="48" t="s">
        <v>8</v>
      </c>
      <c r="D28" s="54"/>
      <c r="E28" s="48"/>
      <c r="F28" s="54"/>
      <c r="G28" s="48"/>
    </row>
    <row r="29" spans="3:7">
      <c r="C29" s="48" t="s">
        <v>31</v>
      </c>
      <c r="D29" s="54">
        <v>63.601537599999205</v>
      </c>
      <c r="E29" s="54">
        <v>139.45940640000117</v>
      </c>
      <c r="F29" s="54">
        <v>42.217377600000994</v>
      </c>
      <c r="G29" s="58">
        <v>58.925800799999351</v>
      </c>
    </row>
    <row r="30" spans="3:7">
      <c r="C30" s="57" t="s">
        <v>39</v>
      </c>
      <c r="D30" s="54">
        <f>2297.9160192-H30</f>
        <v>2297.9160191999999</v>
      </c>
      <c r="E30" s="54">
        <v>2294.7562895999999</v>
      </c>
      <c r="F30" s="54">
        <v>2660.5531380000002</v>
      </c>
      <c r="G30" s="58">
        <v>2533.4373083999999</v>
      </c>
    </row>
    <row r="31" spans="3:7">
      <c r="C31" s="57" t="s">
        <v>37</v>
      </c>
      <c r="D31" s="54">
        <v>461.90046839999997</v>
      </c>
      <c r="E31" s="54">
        <v>418.14749519999998</v>
      </c>
      <c r="F31" s="54">
        <v>402.61283159999994</v>
      </c>
      <c r="G31" s="58">
        <v>381.61329359999996</v>
      </c>
    </row>
    <row r="32" spans="3:7">
      <c r="C32" s="57" t="s">
        <v>78</v>
      </c>
      <c r="D32" s="54">
        <v>202.87446479999997</v>
      </c>
      <c r="E32" s="54">
        <v>190.87446479999997</v>
      </c>
      <c r="F32" s="54">
        <v>607.80812519999995</v>
      </c>
      <c r="G32" s="58">
        <v>562.04156519999992</v>
      </c>
    </row>
    <row r="33" spans="3:7">
      <c r="C33" s="48" t="s">
        <v>38</v>
      </c>
      <c r="D33" s="54">
        <v>728.9609868</v>
      </c>
      <c r="E33" s="54">
        <v>559.81553639999993</v>
      </c>
      <c r="F33" s="54">
        <v>697.37445479999997</v>
      </c>
      <c r="G33" s="58">
        <v>512.08006439999997</v>
      </c>
    </row>
    <row r="34" spans="3:7">
      <c r="C34" s="48" t="s">
        <v>40</v>
      </c>
      <c r="D34" s="54">
        <v>0</v>
      </c>
      <c r="E34" s="54">
        <v>0</v>
      </c>
      <c r="F34" s="54">
        <v>0</v>
      </c>
      <c r="G34" s="58">
        <v>0</v>
      </c>
    </row>
    <row r="35" spans="3:7">
      <c r="C35" s="48" t="s">
        <v>40</v>
      </c>
      <c r="D35" s="54">
        <v>0</v>
      </c>
      <c r="E35" s="54">
        <v>0</v>
      </c>
      <c r="F35" s="54">
        <v>0</v>
      </c>
      <c r="G35" s="58">
        <v>0</v>
      </c>
    </row>
    <row r="36" spans="3:7">
      <c r="C36" s="48" t="s">
        <v>40</v>
      </c>
      <c r="D36" s="54">
        <v>0</v>
      </c>
      <c r="E36" s="54">
        <v>0</v>
      </c>
      <c r="F36" s="54">
        <v>0</v>
      </c>
      <c r="G36" s="58">
        <v>0</v>
      </c>
    </row>
    <row r="37" spans="3:7">
      <c r="C37" s="53" t="s">
        <v>16</v>
      </c>
      <c r="D37" s="55">
        <f>SUM(D29:D36)</f>
        <v>3755.2534767999996</v>
      </c>
      <c r="E37" s="55">
        <f>SUM(E29:E36)</f>
        <v>3603.0531924000011</v>
      </c>
      <c r="F37" s="55">
        <f>SUM(F29:F36)</f>
        <v>4410.5659272000012</v>
      </c>
      <c r="G37" s="55">
        <f>SUM(G29:G36)</f>
        <v>4048.0980323999993</v>
      </c>
    </row>
    <row r="38" spans="3:7">
      <c r="C38" s="48" t="s">
        <v>9</v>
      </c>
      <c r="D38" s="54">
        <v>0</v>
      </c>
      <c r="E38" s="54">
        <v>0</v>
      </c>
      <c r="F38" s="54">
        <v>0</v>
      </c>
      <c r="G38" s="58">
        <v>0</v>
      </c>
    </row>
    <row r="39" spans="3:7">
      <c r="C39" s="48" t="s">
        <v>10</v>
      </c>
      <c r="D39" s="54">
        <v>0</v>
      </c>
      <c r="E39" s="54">
        <v>0</v>
      </c>
      <c r="F39" s="54">
        <v>0</v>
      </c>
      <c r="G39" s="58">
        <v>0</v>
      </c>
    </row>
    <row r="40" spans="3:7">
      <c r="C40" s="59" t="s">
        <v>11</v>
      </c>
      <c r="D40" s="54">
        <v>5643.279345599999</v>
      </c>
      <c r="E40" s="54">
        <v>5530.3314743999999</v>
      </c>
      <c r="F40" s="54">
        <v>615.94569839999997</v>
      </c>
      <c r="G40" s="58">
        <v>580.11335519999989</v>
      </c>
    </row>
    <row r="41" spans="3:7">
      <c r="C41" s="48" t="s">
        <v>41</v>
      </c>
      <c r="D41" s="54">
        <v>1013.898132</v>
      </c>
      <c r="E41" s="54">
        <v>1013.898132</v>
      </c>
      <c r="F41" s="54">
        <v>0</v>
      </c>
      <c r="G41" s="58">
        <v>0</v>
      </c>
    </row>
    <row r="42" spans="3:7">
      <c r="C42" s="48" t="s">
        <v>68</v>
      </c>
      <c r="D42" s="54">
        <v>4522.3808603999996</v>
      </c>
      <c r="E42" s="54">
        <v>4522.3808603999996</v>
      </c>
      <c r="F42" s="54">
        <v>0</v>
      </c>
      <c r="G42" s="58">
        <v>0</v>
      </c>
    </row>
    <row r="43" spans="3:7">
      <c r="C43" s="48" t="s">
        <v>43</v>
      </c>
      <c r="D43" s="54">
        <v>161.97806279999998</v>
      </c>
      <c r="E43" s="54">
        <v>161.97806279999998</v>
      </c>
      <c r="F43" s="54">
        <v>346.98234839999998</v>
      </c>
      <c r="G43" s="58">
        <v>346.98234839999998</v>
      </c>
    </row>
    <row r="44" spans="3:7">
      <c r="C44" s="48" t="s">
        <v>44</v>
      </c>
      <c r="D44" s="54">
        <v>234.52764479999999</v>
      </c>
      <c r="E44" s="54">
        <v>234.52764479999999</v>
      </c>
      <c r="F44" s="54">
        <v>461.37564359999999</v>
      </c>
      <c r="G44" s="58">
        <v>461.37564359999999</v>
      </c>
    </row>
    <row r="45" spans="3:7">
      <c r="C45" s="48" t="s">
        <v>45</v>
      </c>
      <c r="D45" s="54">
        <v>107.95466879999999</v>
      </c>
      <c r="E45" s="54">
        <v>107.95466879999999</v>
      </c>
      <c r="F45" s="54">
        <v>109.61853359999999</v>
      </c>
      <c r="G45" s="58">
        <v>109.61853359999999</v>
      </c>
    </row>
    <row r="46" spans="3:7">
      <c r="C46" s="48" t="s">
        <v>46</v>
      </c>
      <c r="D46" s="54">
        <v>107.130168</v>
      </c>
      <c r="E46" s="54">
        <v>107.130168</v>
      </c>
      <c r="F46" s="54">
        <v>107.24603399999999</v>
      </c>
      <c r="G46" s="58">
        <v>107.24603399999999</v>
      </c>
    </row>
    <row r="47" spans="3:7">
      <c r="C47" s="48" t="s">
        <v>47</v>
      </c>
      <c r="D47" s="54">
        <v>0</v>
      </c>
      <c r="E47" s="54">
        <v>0</v>
      </c>
      <c r="F47" s="54">
        <v>0</v>
      </c>
      <c r="G47" s="58">
        <v>0</v>
      </c>
    </row>
    <row r="48" spans="3:7">
      <c r="C48" s="48" t="s">
        <v>48</v>
      </c>
      <c r="D48" s="54">
        <v>-504.59019119999999</v>
      </c>
      <c r="E48" s="54">
        <v>-617.53806239999994</v>
      </c>
      <c r="F48" s="54">
        <v>-409.27686119999998</v>
      </c>
      <c r="G48" s="58">
        <v>445.10920439999995</v>
      </c>
    </row>
    <row r="49" spans="3:7">
      <c r="C49" s="59" t="s">
        <v>49</v>
      </c>
      <c r="D49" s="54">
        <f>SUM(D41:D48)</f>
        <v>5643.2793455999999</v>
      </c>
      <c r="E49" s="54">
        <f>SUM(E41:E48)</f>
        <v>5530.3314743999999</v>
      </c>
      <c r="F49" s="54">
        <f>SUM(F41:F48)</f>
        <v>615.94569839999986</v>
      </c>
      <c r="G49" s="58">
        <v>580.11335519999989</v>
      </c>
    </row>
    <row r="50" spans="3:7">
      <c r="C50" s="48" t="s">
        <v>12</v>
      </c>
      <c r="D50" s="54">
        <v>6</v>
      </c>
      <c r="E50" s="54">
        <v>0</v>
      </c>
      <c r="F50" s="54">
        <v>0</v>
      </c>
      <c r="G50" s="58">
        <v>0</v>
      </c>
    </row>
    <row r="51" spans="3:7">
      <c r="C51" s="48" t="s">
        <v>13</v>
      </c>
      <c r="D51" s="54">
        <v>0.24537239999999999</v>
      </c>
      <c r="E51" s="54">
        <v>1.8905292</v>
      </c>
      <c r="F51" s="54">
        <v>0</v>
      </c>
      <c r="G51" s="58">
        <v>0</v>
      </c>
    </row>
    <row r="52" spans="3:7">
      <c r="C52" s="53" t="s">
        <v>15</v>
      </c>
      <c r="D52" s="54">
        <f>+D49+D50</f>
        <v>5649.2793455999999</v>
      </c>
      <c r="E52" s="54">
        <f>+E49+E50</f>
        <v>5530.3314743999999</v>
      </c>
      <c r="F52" s="54">
        <v>615.94569839999997</v>
      </c>
      <c r="G52" s="58">
        <v>580.11335519999989</v>
      </c>
    </row>
    <row r="53" spans="3:7">
      <c r="C53" s="59" t="s">
        <v>14</v>
      </c>
      <c r="D53" s="55">
        <f>+D52+D37</f>
        <v>9404.5328224000004</v>
      </c>
      <c r="E53" s="55">
        <f>+E52+E37</f>
        <v>9133.3846668000006</v>
      </c>
      <c r="F53" s="55">
        <f t="shared" ref="F53:G53" si="0">+F52+F37</f>
        <v>5026.511625600001</v>
      </c>
      <c r="G53" s="55">
        <f t="shared" si="0"/>
        <v>4628.2113875999994</v>
      </c>
    </row>
    <row r="54" spans="3:7">
      <c r="C54" s="53" t="s">
        <v>17</v>
      </c>
      <c r="D54" s="54">
        <v>0</v>
      </c>
      <c r="E54" s="54">
        <v>0</v>
      </c>
      <c r="F54" s="54">
        <v>0</v>
      </c>
      <c r="G54" s="58">
        <v>0</v>
      </c>
    </row>
    <row r="55" spans="3:7">
      <c r="C55" s="48" t="s">
        <v>18</v>
      </c>
      <c r="D55" s="54">
        <v>0</v>
      </c>
      <c r="E55" s="54">
        <v>0</v>
      </c>
      <c r="F55" s="54">
        <v>0</v>
      </c>
      <c r="G55" s="58">
        <v>0</v>
      </c>
    </row>
    <row r="56" spans="3:7">
      <c r="C56" s="48" t="s">
        <v>52</v>
      </c>
      <c r="D56" s="54">
        <v>785.01515159999997</v>
      </c>
      <c r="E56" s="54">
        <v>13.880781599999999</v>
      </c>
      <c r="F56" s="54">
        <v>56.972769599999999</v>
      </c>
      <c r="G56" s="58">
        <v>63.707486400000001</v>
      </c>
    </row>
    <row r="57" spans="3:7">
      <c r="C57" s="48" t="s">
        <v>51</v>
      </c>
      <c r="D57" s="54">
        <v>0</v>
      </c>
      <c r="E57" s="54">
        <v>0</v>
      </c>
      <c r="F57" s="54">
        <v>0</v>
      </c>
      <c r="G57" s="58">
        <v>0</v>
      </c>
    </row>
    <row r="58" spans="3:7">
      <c r="C58" s="48" t="s">
        <v>53</v>
      </c>
      <c r="D58" s="54">
        <v>2645.9356164000001</v>
      </c>
      <c r="E58" s="54">
        <v>3262.5144420000001</v>
      </c>
      <c r="F58" s="54">
        <v>3605.2697327999999</v>
      </c>
      <c r="G58" s="58">
        <v>2556.6403487999996</v>
      </c>
    </row>
    <row r="59" spans="3:7">
      <c r="C59" s="48" t="s">
        <v>54</v>
      </c>
      <c r="D59" s="54">
        <v>177.41365079999997</v>
      </c>
      <c r="E59" s="54">
        <v>139.05687359999999</v>
      </c>
      <c r="F59" s="54">
        <v>144.22439159999999</v>
      </c>
      <c r="G59" s="58">
        <v>148.09019279999998</v>
      </c>
    </row>
    <row r="60" spans="3:7">
      <c r="C60" s="48" t="s">
        <v>55</v>
      </c>
      <c r="D60" s="54">
        <v>119.8464</v>
      </c>
      <c r="E60" s="54">
        <v>243.1524</v>
      </c>
      <c r="F60" s="54">
        <v>315.4008</v>
      </c>
      <c r="G60" s="58">
        <v>227.88720000000001</v>
      </c>
    </row>
    <row r="61" spans="3:7">
      <c r="C61" s="48" t="s">
        <v>40</v>
      </c>
      <c r="D61" s="54">
        <v>13</v>
      </c>
      <c r="E61" s="54">
        <v>11.677344</v>
      </c>
      <c r="F61" s="54">
        <v>2.2021476</v>
      </c>
      <c r="G61" s="58">
        <v>13.869714</v>
      </c>
    </row>
    <row r="62" spans="3:7">
      <c r="C62" s="48" t="s">
        <v>40</v>
      </c>
      <c r="D62" s="54">
        <v>0</v>
      </c>
      <c r="E62" s="54">
        <v>0</v>
      </c>
      <c r="F62" s="54">
        <v>0</v>
      </c>
      <c r="G62" s="58">
        <v>0</v>
      </c>
    </row>
    <row r="63" spans="3:7">
      <c r="C63" s="53" t="s">
        <v>19</v>
      </c>
      <c r="D63" s="55">
        <f>SUM(D56:D62)</f>
        <v>3741.2108188000002</v>
      </c>
      <c r="E63" s="55">
        <f>SUM(E56:E62)</f>
        <v>3670.2818412000001</v>
      </c>
      <c r="F63" s="55">
        <f t="shared" ref="F63:G63" si="1">SUM(F56:F62)</f>
        <v>4124.0698416000005</v>
      </c>
      <c r="G63" s="55">
        <f t="shared" si="1"/>
        <v>3010.1949419999996</v>
      </c>
    </row>
    <row r="64" spans="3:7">
      <c r="C64" s="48" t="s">
        <v>20</v>
      </c>
      <c r="D64" s="54">
        <v>0</v>
      </c>
      <c r="E64" s="54">
        <v>0</v>
      </c>
      <c r="F64" s="54">
        <v>0</v>
      </c>
      <c r="G64" s="58">
        <v>0</v>
      </c>
    </row>
    <row r="65" spans="3:8">
      <c r="C65" s="48" t="s">
        <v>56</v>
      </c>
      <c r="D65" s="54">
        <v>3875.5419551999998</v>
      </c>
      <c r="E65" s="54">
        <v>3735.2160167999996</v>
      </c>
      <c r="F65" s="54">
        <v>453.0055764</v>
      </c>
      <c r="G65" s="58">
        <v>931.99999800000001</v>
      </c>
    </row>
    <row r="66" spans="3:8">
      <c r="C66" s="48" t="s">
        <v>57</v>
      </c>
      <c r="D66" s="54">
        <v>0</v>
      </c>
      <c r="E66" s="54">
        <v>0</v>
      </c>
      <c r="F66" s="54">
        <v>0</v>
      </c>
      <c r="G66" s="58">
        <v>0</v>
      </c>
    </row>
    <row r="67" spans="3:8">
      <c r="C67" s="48" t="s">
        <v>67</v>
      </c>
      <c r="D67" s="54">
        <v>175.07687040000002</v>
      </c>
      <c r="E67" s="54">
        <v>182.11925159999998</v>
      </c>
      <c r="F67" s="54">
        <v>0.61020240000000003</v>
      </c>
      <c r="G67" s="58">
        <v>0.6102012</v>
      </c>
    </row>
    <row r="68" spans="3:8">
      <c r="C68" s="48" t="s">
        <v>40</v>
      </c>
      <c r="D68" s="54">
        <v>0</v>
      </c>
      <c r="E68" s="54">
        <v>0</v>
      </c>
      <c r="F68" s="54">
        <v>0</v>
      </c>
      <c r="G68" s="58">
        <v>0</v>
      </c>
    </row>
    <row r="69" spans="3:8">
      <c r="C69" s="53" t="s">
        <v>20</v>
      </c>
      <c r="D69" s="55">
        <f>+D64+D65+D66+D67+D68</f>
        <v>4050.6188256</v>
      </c>
      <c r="E69" s="55">
        <f t="shared" ref="E69:G69" si="2">+E64+E65+E66+E67+E68</f>
        <v>3917.3352683999997</v>
      </c>
      <c r="F69" s="55">
        <f t="shared" si="2"/>
        <v>453.61577879999999</v>
      </c>
      <c r="G69" s="55">
        <f t="shared" si="2"/>
        <v>932.61019920000001</v>
      </c>
    </row>
    <row r="70" spans="3:8">
      <c r="C70" s="53" t="s">
        <v>21</v>
      </c>
      <c r="D70" s="55">
        <f>+D63+D69</f>
        <v>7791.8296444000007</v>
      </c>
      <c r="E70" s="55">
        <f t="shared" ref="E70:G70" si="3">+E63+E69</f>
        <v>7587.6171095999998</v>
      </c>
      <c r="F70" s="55">
        <f t="shared" si="3"/>
        <v>4577.6856204000005</v>
      </c>
      <c r="G70" s="55">
        <f t="shared" si="3"/>
        <v>3942.8051411999995</v>
      </c>
    </row>
    <row r="71" spans="3:8">
      <c r="C71" s="48" t="s">
        <v>22</v>
      </c>
      <c r="D71" s="54">
        <v>0</v>
      </c>
      <c r="E71" s="54">
        <v>0</v>
      </c>
      <c r="F71" s="54">
        <v>0</v>
      </c>
      <c r="G71" s="58">
        <v>0</v>
      </c>
    </row>
    <row r="72" spans="3:8">
      <c r="C72" s="48" t="s">
        <v>58</v>
      </c>
      <c r="D72" s="54">
        <v>780</v>
      </c>
      <c r="E72" s="54">
        <v>780</v>
      </c>
      <c r="F72" s="54">
        <v>792</v>
      </c>
      <c r="G72" s="58">
        <v>792</v>
      </c>
    </row>
    <row r="73" spans="3:8">
      <c r="C73" s="48" t="s">
        <v>59</v>
      </c>
      <c r="D73" s="54">
        <v>342</v>
      </c>
      <c r="E73" s="54">
        <v>342</v>
      </c>
      <c r="F73" s="54">
        <v>555.50054639999996</v>
      </c>
      <c r="G73" s="58">
        <v>555.50053439999999</v>
      </c>
    </row>
    <row r="74" spans="3:8">
      <c r="C74" s="48" t="s">
        <v>69</v>
      </c>
      <c r="D74" s="54">
        <v>1128.5332332</v>
      </c>
      <c r="E74" s="54">
        <v>1128.5332332</v>
      </c>
      <c r="F74" s="54">
        <v>-725.07386880000001</v>
      </c>
      <c r="G74" s="58">
        <v>725.0738687999999</v>
      </c>
      <c r="H74" s="60"/>
    </row>
    <row r="75" spans="3:8">
      <c r="C75" s="48" t="s">
        <v>61</v>
      </c>
      <c r="D75" s="54">
        <v>-163.8300552</v>
      </c>
      <c r="E75" s="54">
        <v>-636.82001760000003</v>
      </c>
      <c r="F75" s="54">
        <v>-704.76567599999998</v>
      </c>
      <c r="G75" s="58">
        <v>173.60067240000001</v>
      </c>
    </row>
    <row r="76" spans="3:8">
      <c r="C76" s="48" t="s">
        <v>62</v>
      </c>
      <c r="D76" s="54">
        <v>-474</v>
      </c>
      <c r="E76" s="54">
        <v>-67.945658399999999</v>
      </c>
      <c r="F76" s="54">
        <v>531.16500359999998</v>
      </c>
      <c r="G76" s="58">
        <v>236.58025319999999</v>
      </c>
    </row>
    <row r="77" spans="3:8">
      <c r="C77" s="53" t="s">
        <v>23</v>
      </c>
      <c r="D77" s="55">
        <f>SUM(D72:D76)</f>
        <v>1612.7031779999998</v>
      </c>
      <c r="E77" s="55">
        <f t="shared" ref="E77" si="4">SUM(E72:E76)</f>
        <v>1545.7675571999998</v>
      </c>
      <c r="F77" s="55">
        <f>SUM(F72:F76)</f>
        <v>448.82600520000005</v>
      </c>
      <c r="G77" s="55">
        <f>SUM(G72:G76)</f>
        <v>2482.7553287999999</v>
      </c>
    </row>
    <row r="78" spans="3:8">
      <c r="C78" s="61" t="s">
        <v>24</v>
      </c>
      <c r="D78" s="55">
        <f>+D77+D70</f>
        <v>9404.5328224000004</v>
      </c>
      <c r="E78" s="55">
        <f t="shared" ref="E78:F78" si="5">+E77+E70</f>
        <v>9133.3846668000006</v>
      </c>
      <c r="F78" s="55">
        <f t="shared" si="5"/>
        <v>5026.5116256000001</v>
      </c>
      <c r="G78" s="70">
        <v>4628.2113875999994</v>
      </c>
    </row>
    <row r="79" spans="3:8">
      <c r="D79" s="56"/>
    </row>
    <row r="80" spans="3:8">
      <c r="C80" s="49" t="s">
        <v>25</v>
      </c>
      <c r="D80" s="66">
        <f>+D53-D78</f>
        <v>0</v>
      </c>
      <c r="E80" s="65">
        <f>+E53-E78</f>
        <v>0</v>
      </c>
      <c r="F80" s="71">
        <f>+F53-F78</f>
        <v>0</v>
      </c>
      <c r="G80" s="68">
        <f>+G53-G78</f>
        <v>0</v>
      </c>
    </row>
    <row r="81" spans="4:5">
      <c r="D81" s="56"/>
    </row>
    <row r="82" spans="4:5">
      <c r="D82" s="56"/>
      <c r="E82" s="67"/>
    </row>
    <row r="83" spans="4:5">
      <c r="D83" s="56"/>
    </row>
    <row r="84" spans="4:5">
      <c r="D84" s="56"/>
    </row>
    <row r="85" spans="4:5">
      <c r="D85" s="56"/>
    </row>
    <row r="86" spans="4:5">
      <c r="D86" s="56"/>
    </row>
    <row r="87" spans="4:5">
      <c r="D87" s="56"/>
    </row>
    <row r="88" spans="4:5">
      <c r="D88" s="56"/>
    </row>
  </sheetData>
  <mergeCells count="5">
    <mergeCell ref="C1:G1"/>
    <mergeCell ref="C3:G3"/>
    <mergeCell ref="C4:G4"/>
    <mergeCell ref="C23:G23"/>
    <mergeCell ref="C24:G24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M164"/>
  <sheetViews>
    <sheetView showGridLines="0" tabSelected="1" topLeftCell="I85" zoomScale="93" zoomScaleNormal="93" workbookViewId="0">
      <selection activeCell="S98" sqref="S98"/>
    </sheetView>
  </sheetViews>
  <sheetFormatPr baseColWidth="10" defaultRowHeight="15"/>
  <cols>
    <col min="1" max="1" width="2.42578125" customWidth="1"/>
    <col min="2" max="2" width="30.85546875" customWidth="1"/>
    <col min="3" max="3" width="8.140625" bestFit="1" customWidth="1"/>
    <col min="4" max="4" width="11.7109375" customWidth="1"/>
    <col min="5" max="5" width="11.42578125" customWidth="1"/>
    <col min="6" max="6" width="8.140625" bestFit="1" customWidth="1"/>
    <col min="7" max="8" width="11.7109375" customWidth="1"/>
    <col min="9" max="9" width="9.85546875" customWidth="1"/>
    <col min="10" max="10" width="8.7109375" customWidth="1"/>
    <col min="11" max="11" width="11" customWidth="1"/>
    <col min="12" max="12" width="10" bestFit="1" customWidth="1"/>
    <col min="13" max="13" width="11.7109375" customWidth="1"/>
    <col min="14" max="14" width="0.42578125" customWidth="1"/>
    <col min="15" max="15" width="10.28515625" customWidth="1"/>
    <col min="16" max="16" width="22" hidden="1" customWidth="1"/>
    <col min="17" max="21" width="15.7109375" customWidth="1"/>
    <col min="24" max="24" width="6.140625" bestFit="1" customWidth="1"/>
    <col min="25" max="25" width="27.140625" customWidth="1"/>
    <col min="26" max="26" width="16.42578125" customWidth="1"/>
    <col min="27" max="27" width="16.85546875" customWidth="1"/>
    <col min="28" max="28" width="15" customWidth="1"/>
    <col min="29" max="29" width="12.7109375" customWidth="1"/>
    <col min="30" max="30" width="15.42578125" customWidth="1"/>
    <col min="31" max="31" width="12.5703125" bestFit="1" customWidth="1"/>
    <col min="32" max="32" width="8.85546875" bestFit="1" customWidth="1"/>
    <col min="33" max="33" width="36.5703125" bestFit="1" customWidth="1"/>
    <col min="34" max="34" width="28" bestFit="1" customWidth="1"/>
    <col min="35" max="35" width="12.85546875" customWidth="1"/>
    <col min="36" max="36" width="13" bestFit="1" customWidth="1"/>
  </cols>
  <sheetData>
    <row r="2" spans="2:39">
      <c r="M2" s="1" t="s">
        <v>85</v>
      </c>
      <c r="N2" s="93"/>
      <c r="O2" s="6"/>
      <c r="P2" s="115"/>
      <c r="Q2" s="114">
        <v>0.03</v>
      </c>
      <c r="R2" s="95">
        <v>3.5000000000000003E-2</v>
      </c>
      <c r="S2" s="95">
        <v>3.5000000000000003E-2</v>
      </c>
      <c r="T2" s="95">
        <v>3.5000000000000003E-2</v>
      </c>
      <c r="U2" s="114">
        <v>3.7499999999999999E-2</v>
      </c>
      <c r="V2" s="95">
        <v>3.9E-2</v>
      </c>
      <c r="W2" s="95">
        <v>4.0500000000000001E-2</v>
      </c>
    </row>
    <row r="3" spans="2:39">
      <c r="M3" s="1" t="s">
        <v>86</v>
      </c>
      <c r="N3" s="93"/>
      <c r="O3" s="6"/>
      <c r="P3" s="115"/>
      <c r="Q3" s="114">
        <v>0.02</v>
      </c>
      <c r="R3" s="95">
        <v>2.5000000000000001E-2</v>
      </c>
      <c r="S3" s="114">
        <v>0.03</v>
      </c>
      <c r="T3" s="114">
        <v>0.03</v>
      </c>
      <c r="U3" s="114">
        <v>3.5000000000000003E-2</v>
      </c>
      <c r="V3" s="95">
        <v>3.85E-2</v>
      </c>
      <c r="W3" s="114">
        <v>4.2000000000000003E-2</v>
      </c>
      <c r="X3" s="135"/>
      <c r="Y3" s="135"/>
      <c r="Z3" s="135"/>
      <c r="AA3" s="135"/>
      <c r="AB3" s="135"/>
    </row>
    <row r="4" spans="2:39">
      <c r="M4" s="1" t="s">
        <v>87</v>
      </c>
      <c r="N4" s="93"/>
      <c r="O4" s="6"/>
      <c r="P4" s="115"/>
      <c r="Q4" s="114">
        <v>0.04</v>
      </c>
      <c r="R4" s="114">
        <v>0.04</v>
      </c>
      <c r="S4" s="114">
        <v>0.04</v>
      </c>
      <c r="T4" s="114">
        <v>0.04</v>
      </c>
      <c r="U4" s="114">
        <v>0.04</v>
      </c>
      <c r="V4" s="114">
        <v>0.04</v>
      </c>
      <c r="W4" s="114">
        <v>0.04</v>
      </c>
    </row>
    <row r="5" spans="2:39">
      <c r="C5" s="30"/>
      <c r="I5" s="5"/>
      <c r="J5" s="5"/>
      <c r="K5" s="5"/>
      <c r="L5" s="5"/>
    </row>
    <row r="6" spans="2:39">
      <c r="B6" s="211" t="str">
        <f>+EEFF!C3</f>
        <v>EMPRESA COMERCIAL</v>
      </c>
      <c r="C6" s="211"/>
      <c r="D6" s="211"/>
      <c r="E6" s="211"/>
      <c r="F6" s="211"/>
      <c r="G6" s="211"/>
      <c r="H6" s="211"/>
      <c r="I6" s="211"/>
      <c r="J6" s="211"/>
      <c r="K6" s="28"/>
      <c r="L6" s="27"/>
      <c r="M6" s="27"/>
      <c r="P6" s="215"/>
      <c r="Q6" s="210" t="str">
        <f>+B6</f>
        <v>EMPRESA COMERCIAL</v>
      </c>
      <c r="R6" s="211"/>
      <c r="S6" s="211"/>
      <c r="T6" s="211"/>
      <c r="U6" s="152"/>
      <c r="X6" s="210" t="str">
        <f>+Q6</f>
        <v>EMPRESA COMERCIAL</v>
      </c>
      <c r="Y6" s="211"/>
      <c r="Z6" s="211"/>
      <c r="AA6" s="211"/>
      <c r="AB6" s="211"/>
      <c r="AC6" s="211"/>
      <c r="AD6" s="1"/>
      <c r="AE6" s="1"/>
      <c r="AF6" s="1"/>
      <c r="AG6" s="187" t="s">
        <v>123</v>
      </c>
      <c r="AH6" s="132" t="s">
        <v>124</v>
      </c>
      <c r="AI6" s="132">
        <v>2019</v>
      </c>
      <c r="AJ6" s="132">
        <v>2020</v>
      </c>
      <c r="AK6" s="132">
        <v>2021</v>
      </c>
      <c r="AL6" s="132">
        <v>2022</v>
      </c>
      <c r="AM6" s="132">
        <v>2023</v>
      </c>
    </row>
    <row r="7" spans="2:39">
      <c r="B7" s="211" t="s">
        <v>0</v>
      </c>
      <c r="C7" s="211"/>
      <c r="D7" s="211"/>
      <c r="E7" s="211"/>
      <c r="F7" s="211"/>
      <c r="G7" s="211"/>
      <c r="H7" s="211"/>
      <c r="I7" s="211"/>
      <c r="J7" s="211"/>
      <c r="K7" s="28"/>
      <c r="L7" s="27"/>
      <c r="M7" s="27"/>
      <c r="P7" s="216"/>
      <c r="Q7" s="210" t="s">
        <v>84</v>
      </c>
      <c r="R7" s="211"/>
      <c r="S7" s="211"/>
      <c r="T7" s="211"/>
      <c r="U7" s="152"/>
      <c r="X7" s="212" t="s">
        <v>100</v>
      </c>
      <c r="Y7" s="213"/>
      <c r="Z7" s="213"/>
      <c r="AA7" s="213"/>
      <c r="AB7" s="213"/>
      <c r="AC7" s="213"/>
      <c r="AD7" s="1"/>
      <c r="AE7" s="1"/>
      <c r="AF7" s="1"/>
      <c r="AG7" s="188" t="s">
        <v>125</v>
      </c>
      <c r="AH7" s="133" t="s">
        <v>126</v>
      </c>
      <c r="AI7" s="134">
        <f>+(I33*360)/I9</f>
        <v>71.664585363600821</v>
      </c>
      <c r="AJ7" s="134">
        <f>(Q33/Q9)*360</f>
        <v>74.364095332981989</v>
      </c>
      <c r="AK7" s="134">
        <f>(R33/R9)*360</f>
        <v>75.003729945837861</v>
      </c>
      <c r="AL7" s="134">
        <f>(S33/S9)*360</f>
        <v>74.794715216414829</v>
      </c>
      <c r="AM7" s="134">
        <f>(T33/T9)*360</f>
        <v>75.777213403850098</v>
      </c>
    </row>
    <row r="8" spans="2:39" ht="51" customHeight="1">
      <c r="B8" s="1"/>
      <c r="C8" s="13">
        <v>2017</v>
      </c>
      <c r="D8" s="21" t="s">
        <v>65</v>
      </c>
      <c r="E8" s="15" t="s">
        <v>66</v>
      </c>
      <c r="F8" s="14">
        <v>2018</v>
      </c>
      <c r="G8" s="22" t="s">
        <v>64</v>
      </c>
      <c r="H8" s="15" t="s">
        <v>70</v>
      </c>
      <c r="I8" s="16">
        <v>2019</v>
      </c>
      <c r="J8" s="23" t="s">
        <v>81</v>
      </c>
      <c r="K8" s="31" t="s">
        <v>79</v>
      </c>
      <c r="L8" s="46">
        <v>43983</v>
      </c>
      <c r="M8" s="44" t="s">
        <v>77</v>
      </c>
      <c r="Q8" s="13">
        <v>2020</v>
      </c>
      <c r="R8" s="13">
        <v>2021</v>
      </c>
      <c r="S8" s="13">
        <v>2022</v>
      </c>
      <c r="T8" s="13">
        <v>2023</v>
      </c>
      <c r="U8" s="200">
        <v>2024</v>
      </c>
      <c r="V8" s="200">
        <v>2025</v>
      </c>
      <c r="W8" s="200">
        <v>2026</v>
      </c>
      <c r="X8" s="189"/>
      <c r="Y8" s="115"/>
      <c r="Z8" s="13">
        <v>2020</v>
      </c>
      <c r="AA8" s="13">
        <v>2021</v>
      </c>
      <c r="AB8" s="13">
        <v>2022</v>
      </c>
      <c r="AC8" s="180">
        <v>2023</v>
      </c>
      <c r="AD8" s="201">
        <v>2024</v>
      </c>
      <c r="AE8" s="201">
        <v>2025</v>
      </c>
      <c r="AF8" s="200">
        <v>2026</v>
      </c>
      <c r="AG8" s="188" t="s">
        <v>127</v>
      </c>
      <c r="AH8" s="133" t="s">
        <v>128</v>
      </c>
      <c r="AI8" s="134">
        <f>(I36/I10)*360</f>
        <v>23.958897147233401</v>
      </c>
      <c r="AJ8" s="134">
        <f>(Q36/Q10)*360</f>
        <v>37.784711710186443</v>
      </c>
      <c r="AK8" s="134">
        <f>(R36/R10)*360</f>
        <v>38.543130803407728</v>
      </c>
      <c r="AL8" s="134">
        <f>(S36/S10)*360</f>
        <v>38.543130803407728</v>
      </c>
      <c r="AM8" s="134">
        <f>(T36/T10)*360</f>
        <v>38.54313080340772</v>
      </c>
    </row>
    <row r="9" spans="2:39">
      <c r="B9" s="1" t="s">
        <v>1</v>
      </c>
      <c r="C9" s="2">
        <f>+EEFF!D7</f>
        <v>12534.2493636</v>
      </c>
      <c r="D9" s="24">
        <f>C9/$C$9</f>
        <v>1</v>
      </c>
      <c r="E9" s="20">
        <f>(F9-C9)/C9</f>
        <v>1.4539023336270073E-3</v>
      </c>
      <c r="F9" s="10">
        <f>+EEFF!E7</f>
        <v>12552.472938000001</v>
      </c>
      <c r="G9" s="35">
        <f>F9/$F$9</f>
        <v>1</v>
      </c>
      <c r="H9" s="18">
        <f>(I9-F9)/F9</f>
        <v>6.4732600851913458E-2</v>
      </c>
      <c r="I9" s="10">
        <f>+EEFF!F7</f>
        <v>13365.0271584</v>
      </c>
      <c r="J9" s="35">
        <f>I9/$I$9</f>
        <v>1</v>
      </c>
      <c r="K9" s="20">
        <f>L9*2/I9-1</f>
        <v>2.2521383640496939E-3</v>
      </c>
      <c r="L9" s="10">
        <f>+EEFF!G7</f>
        <v>6697.5635243999996</v>
      </c>
      <c r="M9" s="32">
        <f>L9/$L$9</f>
        <v>1</v>
      </c>
      <c r="O9" s="330"/>
      <c r="P9" s="91" t="s">
        <v>28</v>
      </c>
      <c r="Q9" s="328">
        <v>13796.980860264001</v>
      </c>
      <c r="R9" s="98">
        <f t="shared" ref="R9:W9" si="0">+Q9*((1+R2)*(1+R3)-1)+Q9</f>
        <v>14636.872070132569</v>
      </c>
      <c r="S9" s="98">
        <f t="shared" si="0"/>
        <v>15603.637470364825</v>
      </c>
      <c r="T9" s="98">
        <f t="shared" si="0"/>
        <v>16634.257725282419</v>
      </c>
      <c r="U9" s="98">
        <f t="shared" si="0"/>
        <v>17862.07387362983</v>
      </c>
      <c r="V9" s="98">
        <f t="shared" si="0"/>
        <v>19273.204502757395</v>
      </c>
      <c r="W9" s="98">
        <f t="shared" si="0"/>
        <v>20896.02759509407</v>
      </c>
      <c r="X9" s="190" t="s">
        <v>90</v>
      </c>
      <c r="Y9" s="117" t="s">
        <v>29</v>
      </c>
      <c r="Z9" s="9">
        <f t="shared" ref="Z9:AE9" si="1">Q16</f>
        <v>893.86443913432618</v>
      </c>
      <c r="AA9" s="9">
        <f t="shared" si="1"/>
        <v>1167.8049204034737</v>
      </c>
      <c r="AB9" s="9">
        <f t="shared" si="1"/>
        <v>1244.9384353961236</v>
      </c>
      <c r="AC9" s="181">
        <f t="shared" si="1"/>
        <v>1327.1666190540359</v>
      </c>
      <c r="AD9" s="181">
        <f t="shared" si="1"/>
        <v>1521.6110472075597</v>
      </c>
      <c r="AE9" s="181">
        <f t="shared" si="1"/>
        <v>1813.432174238977</v>
      </c>
      <c r="AF9" s="9">
        <f t="shared" ref="AF9" si="2">W16</f>
        <v>2222.5170715342006</v>
      </c>
      <c r="AG9" s="188" t="s">
        <v>129</v>
      </c>
      <c r="AH9" s="133" t="s">
        <v>130</v>
      </c>
      <c r="AI9" s="134">
        <f>(I58/I10)*360</f>
        <v>123.86213191729438</v>
      </c>
      <c r="AJ9" s="134">
        <f>+(Q58/Q10)*360</f>
        <v>105.43693693392156</v>
      </c>
      <c r="AK9" s="134">
        <f>+(R58/R10)*360</f>
        <v>107.46457033649698</v>
      </c>
      <c r="AL9" s="134">
        <f>+(S58/S10)*360</f>
        <v>106.85469214078776</v>
      </c>
      <c r="AM9" s="134">
        <f>+(T58/T10)*360</f>
        <v>107.25061731686405</v>
      </c>
    </row>
    <row r="10" spans="2:39">
      <c r="B10" s="12" t="s">
        <v>2</v>
      </c>
      <c r="C10" s="2">
        <f>+EEFF!D8</f>
        <v>9928.9589411999987</v>
      </c>
      <c r="D10" s="25">
        <f t="shared" ref="D10:D22" si="3">C10/$C$9</f>
        <v>0.79214627483270939</v>
      </c>
      <c r="E10" s="17">
        <f>(F10-C10)/C10</f>
        <v>-1.8439400856045011E-2</v>
      </c>
      <c r="F10" s="10">
        <f>+EEFF!E8</f>
        <v>9745.8748871999996</v>
      </c>
      <c r="G10" s="35">
        <f t="shared" ref="G10:G22" si="4">F10/$F$9</f>
        <v>0.776410746737911</v>
      </c>
      <c r="H10" s="17">
        <f t="shared" ref="H10:H22" si="5">(I10-F10)/F10</f>
        <v>7.51792658206904E-2</v>
      </c>
      <c r="I10" s="10">
        <f>+EEFF!F8</f>
        <v>10478.562606</v>
      </c>
      <c r="J10" s="35">
        <f t="shared" ref="J10:J22" si="6">I10/$I$9</f>
        <v>0.78402853071751222</v>
      </c>
      <c r="K10" s="20">
        <f t="shared" ref="K10:K22" si="7">L10*2/I10-1</f>
        <v>-2.5635394786512777E-2</v>
      </c>
      <c r="L10" s="10">
        <f>+EEFF!G8</f>
        <v>5104.9702583999997</v>
      </c>
      <c r="M10" s="136">
        <f t="shared" ref="M10:M22" si="8">L10/$L$9</f>
        <v>0.76221304057841366</v>
      </c>
      <c r="P10" s="92"/>
      <c r="Q10" s="328">
        <v>10516.238732304</v>
      </c>
      <c r="R10" s="98">
        <f>+Q10*(1+R4)</f>
        <v>10936.888281596161</v>
      </c>
      <c r="S10" s="98">
        <f t="shared" ref="S10" si="9">+R10*((1+S2)*(1+S3)-1)+R10</f>
        <v>11659.269752595586</v>
      </c>
      <c r="T10" s="98">
        <f>+S10*((1+T2)*(1+T3)-1)+S10</f>
        <v>12429.364519754525</v>
      </c>
      <c r="U10" s="98">
        <f>+T10*((1+T2)*(1+T3)-1)+T10</f>
        <v>13250.32404628431</v>
      </c>
      <c r="V10" s="98">
        <f>+U10*((1+T2)*(1+T3)-1)+U10</f>
        <v>14125.507949541388</v>
      </c>
      <c r="W10" s="98">
        <f>+V10*((1+T2)*(1+T3)-1)+V10</f>
        <v>15058.497749608596</v>
      </c>
      <c r="X10" s="191" t="s">
        <v>91</v>
      </c>
      <c r="Y10" s="117" t="s">
        <v>92</v>
      </c>
      <c r="Z10" s="119">
        <f>Z9*33%</f>
        <v>294.97526491432762</v>
      </c>
      <c r="AA10" s="119">
        <f t="shared" ref="AA10:AF10" si="10">AA9*33%</f>
        <v>385.37562373314637</v>
      </c>
      <c r="AB10" s="119">
        <f>AB9*33%</f>
        <v>410.82968368072079</v>
      </c>
      <c r="AC10" s="182">
        <f>AC9*33%</f>
        <v>437.96498428783184</v>
      </c>
      <c r="AD10" s="182">
        <f>AD9*33%</f>
        <v>502.13164557849473</v>
      </c>
      <c r="AE10" s="182">
        <f t="shared" si="10"/>
        <v>598.43261749886244</v>
      </c>
      <c r="AF10" s="119">
        <f t="shared" si="10"/>
        <v>733.43063360628628</v>
      </c>
      <c r="AG10" s="188" t="s">
        <v>131</v>
      </c>
      <c r="AH10" s="133" t="s">
        <v>132</v>
      </c>
      <c r="AI10" s="134">
        <f>+AI7+AI8</f>
        <v>95.623482510834222</v>
      </c>
      <c r="AJ10" s="134">
        <f t="shared" ref="AJ10:AM10" si="11">+AJ7+AJ8</f>
        <v>112.14880704316843</v>
      </c>
      <c r="AK10" s="134">
        <f t="shared" si="11"/>
        <v>113.54686074924558</v>
      </c>
      <c r="AL10" s="134">
        <f t="shared" si="11"/>
        <v>113.33784601982256</v>
      </c>
      <c r="AM10" s="134">
        <f t="shared" si="11"/>
        <v>114.32034420725782</v>
      </c>
    </row>
    <row r="11" spans="2:39">
      <c r="B11" s="12" t="s">
        <v>3</v>
      </c>
      <c r="C11" s="2">
        <f>+EEFF!D9</f>
        <v>2605.2904223999999</v>
      </c>
      <c r="D11" s="25">
        <f t="shared" si="3"/>
        <v>0.20785372516729048</v>
      </c>
      <c r="E11" s="17">
        <f t="shared" ref="E11:E22" si="12">(F11-C11)/C11</f>
        <v>7.7268786108903281E-2</v>
      </c>
      <c r="F11" s="10">
        <f>+EEFF!E9</f>
        <v>2806.5980507999998</v>
      </c>
      <c r="G11" s="35">
        <f t="shared" si="4"/>
        <v>0.22358925326208895</v>
      </c>
      <c r="H11" s="17">
        <f t="shared" si="5"/>
        <v>2.8456693888615471E-2</v>
      </c>
      <c r="I11" s="10">
        <f>+EEFF!F9</f>
        <v>2886.4645524000002</v>
      </c>
      <c r="J11" s="35">
        <f t="shared" si="6"/>
        <v>0.21597146928248775</v>
      </c>
      <c r="K11" s="20">
        <f t="shared" si="7"/>
        <v>0.10349061080678168</v>
      </c>
      <c r="L11" s="10">
        <f>+EEFF!G9</f>
        <v>1592.5932660000001</v>
      </c>
      <c r="M11" s="32">
        <f t="shared" si="8"/>
        <v>0.23778695942158642</v>
      </c>
      <c r="P11" s="93"/>
      <c r="Q11" s="99">
        <v>3280.7421279599985</v>
      </c>
      <c r="R11" s="99">
        <f t="shared" ref="R11:S11" si="13">+R9-R10</f>
        <v>3699.9837885364086</v>
      </c>
      <c r="S11" s="99">
        <f t="shared" si="13"/>
        <v>3944.3677177692389</v>
      </c>
      <c r="T11" s="99">
        <f>+T9-T10</f>
        <v>4204.8932055278947</v>
      </c>
      <c r="U11" s="99">
        <f>+U9-U10</f>
        <v>4611.7498273455203</v>
      </c>
      <c r="V11" s="99">
        <f>+V9-V10</f>
        <v>5147.6965532160066</v>
      </c>
      <c r="W11" s="99">
        <f>+W9-W10</f>
        <v>5837.5298454854747</v>
      </c>
      <c r="X11" s="191" t="s">
        <v>90</v>
      </c>
      <c r="Y11" s="117" t="s">
        <v>93</v>
      </c>
      <c r="Z11" s="97">
        <f>+Q14</f>
        <v>96.578866021848</v>
      </c>
      <c r="AA11" s="97">
        <f>+R14</f>
        <v>102.45810449092798</v>
      </c>
      <c r="AB11" s="97">
        <f>+S14</f>
        <v>109.22546229255377</v>
      </c>
      <c r="AC11" s="183">
        <f>+T14</f>
        <v>116.43980407697693</v>
      </c>
      <c r="AD11" s="183">
        <f>+U14</f>
        <v>125.0345171154088</v>
      </c>
      <c r="AE11" s="183">
        <f t="shared" ref="AE11:AF11" si="14">+V14</f>
        <v>134.91243151930175</v>
      </c>
      <c r="AF11" s="97">
        <f t="shared" si="14"/>
        <v>146.27219316565848</v>
      </c>
      <c r="AG11" s="188" t="s">
        <v>133</v>
      </c>
      <c r="AH11" s="133" t="s">
        <v>134</v>
      </c>
      <c r="AI11" s="134">
        <f>+AI10-AI9</f>
        <v>-28.238649406460155</v>
      </c>
      <c r="AJ11" s="134">
        <f t="shared" ref="AJ11:AM11" si="15">+AJ10-AJ9</f>
        <v>6.711870109246874</v>
      </c>
      <c r="AK11" s="134">
        <f t="shared" si="15"/>
        <v>6.0822904127486055</v>
      </c>
      <c r="AL11" s="134">
        <f t="shared" si="15"/>
        <v>6.483153879034802</v>
      </c>
      <c r="AM11" s="134">
        <f t="shared" si="15"/>
        <v>7.0697268903937669</v>
      </c>
    </row>
    <row r="12" spans="2:39">
      <c r="B12" s="11" t="s">
        <v>5</v>
      </c>
      <c r="C12" s="2">
        <f>+EEFF!D10</f>
        <v>804.72640560000002</v>
      </c>
      <c r="D12" s="25">
        <f t="shared" si="3"/>
        <v>6.4202201684048207E-2</v>
      </c>
      <c r="E12" s="17">
        <f t="shared" si="12"/>
        <v>-0.22468196040515273</v>
      </c>
      <c r="F12" s="10">
        <f>+EEFF!E10</f>
        <v>623.91889919999994</v>
      </c>
      <c r="G12" s="35">
        <f t="shared" si="4"/>
        <v>4.9704859136657863E-2</v>
      </c>
      <c r="H12" s="18">
        <f t="shared" si="5"/>
        <v>0.131715763227196</v>
      </c>
      <c r="I12" s="10">
        <f>+EEFF!F10</f>
        <v>706.09885319999989</v>
      </c>
      <c r="J12" s="35">
        <f t="shared" si="6"/>
        <v>5.2831830779798493E-2</v>
      </c>
      <c r="K12" s="20">
        <f t="shared" si="7"/>
        <v>-3.1565239766345954E-2</v>
      </c>
      <c r="L12" s="10">
        <f>+EEFF!G10</f>
        <v>341.90533679999999</v>
      </c>
      <c r="M12" s="32">
        <f t="shared" si="8"/>
        <v>5.1049211486296361E-2</v>
      </c>
      <c r="P12" s="93"/>
      <c r="Q12" s="96">
        <v>717.443004733728</v>
      </c>
      <c r="R12" s="96">
        <f t="shared" ref="R12:S12" si="16">+R9*5.2%</f>
        <v>761.11734764689368</v>
      </c>
      <c r="S12" s="96">
        <f t="shared" si="16"/>
        <v>811.38914845897102</v>
      </c>
      <c r="T12" s="96">
        <f>+T9*5.2%</f>
        <v>864.98140171468583</v>
      </c>
      <c r="U12" s="96">
        <f>+U9*5.2%</f>
        <v>928.82784142875119</v>
      </c>
      <c r="V12" s="96">
        <f>+V9*5.2%</f>
        <v>1002.2066341433846</v>
      </c>
      <c r="W12" s="96">
        <f>+W9*5.2%</f>
        <v>1086.5934349448917</v>
      </c>
      <c r="X12" s="191" t="s">
        <v>90</v>
      </c>
      <c r="Y12" s="117" t="s">
        <v>94</v>
      </c>
      <c r="Z12" s="97">
        <f>+Q15</f>
        <v>13.796980860264</v>
      </c>
      <c r="AA12" s="97">
        <f>+R15</f>
        <v>14.63687207013257</v>
      </c>
      <c r="AB12" s="97">
        <f>+S15</f>
        <v>15.603637470364825</v>
      </c>
      <c r="AC12" s="183">
        <f>+T15</f>
        <v>16.634257725282421</v>
      </c>
      <c r="AD12" s="183">
        <f t="shared" ref="AD12:AF12" si="17">+U15</f>
        <v>17.862073873629829</v>
      </c>
      <c r="AE12" s="183">
        <f t="shared" si="17"/>
        <v>19.273204502757395</v>
      </c>
      <c r="AF12" s="97">
        <f t="shared" si="17"/>
        <v>20.896027595094072</v>
      </c>
    </row>
    <row r="13" spans="2:39">
      <c r="B13" s="11" t="s">
        <v>32</v>
      </c>
      <c r="C13" s="2">
        <f>+EEFF!D11</f>
        <v>1397.4845531999999</v>
      </c>
      <c r="D13" s="25">
        <f t="shared" si="3"/>
        <v>0.1114932783496677</v>
      </c>
      <c r="E13" s="17">
        <f t="shared" si="12"/>
        <v>-9.6161867186496715E-3</v>
      </c>
      <c r="F13" s="10">
        <f>+EEFF!E11</f>
        <v>1384.0460808</v>
      </c>
      <c r="G13" s="35">
        <f t="shared" si="4"/>
        <v>0.11026082968958957</v>
      </c>
      <c r="H13" s="18">
        <f t="shared" si="5"/>
        <v>9.1388331179615825E-2</v>
      </c>
      <c r="I13" s="10">
        <f>+EEFF!F11</f>
        <v>1510.5317423999998</v>
      </c>
      <c r="J13" s="35">
        <f t="shared" si="6"/>
        <v>0.11302122505981003</v>
      </c>
      <c r="K13" s="20">
        <f t="shared" si="7"/>
        <v>-0.32579698114657762</v>
      </c>
      <c r="L13" s="10">
        <f>+EEFF!G11</f>
        <v>509.2025304</v>
      </c>
      <c r="M13" s="32">
        <f t="shared" si="8"/>
        <v>7.6028025496871543E-2</v>
      </c>
      <c r="Q13" s="97">
        <f>+Q9*11.3%</f>
        <v>1559.0588372098321</v>
      </c>
      <c r="R13" s="97">
        <f t="shared" ref="R13:S13" si="18">+R9*11.3%</f>
        <v>1653.9665439249804</v>
      </c>
      <c r="S13" s="97">
        <f t="shared" si="18"/>
        <v>1763.2110341512252</v>
      </c>
      <c r="T13" s="97">
        <f>+T9*11.3%</f>
        <v>1879.6711229569135</v>
      </c>
      <c r="U13" s="97">
        <f>+U9*11.3%</f>
        <v>2018.4143477201708</v>
      </c>
      <c r="V13" s="97">
        <f>+V9*11.3%</f>
        <v>2177.8721088115858</v>
      </c>
      <c r="W13" s="97">
        <f>+W9*11.3%</f>
        <v>2361.2511182456301</v>
      </c>
      <c r="X13" s="192" t="s">
        <v>95</v>
      </c>
      <c r="Y13" s="118" t="s">
        <v>112</v>
      </c>
      <c r="Z13" s="120">
        <f>Z9-Z10+Z11+Z12</f>
        <v>709.2650211021105</v>
      </c>
      <c r="AA13" s="120">
        <f t="shared" ref="AA13:AF13" si="19">AA9-AA10+AA11+AA12</f>
        <v>899.52427323138795</v>
      </c>
      <c r="AB13" s="120">
        <f t="shared" si="19"/>
        <v>958.93785147832136</v>
      </c>
      <c r="AC13" s="184">
        <f>AC9-AC10+AC11+AC12</f>
        <v>1022.2756965684633</v>
      </c>
      <c r="AD13" s="184">
        <f>AD9-AD10+AD11+AD12</f>
        <v>1162.3759926181037</v>
      </c>
      <c r="AE13" s="184">
        <f t="shared" si="19"/>
        <v>1369.1851927621738</v>
      </c>
      <c r="AF13" s="120">
        <f t="shared" si="19"/>
        <v>1656.2546586886667</v>
      </c>
    </row>
    <row r="14" spans="2:39">
      <c r="B14" s="12" t="s">
        <v>27</v>
      </c>
      <c r="C14" s="2">
        <f>+EEFF!D12</f>
        <v>115.602306</v>
      </c>
      <c r="D14" s="25">
        <f t="shared" si="3"/>
        <v>9.222914164745603E-3</v>
      </c>
      <c r="E14" s="17">
        <f t="shared" si="12"/>
        <v>-2.296178071049889E-2</v>
      </c>
      <c r="F14" s="10">
        <f>+EEFF!E12</f>
        <v>112.94787120000001</v>
      </c>
      <c r="G14" s="35">
        <f t="shared" si="4"/>
        <v>8.9980573356245857E-3</v>
      </c>
      <c r="H14" s="17">
        <f t="shared" si="5"/>
        <v>-0.17245896352936324</v>
      </c>
      <c r="I14" s="10">
        <f>+EEFF!F12</f>
        <v>93.46899839999999</v>
      </c>
      <c r="J14" s="35">
        <f t="shared" si="6"/>
        <v>6.9935509514662047E-3</v>
      </c>
      <c r="K14" s="20">
        <f t="shared" si="7"/>
        <v>5.8669078281253944</v>
      </c>
      <c r="L14" s="10">
        <f>+EEFF!G12</f>
        <v>320.92149839999996</v>
      </c>
      <c r="M14" s="32">
        <f t="shared" si="8"/>
        <v>4.7916155961917464E-2</v>
      </c>
      <c r="Q14" s="97">
        <f>+Q9*0.7%</f>
        <v>96.578866021848</v>
      </c>
      <c r="R14" s="97">
        <f t="shared" ref="R14:S14" si="20">+R9*0.7%</f>
        <v>102.45810449092798</v>
      </c>
      <c r="S14" s="97">
        <f t="shared" si="20"/>
        <v>109.22546229255377</v>
      </c>
      <c r="T14" s="97">
        <f>+T9*0.7%</f>
        <v>116.43980407697693</v>
      </c>
      <c r="U14" s="97">
        <f>+U9*0.7%</f>
        <v>125.0345171154088</v>
      </c>
      <c r="V14" s="97">
        <f>+V9*0.7%</f>
        <v>134.91243151930175</v>
      </c>
      <c r="W14" s="97">
        <f>+W9*0.7%</f>
        <v>146.27219316565848</v>
      </c>
      <c r="X14" s="191" t="s">
        <v>96</v>
      </c>
      <c r="Y14" s="117" t="s">
        <v>97</v>
      </c>
      <c r="Z14" s="98">
        <f>-AA34</f>
        <v>-1121.1006088211197</v>
      </c>
      <c r="AA14" s="98">
        <f t="shared" ref="AA14:AB14" si="21">-AB34</f>
        <v>-81.891296789484841</v>
      </c>
      <c r="AB14" s="98">
        <f t="shared" si="21"/>
        <v>-73.81329017446069</v>
      </c>
      <c r="AC14" s="185">
        <f>-AD34</f>
        <v>-99.723895191327756</v>
      </c>
      <c r="AD14" s="185">
        <f t="shared" ref="AD14:AF14" si="22">-AE34</f>
        <v>774.33337068600758</v>
      </c>
      <c r="AE14" s="185">
        <f>-AF34</f>
        <v>-76.953710554205372</v>
      </c>
      <c r="AF14" s="185">
        <f t="shared" si="22"/>
        <v>-548.9174402823337</v>
      </c>
    </row>
    <row r="15" spans="2:39">
      <c r="B15" s="1" t="s">
        <v>50</v>
      </c>
      <c r="C15" s="2">
        <f>+EEFF!D13</f>
        <v>17.662087199999998</v>
      </c>
      <c r="D15" s="25">
        <f t="shared" si="3"/>
        <v>1.409106097034535E-3</v>
      </c>
      <c r="E15" s="17">
        <f t="shared" si="12"/>
        <v>-0.66028930034950795</v>
      </c>
      <c r="F15" s="10">
        <f>+EEFF!E13</f>
        <v>6</v>
      </c>
      <c r="G15" s="35">
        <f t="shared" si="4"/>
        <v>4.7799346229508672E-4</v>
      </c>
      <c r="H15" s="18">
        <f t="shared" si="5"/>
        <v>-1</v>
      </c>
      <c r="I15" s="10">
        <f>+EEFF!F13</f>
        <v>0</v>
      </c>
      <c r="J15" s="35">
        <f t="shared" si="6"/>
        <v>0</v>
      </c>
      <c r="K15" s="10"/>
      <c r="L15" s="10">
        <f>+EEFF!G13</f>
        <v>0</v>
      </c>
      <c r="M15" s="32">
        <f t="shared" si="8"/>
        <v>0</v>
      </c>
      <c r="P15" s="72"/>
      <c r="Q15" s="97">
        <f>+Q9*0.1%</f>
        <v>13.796980860264</v>
      </c>
      <c r="R15" s="97">
        <f t="shared" ref="R15:S15" si="23">+R9*0.1%</f>
        <v>14.63687207013257</v>
      </c>
      <c r="S15" s="97">
        <f t="shared" si="23"/>
        <v>15.603637470364825</v>
      </c>
      <c r="T15" s="97">
        <f>+T9*0.1%</f>
        <v>16.634257725282421</v>
      </c>
      <c r="U15" s="97">
        <f>+U9*0.1%</f>
        <v>17.862073873629829</v>
      </c>
      <c r="V15" s="97">
        <f>+V9*0.1%</f>
        <v>19.273204502757395</v>
      </c>
      <c r="W15" s="97">
        <f>+W9*0.1%</f>
        <v>20.896027595094072</v>
      </c>
      <c r="X15" s="191" t="s">
        <v>96</v>
      </c>
      <c r="Y15" s="117" t="s">
        <v>98</v>
      </c>
      <c r="Z15" s="98">
        <f>-AA39</f>
        <v>381.37564359999988</v>
      </c>
      <c r="AA15" s="98">
        <f>-AB39</f>
        <v>-24.399118000000044</v>
      </c>
      <c r="AB15" s="98">
        <f>-AC39</f>
        <v>-25</v>
      </c>
      <c r="AC15" s="185">
        <f>-AD39</f>
        <v>-34</v>
      </c>
      <c r="AD15" s="185">
        <f t="shared" ref="AD15:AF15" si="24">-AE39</f>
        <v>-24</v>
      </c>
      <c r="AE15" s="185">
        <f t="shared" si="24"/>
        <v>-27.100000000000023</v>
      </c>
      <c r="AF15" s="185">
        <f t="shared" si="24"/>
        <v>-27.100000000000023</v>
      </c>
    </row>
    <row r="16" spans="2:39">
      <c r="B16" s="3" t="s">
        <v>29</v>
      </c>
      <c r="C16" s="2">
        <f>+EEFF!D14</f>
        <v>269.81507039999997</v>
      </c>
      <c r="D16" s="25">
        <f t="shared" si="3"/>
        <v>2.1526224871794442E-2</v>
      </c>
      <c r="E16" s="17">
        <f t="shared" si="12"/>
        <v>1.519077969189671</v>
      </c>
      <c r="F16" s="10">
        <f>+EEFF!E14</f>
        <v>679.68519960000003</v>
      </c>
      <c r="G16" s="35">
        <f t="shared" si="4"/>
        <v>5.4147513637921856E-2</v>
      </c>
      <c r="H16" s="18">
        <f t="shared" si="5"/>
        <v>-0.15201190383548857</v>
      </c>
      <c r="I16" s="10">
        <f>+EEFF!F14</f>
        <v>576.36495839999998</v>
      </c>
      <c r="J16" s="35">
        <f t="shared" si="6"/>
        <v>4.312486249141298E-2</v>
      </c>
      <c r="K16" s="20">
        <f t="shared" si="7"/>
        <v>0.45936665395999543</v>
      </c>
      <c r="L16" s="10">
        <f>+EEFF!G14</f>
        <v>420.56390039999997</v>
      </c>
      <c r="M16" s="32">
        <f t="shared" si="8"/>
        <v>6.2793566476501042E-2</v>
      </c>
      <c r="P16" s="94"/>
      <c r="Q16" s="96">
        <f>+Q11-Q12-Q13-Q14-Q15</f>
        <v>893.86443913432618</v>
      </c>
      <c r="R16" s="96">
        <f t="shared" ref="R16:U16" si="25">+R11-R12-R13-R14-R15</f>
        <v>1167.8049204034737</v>
      </c>
      <c r="S16" s="96">
        <f t="shared" si="25"/>
        <v>1244.9384353961236</v>
      </c>
      <c r="T16" s="96">
        <f t="shared" si="25"/>
        <v>1327.1666190540359</v>
      </c>
      <c r="U16" s="96">
        <f t="shared" si="25"/>
        <v>1521.6110472075597</v>
      </c>
      <c r="V16" s="96">
        <f>+V11-V12-V13-V14-V15</f>
        <v>1813.432174238977</v>
      </c>
      <c r="W16" s="96">
        <f>+W11-W12-W13-W14-W15</f>
        <v>2222.5170715342006</v>
      </c>
      <c r="X16" s="193" t="s">
        <v>95</v>
      </c>
      <c r="Y16" s="118" t="s">
        <v>99</v>
      </c>
      <c r="Z16" s="122">
        <f>+Z13+Z14+Z15</f>
        <v>-30.459944119009378</v>
      </c>
      <c r="AA16" s="122">
        <f>+AA13+AA14+AA15</f>
        <v>793.23385844190307</v>
      </c>
      <c r="AB16" s="122">
        <f t="shared" ref="AB16" si="26">+AB13+AB14+AB15</f>
        <v>860.12456130386067</v>
      </c>
      <c r="AC16" s="186">
        <f>+AC13+AC14+AC15</f>
        <v>888.55180137713558</v>
      </c>
      <c r="AD16" s="186">
        <f t="shared" ref="AD16:AF16" si="27">+AD13+AD14+AD15</f>
        <v>1912.7093633041113</v>
      </c>
      <c r="AE16" s="186">
        <f t="shared" si="27"/>
        <v>1265.1314822079685</v>
      </c>
      <c r="AF16" s="186">
        <f t="shared" si="27"/>
        <v>1080.2372184063329</v>
      </c>
    </row>
    <row r="17" spans="2:33">
      <c r="B17" s="12" t="s">
        <v>33</v>
      </c>
      <c r="C17" s="2">
        <f>+EEFF!D15</f>
        <v>734.91076799999996</v>
      </c>
      <c r="D17" s="100">
        <f t="shared" si="3"/>
        <v>5.8632212163754499E-2</v>
      </c>
      <c r="E17" s="17">
        <f t="shared" si="12"/>
        <v>-0.22736106051993504</v>
      </c>
      <c r="F17" s="10">
        <f>+EEFF!E15</f>
        <v>567.82067640000002</v>
      </c>
      <c r="G17" s="35">
        <f t="shared" si="4"/>
        <v>4.5235761845862345E-2</v>
      </c>
      <c r="H17" s="17">
        <f t="shared" si="5"/>
        <v>-0.1899469013418266</v>
      </c>
      <c r="I17" s="10">
        <f>+EEFF!F15</f>
        <v>459.96489839999998</v>
      </c>
      <c r="J17" s="35">
        <f t="shared" si="6"/>
        <v>3.4415560323864308E-2</v>
      </c>
      <c r="K17" s="20">
        <f t="shared" si="7"/>
        <v>-0.5409764772606831</v>
      </c>
      <c r="L17" s="10">
        <f>+EEFF!G15</f>
        <v>105.56735399999999</v>
      </c>
      <c r="M17" s="32">
        <f t="shared" si="8"/>
        <v>1.5762053411722921E-2</v>
      </c>
      <c r="O17" s="19"/>
      <c r="P17" s="94"/>
      <c r="Q17" s="97">
        <f>+Q9*2.5%</f>
        <v>344.92452150660006</v>
      </c>
      <c r="R17" s="97">
        <f t="shared" ref="R17:S17" si="28">+R9*2.5%</f>
        <v>365.92180175331424</v>
      </c>
      <c r="S17" s="97">
        <f t="shared" si="28"/>
        <v>390.09093675912067</v>
      </c>
      <c r="T17" s="97">
        <f>+T9*2.5%</f>
        <v>415.85644313206052</v>
      </c>
      <c r="U17" s="97">
        <f>+U9*2.5%</f>
        <v>446.55184684074578</v>
      </c>
      <c r="V17" s="97">
        <f>+V9*2.5%</f>
        <v>481.83011256893491</v>
      </c>
      <c r="W17" s="97">
        <f>+W9*2.5%</f>
        <v>522.40068987735174</v>
      </c>
    </row>
    <row r="18" spans="2:33">
      <c r="B18" s="12" t="s">
        <v>34</v>
      </c>
      <c r="C18" s="2">
        <f>+EEFF!D16</f>
        <v>53.197939199999993</v>
      </c>
      <c r="D18" s="100">
        <f t="shared" si="3"/>
        <v>4.2442062270189951E-3</v>
      </c>
      <c r="E18" s="17">
        <f t="shared" si="12"/>
        <v>0.20720749272934252</v>
      </c>
      <c r="F18" s="10">
        <f>+EEFF!E16</f>
        <v>64.220950799999997</v>
      </c>
      <c r="G18" s="35">
        <f t="shared" si="4"/>
        <v>5.11619910412907E-3</v>
      </c>
      <c r="H18" s="17">
        <f t="shared" si="5"/>
        <v>1.2201141126674195</v>
      </c>
      <c r="I18" s="10">
        <f>+EEFF!F16</f>
        <v>142.5778392</v>
      </c>
      <c r="J18" s="35">
        <f t="shared" si="6"/>
        <v>1.0667979758678527E-2</v>
      </c>
      <c r="K18" s="20">
        <f t="shared" si="7"/>
        <v>-0.89530431318249348</v>
      </c>
      <c r="L18" s="10">
        <f>+EEFF!G16</f>
        <v>7.4636423999999995</v>
      </c>
      <c r="M18" s="32">
        <f t="shared" si="8"/>
        <v>1.1143817259528911E-3</v>
      </c>
      <c r="O18" s="19"/>
      <c r="P18" s="94"/>
      <c r="Q18" s="101">
        <f>+Q9*0.6%</f>
        <v>82.781885161584</v>
      </c>
      <c r="R18" s="101">
        <f t="shared" ref="R18:S18" si="29">+R9*0.6%</f>
        <v>87.821232420795411</v>
      </c>
      <c r="S18" s="101">
        <f t="shared" si="29"/>
        <v>93.621824822188955</v>
      </c>
      <c r="T18" s="101">
        <f>+T9*0.6%</f>
        <v>99.805546351694517</v>
      </c>
      <c r="U18" s="101">
        <f>+U9*0.6%</f>
        <v>107.17244324177898</v>
      </c>
      <c r="V18" s="101">
        <f>+V9*0.6%</f>
        <v>115.63922701654437</v>
      </c>
      <c r="W18" s="101">
        <f>+W9*0.6%</f>
        <v>125.37616557056442</v>
      </c>
      <c r="Y18" s="210" t="str">
        <f>+X6</f>
        <v>EMPRESA COMERCIAL</v>
      </c>
      <c r="Z18" s="211"/>
      <c r="AA18" s="211"/>
      <c r="AB18" s="211"/>
      <c r="AC18" s="211"/>
      <c r="AD18" s="211"/>
    </row>
    <row r="19" spans="2:33">
      <c r="B19" s="1" t="s">
        <v>4</v>
      </c>
      <c r="C19" s="2">
        <f>+EEFF!D17</f>
        <v>83.393493599999999</v>
      </c>
      <c r="D19" s="100">
        <f t="shared" si="3"/>
        <v>6.653249921944133E-3</v>
      </c>
      <c r="E19" s="17">
        <f t="shared" si="12"/>
        <v>-0.6890937592282379</v>
      </c>
      <c r="F19" s="10">
        <f>+EEFF!E17</f>
        <v>25.927557599999997</v>
      </c>
      <c r="G19" s="35">
        <f t="shared" si="4"/>
        <v>2.0655338376798812E-3</v>
      </c>
      <c r="H19" s="18">
        <f t="shared" si="5"/>
        <v>21.758092756102876</v>
      </c>
      <c r="I19" s="10">
        <f>+EEFF!F17</f>
        <v>590.0617608</v>
      </c>
      <c r="J19" s="35">
        <f t="shared" si="6"/>
        <v>4.4149686626648012E-2</v>
      </c>
      <c r="K19" s="20">
        <f t="shared" si="7"/>
        <v>-0.98836003066748801</v>
      </c>
      <c r="L19" s="10">
        <f>+EEFF!G17</f>
        <v>3.4341504</v>
      </c>
      <c r="M19" s="32">
        <f t="shared" si="8"/>
        <v>5.1274622293450334E-4</v>
      </c>
      <c r="P19" s="94"/>
      <c r="Q19" s="97">
        <f>+Q9*0.1%</f>
        <v>13.796980860264</v>
      </c>
      <c r="R19" s="97">
        <f t="shared" ref="R19:S19" si="30">+R9*0.1%</f>
        <v>14.63687207013257</v>
      </c>
      <c r="S19" s="97">
        <f t="shared" si="30"/>
        <v>15.603637470364825</v>
      </c>
      <c r="T19" s="97">
        <f>+T9*0.1%</f>
        <v>16.634257725282421</v>
      </c>
      <c r="U19" s="97">
        <f>+U9*0.1%</f>
        <v>17.862073873629829</v>
      </c>
      <c r="V19" s="97">
        <f>+V9*0.1%</f>
        <v>19.273204502757395</v>
      </c>
      <c r="W19" s="97">
        <f>+W9*0.1%</f>
        <v>20.896027595094072</v>
      </c>
      <c r="Y19" s="212" t="s">
        <v>102</v>
      </c>
      <c r="Z19" s="213"/>
      <c r="AA19" s="213"/>
      <c r="AB19" s="213"/>
      <c r="AC19" s="213"/>
      <c r="AD19" s="213"/>
    </row>
    <row r="20" spans="2:33">
      <c r="B20" s="1" t="s">
        <v>63</v>
      </c>
      <c r="C20" s="2">
        <f>+EEFF!D18</f>
        <v>-434.9001432</v>
      </c>
      <c r="D20" s="100">
        <f t="shared" si="3"/>
        <v>-3.4696943597034915E-2</v>
      </c>
      <c r="E20" s="17">
        <f t="shared" si="12"/>
        <v>-1.1691678679585222</v>
      </c>
      <c r="F20" s="10">
        <f>+EEFF!E18</f>
        <v>73.571129999999997</v>
      </c>
      <c r="G20" s="35">
        <f t="shared" si="4"/>
        <v>5.8610865256103206E-3</v>
      </c>
      <c r="H20" s="18">
        <f t="shared" si="5"/>
        <v>6.664473572717994</v>
      </c>
      <c r="I20" s="10">
        <f>+EEFF!F18</f>
        <v>563.88398159999997</v>
      </c>
      <c r="J20" s="35">
        <f t="shared" si="6"/>
        <v>4.2191009035518159E-2</v>
      </c>
      <c r="K20" s="20">
        <f t="shared" si="7"/>
        <v>0.10294693428829982</v>
      </c>
      <c r="L20" s="10">
        <f>+EEFF!G18</f>
        <v>310.96705439999999</v>
      </c>
      <c r="M20" s="32">
        <f t="shared" si="8"/>
        <v>4.6429877561759737E-2</v>
      </c>
      <c r="P20" s="94"/>
      <c r="Q20" s="97">
        <f>+Q16-Q17-Q18+Q19</f>
        <v>479.95501332640612</v>
      </c>
      <c r="R20" s="97">
        <f t="shared" ref="R20:U20" si="31">+R16-R17-R18+R19</f>
        <v>728.6987582994966</v>
      </c>
      <c r="S20" s="97">
        <f t="shared" si="31"/>
        <v>776.82931128517873</v>
      </c>
      <c r="T20" s="97">
        <f t="shared" si="31"/>
        <v>828.13888729556322</v>
      </c>
      <c r="U20" s="97">
        <f t="shared" si="31"/>
        <v>985.74883099866474</v>
      </c>
      <c r="V20" s="97">
        <f>+V16-V17-V18+V19</f>
        <v>1235.2360391562552</v>
      </c>
      <c r="W20" s="97">
        <f>+W16-W17-W18+W19</f>
        <v>1595.6362436813783</v>
      </c>
    </row>
    <row r="21" spans="2:33">
      <c r="B21" s="1" t="s">
        <v>35</v>
      </c>
      <c r="C21" s="2">
        <f>+EEFF!D19</f>
        <v>39.1032084</v>
      </c>
      <c r="D21" s="100">
        <f t="shared" si="3"/>
        <v>3.1197088286401419E-3</v>
      </c>
      <c r="E21" s="17">
        <f t="shared" si="12"/>
        <v>2.6190582049528186</v>
      </c>
      <c r="F21" s="10">
        <f>+EEFF!E19</f>
        <v>141.51678719999998</v>
      </c>
      <c r="G21" s="35">
        <f t="shared" si="4"/>
        <v>1.1274016514434167E-2</v>
      </c>
      <c r="H21" s="18">
        <f t="shared" si="5"/>
        <v>-0.77097643720391074</v>
      </c>
      <c r="I21" s="10">
        <f>+EEFF!F19</f>
        <v>32.410678799999999</v>
      </c>
      <c r="J21" s="35">
        <f t="shared" si="6"/>
        <v>2.4250365087832757E-3</v>
      </c>
      <c r="K21" s="20">
        <f t="shared" si="7"/>
        <v>3.5902648604817244</v>
      </c>
      <c r="L21" s="10">
        <f>+EEFF!G19</f>
        <v>74.386799999999994</v>
      </c>
      <c r="M21" s="32">
        <f t="shared" si="8"/>
        <v>1.1106546392430661E-2</v>
      </c>
      <c r="P21" s="94"/>
      <c r="Q21" s="97">
        <f>+Q20*24%</f>
        <v>115.18920319833747</v>
      </c>
      <c r="R21" s="97">
        <f t="shared" ref="R21:U21" si="32">+R20*24%</f>
        <v>174.88770199187917</v>
      </c>
      <c r="S21" s="97">
        <f t="shared" si="32"/>
        <v>186.43903470844288</v>
      </c>
      <c r="T21" s="97">
        <f t="shared" si="32"/>
        <v>198.75333295093517</v>
      </c>
      <c r="U21" s="97">
        <f t="shared" si="32"/>
        <v>236.57971943967954</v>
      </c>
      <c r="V21" s="97">
        <f>+V20*24%</f>
        <v>296.45664939750122</v>
      </c>
      <c r="W21" s="97">
        <f>+W20*24%</f>
        <v>382.95269848353081</v>
      </c>
      <c r="Y21" s="121" t="s">
        <v>103</v>
      </c>
      <c r="Z21" s="3">
        <v>2019</v>
      </c>
      <c r="AA21" s="13">
        <v>2020</v>
      </c>
      <c r="AB21" s="13">
        <v>2021</v>
      </c>
      <c r="AC21" s="13">
        <v>2022</v>
      </c>
      <c r="AD21" s="13">
        <v>2023</v>
      </c>
    </row>
    <row r="22" spans="2:33">
      <c r="B22" s="1" t="s">
        <v>36</v>
      </c>
      <c r="C22" s="2">
        <f>+EEFF!D20</f>
        <v>-474.00335159999997</v>
      </c>
      <c r="D22" s="100">
        <f t="shared" si="3"/>
        <v>-3.7816652425675057E-2</v>
      </c>
      <c r="E22" s="17">
        <f t="shared" si="12"/>
        <v>-0.85665574521646481</v>
      </c>
      <c r="F22" s="10">
        <f>+EEFF!E20</f>
        <v>-67.945657199999999</v>
      </c>
      <c r="G22" s="35">
        <f t="shared" si="4"/>
        <v>-5.4129299888238478E-3</v>
      </c>
      <c r="H22" s="18">
        <f t="shared" si="5"/>
        <v>-8.8220349129245008</v>
      </c>
      <c r="I22" s="10">
        <f>+EEFF!F20</f>
        <v>531.47330279999994</v>
      </c>
      <c r="J22" s="35">
        <f t="shared" si="6"/>
        <v>3.9765972526734882E-2</v>
      </c>
      <c r="K22" s="20">
        <f t="shared" si="7"/>
        <v>-0.10971914053403309</v>
      </c>
      <c r="L22" s="10">
        <f>+EEFF!G20</f>
        <v>236.5802544</v>
      </c>
      <c r="M22" s="136">
        <f t="shared" si="8"/>
        <v>3.5323331169329078E-2</v>
      </c>
      <c r="P22" s="6"/>
      <c r="Q22" s="97">
        <f>+Q20-Q21</f>
        <v>364.76581012806867</v>
      </c>
      <c r="R22" s="97">
        <f t="shared" ref="R22:U22" si="33">+R20-R21</f>
        <v>553.81105630761749</v>
      </c>
      <c r="S22" s="97">
        <f t="shared" si="33"/>
        <v>590.39027657673591</v>
      </c>
      <c r="T22" s="97">
        <f t="shared" si="33"/>
        <v>629.38555434462808</v>
      </c>
      <c r="U22" s="97">
        <f t="shared" si="33"/>
        <v>749.16911155898515</v>
      </c>
      <c r="V22" s="97">
        <f>+V20-V21</f>
        <v>938.77938975875395</v>
      </c>
      <c r="W22" s="97">
        <f>+W20-W21</f>
        <v>1212.6835451978475</v>
      </c>
      <c r="Y22" s="1" t="s">
        <v>8</v>
      </c>
      <c r="Z22" s="98">
        <f>+I37</f>
        <v>4410.5659272000012</v>
      </c>
      <c r="AA22" s="99">
        <f>+Q37</f>
        <v>5469.7268564217629</v>
      </c>
      <c r="AB22" s="99">
        <f>+R37</f>
        <v>5844.0142996430477</v>
      </c>
      <c r="AC22" s="99">
        <f>+S37</f>
        <v>6115.1310557850657</v>
      </c>
      <c r="AD22" s="99">
        <f>+T37</f>
        <v>6513.142910976394</v>
      </c>
    </row>
    <row r="23" spans="2:33">
      <c r="C23" s="19"/>
      <c r="D23" s="19"/>
      <c r="E23" s="107"/>
      <c r="F23" s="19"/>
      <c r="G23" s="19"/>
      <c r="H23" s="19"/>
      <c r="I23" s="19"/>
      <c r="J23" s="19"/>
      <c r="K23" s="19"/>
      <c r="L23" s="19"/>
      <c r="M23" s="4"/>
      <c r="P23" s="6"/>
      <c r="Y23" s="1" t="s">
        <v>18</v>
      </c>
      <c r="Z23" s="98">
        <f>+I63</f>
        <v>4124.0698416000005</v>
      </c>
      <c r="AA23" s="99">
        <f>+Q63</f>
        <v>3721.3436275638264</v>
      </c>
      <c r="AB23" s="99">
        <f>+R63</f>
        <v>3961.5523804057966</v>
      </c>
      <c r="AC23" s="99">
        <f>+S63</f>
        <v>4195.1205365336145</v>
      </c>
      <c r="AD23" s="99">
        <f>+T63</f>
        <v>4475.5578468854346</v>
      </c>
    </row>
    <row r="24" spans="2:33">
      <c r="C24" s="19"/>
      <c r="D24" s="19"/>
      <c r="E24" s="19"/>
      <c r="F24" s="116"/>
      <c r="G24" s="116"/>
      <c r="H24" s="116"/>
      <c r="I24" s="116"/>
      <c r="J24" s="116"/>
      <c r="K24" s="116"/>
      <c r="L24" s="116"/>
      <c r="P24" s="6"/>
      <c r="Y24" s="1" t="s">
        <v>101</v>
      </c>
      <c r="Z24" s="124">
        <f>Z22-Z23</f>
        <v>286.4960856000007</v>
      </c>
      <c r="AA24" s="124">
        <f t="shared" ref="AA24:AC24" si="34">AA22-AA23</f>
        <v>1748.3832288579365</v>
      </c>
      <c r="AB24" s="124">
        <f t="shared" si="34"/>
        <v>1882.4619192372511</v>
      </c>
      <c r="AC24" s="124">
        <f t="shared" si="34"/>
        <v>1920.0105192514511</v>
      </c>
      <c r="AD24" s="124">
        <f>AD22-AD23</f>
        <v>2037.5850640909593</v>
      </c>
    </row>
    <row r="25" spans="2:33"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P25" s="85"/>
      <c r="Q25" s="74"/>
      <c r="R25" s="112"/>
      <c r="S25" s="113"/>
      <c r="Y25" s="38" t="s">
        <v>107</v>
      </c>
      <c r="Z25" s="3"/>
      <c r="AA25" s="122">
        <f>AA24-Z24</f>
        <v>1461.8871432579358</v>
      </c>
      <c r="AB25" s="122">
        <f t="shared" ref="AB25:AD25" si="35">AB24-AA24</f>
        <v>134.07869037931459</v>
      </c>
      <c r="AC25" s="122">
        <f t="shared" si="35"/>
        <v>37.548600014200019</v>
      </c>
      <c r="AD25" s="122">
        <f t="shared" si="35"/>
        <v>117.57454483950823</v>
      </c>
    </row>
    <row r="26" spans="2:33">
      <c r="C26" s="19"/>
      <c r="D26" s="19"/>
      <c r="E26" s="19"/>
      <c r="F26" s="19"/>
      <c r="G26" s="19"/>
      <c r="H26" s="19"/>
      <c r="I26" s="19"/>
      <c r="J26" s="19"/>
      <c r="K26" s="19"/>
      <c r="L26" s="19"/>
      <c r="P26" s="74"/>
      <c r="Q26" s="74"/>
      <c r="R26" s="74"/>
      <c r="S26" s="74"/>
    </row>
    <row r="27" spans="2:33">
      <c r="B27" s="211" t="str">
        <f>+EEFF!C3</f>
        <v>EMPRESA COMERCIAL</v>
      </c>
      <c r="C27" s="211"/>
      <c r="D27" s="211"/>
      <c r="E27" s="211"/>
      <c r="F27" s="211"/>
      <c r="G27" s="211"/>
      <c r="H27" s="211"/>
      <c r="I27" s="211"/>
      <c r="J27" s="211"/>
      <c r="K27" s="28"/>
      <c r="L27" s="27"/>
      <c r="M27" s="27"/>
      <c r="N27" s="29"/>
      <c r="P27" s="74"/>
      <c r="Q27" s="217" t="str">
        <f>+B27</f>
        <v>EMPRESA COMERCIAL</v>
      </c>
      <c r="R27" s="218"/>
      <c r="S27" s="218"/>
      <c r="T27" s="218"/>
      <c r="U27" s="153"/>
    </row>
    <row r="28" spans="2:33">
      <c r="B28" s="211" t="s">
        <v>6</v>
      </c>
      <c r="C28" s="211"/>
      <c r="D28" s="211"/>
      <c r="E28" s="211"/>
      <c r="F28" s="211"/>
      <c r="G28" s="211"/>
      <c r="H28" s="211"/>
      <c r="I28" s="211"/>
      <c r="J28" s="211"/>
      <c r="K28" s="28"/>
      <c r="L28" s="27"/>
      <c r="M28" s="27"/>
      <c r="N28" s="29"/>
      <c r="P28" s="74"/>
      <c r="Q28" s="217" t="s">
        <v>88</v>
      </c>
      <c r="R28" s="218"/>
      <c r="S28" s="218"/>
      <c r="T28" s="218"/>
      <c r="U28" s="153"/>
    </row>
    <row r="29" spans="2:33" ht="23.25" customHeight="1">
      <c r="B29" s="37"/>
      <c r="C29" s="13">
        <v>2017</v>
      </c>
      <c r="D29" s="22" t="s">
        <v>65</v>
      </c>
      <c r="E29" s="15" t="s">
        <v>66</v>
      </c>
      <c r="F29" s="14">
        <v>2018</v>
      </c>
      <c r="G29" s="22" t="s">
        <v>64</v>
      </c>
      <c r="H29" s="15" t="s">
        <v>70</v>
      </c>
      <c r="I29" s="16">
        <v>2019</v>
      </c>
      <c r="J29" s="23" t="s">
        <v>80</v>
      </c>
      <c r="K29" s="31" t="s">
        <v>79</v>
      </c>
      <c r="L29" s="13">
        <v>2020</v>
      </c>
      <c r="M29" s="22" t="s">
        <v>77</v>
      </c>
      <c r="N29" s="31" t="s">
        <v>79</v>
      </c>
      <c r="P29" s="74"/>
      <c r="Q29" s="105">
        <v>2020</v>
      </c>
      <c r="R29" s="105">
        <v>2021</v>
      </c>
      <c r="S29" s="105">
        <v>2022</v>
      </c>
      <c r="T29" s="105">
        <v>2023</v>
      </c>
      <c r="U29" s="202">
        <v>2024</v>
      </c>
      <c r="V29" s="202">
        <v>2025</v>
      </c>
      <c r="W29" s="202">
        <v>2026</v>
      </c>
      <c r="Y29" s="121" t="s">
        <v>104</v>
      </c>
      <c r="Z29" s="13">
        <v>2019</v>
      </c>
      <c r="AA29" s="13">
        <v>2020</v>
      </c>
      <c r="AB29" s="13">
        <v>2021</v>
      </c>
      <c r="AC29" s="13">
        <v>2022</v>
      </c>
      <c r="AD29" s="13">
        <v>2023</v>
      </c>
      <c r="AE29" s="200">
        <v>2024</v>
      </c>
      <c r="AF29" s="200">
        <v>2025</v>
      </c>
      <c r="AG29" s="200">
        <v>2026</v>
      </c>
    </row>
    <row r="30" spans="2:33">
      <c r="B30" s="38" t="s">
        <v>7</v>
      </c>
      <c r="C30" s="12"/>
      <c r="D30" s="36"/>
      <c r="E30" s="12"/>
      <c r="F30" s="8"/>
      <c r="G30" s="36"/>
      <c r="H30" s="12"/>
      <c r="I30" s="12"/>
      <c r="J30" s="35"/>
      <c r="K30" s="20"/>
      <c r="L30" s="12"/>
      <c r="M30" s="33"/>
      <c r="N30" s="20"/>
      <c r="P30" s="74"/>
      <c r="Q30" s="103"/>
      <c r="R30" s="103"/>
      <c r="S30" s="103"/>
      <c r="T30" s="139"/>
      <c r="U30" s="139"/>
      <c r="V30" s="1"/>
      <c r="W30" s="1"/>
      <c r="Y30" s="1" t="s">
        <v>74</v>
      </c>
      <c r="Z30" s="98">
        <f>+I33</f>
        <v>2660.5531380000002</v>
      </c>
      <c r="AA30" s="98">
        <f>+Q33</f>
        <v>2850</v>
      </c>
      <c r="AB30" s="98">
        <f>+R33</f>
        <v>3049.5</v>
      </c>
      <c r="AC30" s="98">
        <f>+S33</f>
        <v>3241.8600581558799</v>
      </c>
      <c r="AD30" s="98">
        <f>+T33</f>
        <v>3501.3824929538</v>
      </c>
      <c r="AE30" s="98">
        <f>+U33</f>
        <v>2851</v>
      </c>
      <c r="AF30" s="98">
        <f t="shared" ref="AF30:AG30" si="36">+V33</f>
        <v>3050.57</v>
      </c>
      <c r="AG30" s="98">
        <f t="shared" si="36"/>
        <v>3760.9049277517202</v>
      </c>
    </row>
    <row r="31" spans="2:33">
      <c r="B31" s="12" t="s">
        <v>8</v>
      </c>
      <c r="C31" s="8">
        <f>+EEFF!D28</f>
        <v>0</v>
      </c>
      <c r="D31" s="35">
        <f t="shared" ref="D31:D78" si="37">C31/$C$53</f>
        <v>0</v>
      </c>
      <c r="E31" s="17"/>
      <c r="F31" s="8">
        <f>+EEFF!E28</f>
        <v>0</v>
      </c>
      <c r="G31" s="35">
        <f t="shared" ref="G31:G78" si="38">F31/$F$53</f>
        <v>0</v>
      </c>
      <c r="H31" s="12"/>
      <c r="I31" s="8">
        <f>+EEFF!F28</f>
        <v>0</v>
      </c>
      <c r="J31" s="35">
        <f t="shared" ref="J31:J78" si="39">I31/$I$53</f>
        <v>0</v>
      </c>
      <c r="K31" s="17"/>
      <c r="L31" s="8">
        <f>+EEFF!G28</f>
        <v>0</v>
      </c>
      <c r="M31" s="34">
        <f t="shared" ref="M31:M78" si="40">L31/$L$53</f>
        <v>0</v>
      </c>
      <c r="N31" s="17"/>
      <c r="P31" s="74"/>
      <c r="Q31" s="103"/>
      <c r="R31" s="103"/>
      <c r="S31" s="103"/>
      <c r="T31" s="139"/>
      <c r="U31" s="139"/>
      <c r="V31" s="1"/>
      <c r="W31" s="1"/>
      <c r="Y31" s="1" t="s">
        <v>75</v>
      </c>
      <c r="Z31" s="98">
        <f>+I36</f>
        <v>697.37445479999997</v>
      </c>
      <c r="AA31" s="98">
        <f>+Q36</f>
        <v>1103.75846882112</v>
      </c>
      <c r="AB31" s="98">
        <f>+R36</f>
        <v>1170.9497656106055</v>
      </c>
      <c r="AC31" s="98">
        <f>+S36</f>
        <v>1248.290997629186</v>
      </c>
      <c r="AD31" s="98">
        <f>+T36</f>
        <v>1330.7406180225935</v>
      </c>
      <c r="AE31" s="98">
        <f t="shared" ref="AE31:AG31" si="41">+U36</f>
        <v>1428.9659098903865</v>
      </c>
      <c r="AF31" s="98">
        <f t="shared" si="41"/>
        <v>1541.8563602205916</v>
      </c>
      <c r="AG31" s="98">
        <f t="shared" si="41"/>
        <v>1671.6822076075257</v>
      </c>
    </row>
    <row r="32" spans="2:33">
      <c r="B32" s="12" t="s">
        <v>31</v>
      </c>
      <c r="C32" s="8">
        <f>+EEFF!D29</f>
        <v>63.601537599999205</v>
      </c>
      <c r="D32" s="35">
        <f t="shared" si="37"/>
        <v>6.7628598677981263E-3</v>
      </c>
      <c r="E32" s="17">
        <f>IFERROR((F32-C32)/C32,"")</f>
        <v>1.1927049512086467</v>
      </c>
      <c r="F32" s="8">
        <f>+EEFF!E29</f>
        <v>139.45940640000117</v>
      </c>
      <c r="G32" s="35">
        <f t="shared" si="38"/>
        <v>1.526919225322222E-2</v>
      </c>
      <c r="H32" s="17">
        <f>IFERROR((I32-F32)/F32,"")</f>
        <v>-0.69727837877846699</v>
      </c>
      <c r="I32" s="8">
        <f>+EEFF!F29</f>
        <v>42.217377600000994</v>
      </c>
      <c r="J32" s="35">
        <f t="shared" si="39"/>
        <v>8.3989416009679716E-3</v>
      </c>
      <c r="K32" s="17">
        <f>IFERROR((L32-I32)/I32,"")</f>
        <v>0.39577122383835522</v>
      </c>
      <c r="L32" s="8">
        <f>+EEFF!G29</f>
        <v>58.925800799999351</v>
      </c>
      <c r="M32" s="34">
        <f t="shared" si="40"/>
        <v>1.2731873258398392E-2</v>
      </c>
      <c r="N32" s="17">
        <f>IFERROR((L32-I32)/I32,"")</f>
        <v>0.39577122383835522</v>
      </c>
      <c r="O32" s="19"/>
      <c r="P32" s="85"/>
      <c r="Q32" s="103">
        <v>323.926822400643</v>
      </c>
      <c r="R32" s="103">
        <v>375.56453403244302</v>
      </c>
      <c r="S32" s="103">
        <v>345</v>
      </c>
      <c r="T32" s="103">
        <v>348</v>
      </c>
      <c r="U32" s="103">
        <v>358.53658879967901</v>
      </c>
      <c r="V32" s="103">
        <v>362.70208867624098</v>
      </c>
      <c r="W32" s="103">
        <v>366.86758855280402</v>
      </c>
      <c r="Y32" s="1" t="s">
        <v>105</v>
      </c>
      <c r="Z32" s="124">
        <f>+I58</f>
        <v>3605.2697327999999</v>
      </c>
      <c r="AA32" s="125">
        <f>+Q58</f>
        <v>3080</v>
      </c>
      <c r="AB32" s="125">
        <f>+R58</f>
        <v>3264.8</v>
      </c>
      <c r="AC32" s="125">
        <f>+S58</f>
        <v>3460.6880000000006</v>
      </c>
      <c r="AD32" s="125">
        <f>+T58</f>
        <v>3702.9361600000007</v>
      </c>
      <c r="AE32" s="125">
        <f>+U58</f>
        <v>3925.112329600001</v>
      </c>
      <c r="AF32" s="125">
        <f t="shared" ref="AF32:AG32" si="42">+V58</f>
        <v>4160.6190693760009</v>
      </c>
      <c r="AG32" s="125">
        <f t="shared" si="42"/>
        <v>4451.8624042323208</v>
      </c>
    </row>
    <row r="33" spans="2:33">
      <c r="B33" s="12" t="s">
        <v>39</v>
      </c>
      <c r="C33" s="8">
        <f>+EEFF!D30</f>
        <v>2297.9160191999999</v>
      </c>
      <c r="D33" s="35">
        <f t="shared" si="37"/>
        <v>0.24434132588986815</v>
      </c>
      <c r="E33" s="17">
        <f>IFERROR((F33-C33)/C33,"")</f>
        <v>-1.3750413738357699E-3</v>
      </c>
      <c r="F33" s="8">
        <f>+EEFF!E30</f>
        <v>2294.7562895999999</v>
      </c>
      <c r="G33" s="35">
        <f t="shared" si="38"/>
        <v>0.25124927650769774</v>
      </c>
      <c r="H33" s="17">
        <f>IFERROR((I33-F33)/F33,"")</f>
        <v>0.15940553254296233</v>
      </c>
      <c r="I33" s="8">
        <f>+EEFF!F30</f>
        <v>2660.5531380000002</v>
      </c>
      <c r="J33" s="35">
        <f t="shared" si="39"/>
        <v>0.52930408525264616</v>
      </c>
      <c r="K33" s="17">
        <f t="shared" ref="K33:K78" si="43">IFERROR((L33-I33)/I33,"")</f>
        <v>-4.7777970597330847E-2</v>
      </c>
      <c r="L33" s="8">
        <f>+EEFF!G30</f>
        <v>2533.4373083999999</v>
      </c>
      <c r="M33" s="34">
        <f t="shared" si="40"/>
        <v>0.54739014626420002</v>
      </c>
      <c r="N33" s="17"/>
      <c r="O33" s="19"/>
      <c r="P33" s="74"/>
      <c r="Q33" s="103">
        <v>2850</v>
      </c>
      <c r="R33" s="103">
        <f>+Q33*(1+7%)</f>
        <v>3049.5</v>
      </c>
      <c r="S33" s="103">
        <v>3241.8600581558799</v>
      </c>
      <c r="T33" s="103">
        <v>3501.3824929538</v>
      </c>
      <c r="U33" s="103">
        <v>2851</v>
      </c>
      <c r="V33" s="103">
        <f>+U33*(1+7%)</f>
        <v>3050.57</v>
      </c>
      <c r="W33" s="103">
        <v>3760.9049277517202</v>
      </c>
      <c r="Y33" s="123" t="s">
        <v>106</v>
      </c>
      <c r="Z33" s="124">
        <f>Z30+Z31-Z32</f>
        <v>-247.34213999999974</v>
      </c>
      <c r="AA33" s="124">
        <f t="shared" ref="AA33:AC33" si="44">AA30+AA31-AA32</f>
        <v>873.75846882112</v>
      </c>
      <c r="AB33" s="124">
        <f t="shared" si="44"/>
        <v>955.64976561060485</v>
      </c>
      <c r="AC33" s="124">
        <f t="shared" si="44"/>
        <v>1029.4630557850655</v>
      </c>
      <c r="AD33" s="124">
        <f>AD30+AD31-AD32</f>
        <v>1129.1869509763933</v>
      </c>
      <c r="AE33" s="124">
        <f t="shared" ref="AE33" si="45">AE30+AE31-AE32</f>
        <v>354.85358029038571</v>
      </c>
      <c r="AF33" s="124">
        <f>AF30+AF31-AF32</f>
        <v>431.80729084459108</v>
      </c>
      <c r="AG33" s="124">
        <f>AG30+AG31-AG32</f>
        <v>980.72473112692478</v>
      </c>
    </row>
    <row r="34" spans="2:33">
      <c r="B34" s="12" t="s">
        <v>89</v>
      </c>
      <c r="C34" s="8">
        <f>+EEFF!D31</f>
        <v>461.90046839999997</v>
      </c>
      <c r="D34" s="35">
        <f t="shared" si="37"/>
        <v>4.9114663867175994E-2</v>
      </c>
      <c r="E34" s="17">
        <f t="shared" ref="E34:E52" si="46">IFERROR((F34-C34)/C34,"")</f>
        <v>-9.4723812148444206E-2</v>
      </c>
      <c r="F34" s="8">
        <f>+EEFF!E31</f>
        <v>418.14749519999998</v>
      </c>
      <c r="G34" s="35">
        <f t="shared" si="38"/>
        <v>4.5782315149823137E-2</v>
      </c>
      <c r="H34" s="17">
        <f t="shared" ref="H34:H60" si="47">IFERROR((I34-F34)/F34,"")</f>
        <v>-3.7151157852971982E-2</v>
      </c>
      <c r="I34" s="8">
        <f>+EEFF!F31</f>
        <v>402.61283159999994</v>
      </c>
      <c r="J34" s="35">
        <f t="shared" si="39"/>
        <v>8.0097861417348482E-2</v>
      </c>
      <c r="K34" s="26">
        <f t="shared" si="43"/>
        <v>-5.2158143883658518E-2</v>
      </c>
      <c r="L34" s="8">
        <f>+EEFF!G31</f>
        <v>381.61329359999996</v>
      </c>
      <c r="M34" s="34">
        <f t="shared" si="40"/>
        <v>8.2453730316300211E-2</v>
      </c>
      <c r="N34" s="17"/>
      <c r="O34" s="19"/>
      <c r="P34" s="74"/>
      <c r="Q34" s="103">
        <v>630</v>
      </c>
      <c r="R34" s="103">
        <v>650</v>
      </c>
      <c r="S34" s="103">
        <v>676</v>
      </c>
      <c r="T34" s="103">
        <v>723</v>
      </c>
      <c r="U34" s="103">
        <v>746</v>
      </c>
      <c r="V34" s="103">
        <v>776.5</v>
      </c>
      <c r="W34" s="103">
        <v>807</v>
      </c>
      <c r="Y34" s="3" t="s">
        <v>108</v>
      </c>
      <c r="Z34" s="3"/>
      <c r="AA34" s="122">
        <f>AA33-Z33</f>
        <v>1121.1006088211197</v>
      </c>
      <c r="AB34" s="122">
        <f t="shared" ref="AB34:AC34" si="48">AB33-AA33</f>
        <v>81.891296789484841</v>
      </c>
      <c r="AC34" s="122">
        <f t="shared" si="48"/>
        <v>73.81329017446069</v>
      </c>
      <c r="AD34" s="122">
        <f>AD33-AC33</f>
        <v>99.723895191327756</v>
      </c>
      <c r="AE34" s="122">
        <f t="shared" ref="AE34:AG34" si="49">AE33-AD33</f>
        <v>-774.33337068600758</v>
      </c>
      <c r="AF34" s="122">
        <f>AF33-AE33</f>
        <v>76.953710554205372</v>
      </c>
      <c r="AG34" s="122">
        <f t="shared" si="49"/>
        <v>548.9174402823337</v>
      </c>
    </row>
    <row r="35" spans="2:33">
      <c r="B35" s="12" t="s">
        <v>78</v>
      </c>
      <c r="C35" s="8">
        <f>+EEFF!D32</f>
        <v>202.87446479999997</v>
      </c>
      <c r="D35" s="35">
        <f t="shared" si="37"/>
        <v>2.1571987533159271E-2</v>
      </c>
      <c r="E35" s="17">
        <f t="shared" si="46"/>
        <v>-5.9149878777646943E-2</v>
      </c>
      <c r="F35" s="8">
        <f>+EEFF!E32</f>
        <v>190.87446479999997</v>
      </c>
      <c r="G35" s="35">
        <f t="shared" si="38"/>
        <v>2.0898546569907618E-2</v>
      </c>
      <c r="H35" s="17">
        <f t="shared" si="47"/>
        <v>2.184334404483423</v>
      </c>
      <c r="I35" s="8">
        <f>+EEFF!F32</f>
        <v>607.80812519999995</v>
      </c>
      <c r="J35" s="35">
        <f t="shared" si="39"/>
        <v>0.12092046541868837</v>
      </c>
      <c r="K35" s="17">
        <f t="shared" si="43"/>
        <v>-7.5297710087275468E-2</v>
      </c>
      <c r="L35" s="8">
        <f>+EEFF!G32</f>
        <v>562.04156519999992</v>
      </c>
      <c r="M35" s="34">
        <f t="shared" si="40"/>
        <v>0.12143817948891303</v>
      </c>
      <c r="N35" s="17"/>
      <c r="O35" s="19"/>
      <c r="P35" s="74"/>
      <c r="Q35" s="103">
        <f>+L35</f>
        <v>562.04156519999992</v>
      </c>
      <c r="R35" s="103">
        <v>598</v>
      </c>
      <c r="S35" s="103">
        <f t="shared" ref="S35" si="50">+R35*(1+1%)</f>
        <v>603.98</v>
      </c>
      <c r="T35" s="103">
        <f>+S35*(1+1%)</f>
        <v>610.01980000000003</v>
      </c>
      <c r="U35" s="103">
        <f t="shared" ref="U35:W35" si="51">+T35*(1+1%)</f>
        <v>616.11999800000001</v>
      </c>
      <c r="V35" s="103">
        <f t="shared" si="51"/>
        <v>622.28119798</v>
      </c>
      <c r="W35" s="103">
        <f t="shared" si="51"/>
        <v>628.50400995979999</v>
      </c>
    </row>
    <row r="36" spans="2:33">
      <c r="B36" s="12" t="s">
        <v>38</v>
      </c>
      <c r="C36" s="8">
        <f>+EEFF!D33</f>
        <v>728.9609868</v>
      </c>
      <c r="D36" s="35">
        <f t="shared" si="37"/>
        <v>7.7511663850408252E-2</v>
      </c>
      <c r="E36" s="17">
        <f t="shared" si="46"/>
        <v>-0.23203635511759882</v>
      </c>
      <c r="F36" s="8">
        <f>+EEFF!E33</f>
        <v>559.81553639999993</v>
      </c>
      <c r="G36" s="35">
        <f t="shared" si="38"/>
        <v>6.1293327372374709E-2</v>
      </c>
      <c r="H36" s="17">
        <f t="shared" si="47"/>
        <v>0.2457218663215365</v>
      </c>
      <c r="I36" s="8">
        <f>+EEFF!F33</f>
        <v>697.37445479999997</v>
      </c>
      <c r="J36" s="35">
        <f t="shared" si="39"/>
        <v>0.13873925034775111</v>
      </c>
      <c r="K36" s="17">
        <f t="shared" si="43"/>
        <v>-0.26570286468715087</v>
      </c>
      <c r="L36" s="8">
        <f>+EEFF!G33</f>
        <v>512.08006439999997</v>
      </c>
      <c r="M36" s="34">
        <f t="shared" si="40"/>
        <v>0.11064318837553003</v>
      </c>
      <c r="N36" s="17"/>
      <c r="O36" s="19"/>
      <c r="P36" s="74"/>
      <c r="Q36" s="103">
        <f>+Q9*8%</f>
        <v>1103.75846882112</v>
      </c>
      <c r="R36" s="103">
        <f>+R9*8%</f>
        <v>1170.9497656106055</v>
      </c>
      <c r="S36" s="103">
        <f t="shared" ref="S36" si="52">+S9*8%</f>
        <v>1248.290997629186</v>
      </c>
      <c r="T36" s="103">
        <f>+T9*8%</f>
        <v>1330.7406180225935</v>
      </c>
      <c r="U36" s="103">
        <f>+U9*8%</f>
        <v>1428.9659098903865</v>
      </c>
      <c r="V36" s="103">
        <f t="shared" ref="V36:W36" si="53">+V9*8%</f>
        <v>1541.8563602205916</v>
      </c>
      <c r="W36" s="103">
        <f t="shared" si="53"/>
        <v>1671.6822076075257</v>
      </c>
    </row>
    <row r="37" spans="2:33">
      <c r="B37" s="38" t="s">
        <v>16</v>
      </c>
      <c r="C37" s="8">
        <f>+EEFF!D37</f>
        <v>3755.2534767999996</v>
      </c>
      <c r="D37" s="35">
        <f t="shared" si="37"/>
        <v>0.39930250100840986</v>
      </c>
      <c r="E37" s="17">
        <f t="shared" si="46"/>
        <v>-4.0529962981272413E-2</v>
      </c>
      <c r="F37" s="8">
        <f>+EEFF!E37</f>
        <v>3603.0531924000011</v>
      </c>
      <c r="G37" s="35">
        <f t="shared" si="38"/>
        <v>0.3944926578530254</v>
      </c>
      <c r="H37" s="17">
        <f t="shared" si="47"/>
        <v>0.22411901564575964</v>
      </c>
      <c r="I37" s="8">
        <f>+EEFF!F37</f>
        <v>4410.5659272000012</v>
      </c>
      <c r="J37" s="35">
        <f t="shared" si="39"/>
        <v>0.87746060403740211</v>
      </c>
      <c r="K37" s="17">
        <f t="shared" si="43"/>
        <v>-8.2181720165355424E-2</v>
      </c>
      <c r="L37" s="8">
        <f>+EEFF!G37</f>
        <v>4048.0980323999993</v>
      </c>
      <c r="M37" s="34">
        <f t="shared" si="40"/>
        <v>0.87465711770334176</v>
      </c>
      <c r="N37" s="17"/>
      <c r="O37" s="19"/>
      <c r="P37" s="74"/>
      <c r="Q37" s="106">
        <f>SUM(Q32:Q36)</f>
        <v>5469.7268564217629</v>
      </c>
      <c r="R37" s="106">
        <f>SUM(R32:R36)</f>
        <v>5844.0142996430477</v>
      </c>
      <c r="S37" s="106">
        <f>SUM(S32:S36)</f>
        <v>6115.1310557850657</v>
      </c>
      <c r="T37" s="106">
        <f>SUM(T32:T36)</f>
        <v>6513.142910976394</v>
      </c>
      <c r="U37" s="106">
        <f t="shared" ref="U37:W37" si="54">SUM(U32:U36)</f>
        <v>6000.6224966900654</v>
      </c>
      <c r="V37" s="106">
        <f t="shared" si="54"/>
        <v>6353.909646876833</v>
      </c>
      <c r="W37" s="106">
        <f t="shared" si="54"/>
        <v>7234.9587338718502</v>
      </c>
      <c r="Y37" s="121" t="s">
        <v>109</v>
      </c>
      <c r="Z37" s="13">
        <v>2019</v>
      </c>
      <c r="AA37" s="13">
        <v>2020</v>
      </c>
      <c r="AB37" s="13">
        <v>2021</v>
      </c>
      <c r="AC37" s="13">
        <v>2022</v>
      </c>
      <c r="AD37" s="13">
        <v>2023</v>
      </c>
      <c r="AE37" s="200">
        <v>2024</v>
      </c>
      <c r="AF37" s="200">
        <v>2025</v>
      </c>
      <c r="AG37" s="200">
        <v>2026</v>
      </c>
    </row>
    <row r="38" spans="2:33">
      <c r="B38" s="12" t="s">
        <v>9</v>
      </c>
      <c r="C38" s="8">
        <f>+EEFF!D38</f>
        <v>0</v>
      </c>
      <c r="D38" s="35">
        <f t="shared" si="37"/>
        <v>0</v>
      </c>
      <c r="E38" s="17" t="str">
        <f t="shared" si="46"/>
        <v/>
      </c>
      <c r="F38" s="8">
        <f>+EEFF!E38</f>
        <v>0</v>
      </c>
      <c r="G38" s="35">
        <f t="shared" si="38"/>
        <v>0</v>
      </c>
      <c r="H38" s="17" t="str">
        <f t="shared" si="47"/>
        <v/>
      </c>
      <c r="I38" s="8">
        <f>+EEFF!F38</f>
        <v>0</v>
      </c>
      <c r="J38" s="35">
        <f t="shared" si="39"/>
        <v>0</v>
      </c>
      <c r="K38" s="17" t="str">
        <f t="shared" si="43"/>
        <v/>
      </c>
      <c r="L38" s="8">
        <f>+EEFF!G38</f>
        <v>0</v>
      </c>
      <c r="M38" s="34">
        <f t="shared" si="40"/>
        <v>0</v>
      </c>
      <c r="N38" s="17"/>
      <c r="O38" s="19"/>
      <c r="P38" s="74"/>
      <c r="Q38" s="103"/>
      <c r="R38" s="103"/>
      <c r="S38" s="103"/>
      <c r="T38" s="139"/>
      <c r="U38" s="139"/>
      <c r="V38" s="1"/>
      <c r="W38" s="1"/>
      <c r="Y38" s="126" t="s">
        <v>110</v>
      </c>
      <c r="Z38" s="127">
        <f>SUM(I43:I46)</f>
        <v>1025.2225595999998</v>
      </c>
      <c r="AA38" s="127">
        <f>SUM(Q43:Q46)</f>
        <v>643.84691599999996</v>
      </c>
      <c r="AB38" s="127">
        <f>SUM(R43:R46)</f>
        <v>668.24603400000001</v>
      </c>
      <c r="AC38" s="127">
        <f>SUM(S43:S46)</f>
        <v>693.24603400000001</v>
      </c>
      <c r="AD38" s="127">
        <f>SUM(T43:T46)</f>
        <v>727.24603400000001</v>
      </c>
      <c r="AE38" s="127">
        <f t="shared" ref="AE38:AG38" si="55">SUM(U43:U46)</f>
        <v>751.24603400000001</v>
      </c>
      <c r="AF38" s="127">
        <f t="shared" si="55"/>
        <v>778.34603400000003</v>
      </c>
      <c r="AG38" s="127">
        <f t="shared" si="55"/>
        <v>805.44603400000005</v>
      </c>
    </row>
    <row r="39" spans="2:33">
      <c r="B39" s="12" t="s">
        <v>10</v>
      </c>
      <c r="C39" s="8">
        <f>+EEFF!D39</f>
        <v>0</v>
      </c>
      <c r="D39" s="35">
        <f t="shared" si="37"/>
        <v>0</v>
      </c>
      <c r="E39" s="17" t="str">
        <f t="shared" si="46"/>
        <v/>
      </c>
      <c r="F39" s="8">
        <f>+EEFF!E39</f>
        <v>0</v>
      </c>
      <c r="G39" s="35">
        <f t="shared" si="38"/>
        <v>0</v>
      </c>
      <c r="H39" s="17" t="str">
        <f t="shared" si="47"/>
        <v/>
      </c>
      <c r="I39" s="8">
        <f>+EEFF!F39</f>
        <v>0</v>
      </c>
      <c r="J39" s="35">
        <f t="shared" si="39"/>
        <v>0</v>
      </c>
      <c r="K39" s="17" t="str">
        <f t="shared" si="43"/>
        <v/>
      </c>
      <c r="L39" s="8">
        <f>+EEFF!G39</f>
        <v>0</v>
      </c>
      <c r="M39" s="34">
        <f t="shared" si="40"/>
        <v>0</v>
      </c>
      <c r="N39" s="17"/>
      <c r="O39" s="19"/>
      <c r="P39" s="74"/>
      <c r="Q39" s="103"/>
      <c r="R39" s="103"/>
      <c r="S39" s="103"/>
      <c r="T39" s="139"/>
      <c r="U39" s="139"/>
      <c r="V39" s="1"/>
      <c r="W39" s="1"/>
      <c r="Y39" s="128" t="s">
        <v>108</v>
      </c>
      <c r="Z39" s="128"/>
      <c r="AA39" s="129">
        <f t="shared" ref="AA39:AG39" si="56">+AA38-Z38</f>
        <v>-381.37564359999988</v>
      </c>
      <c r="AB39" s="129">
        <f t="shared" si="56"/>
        <v>24.399118000000044</v>
      </c>
      <c r="AC39" s="129">
        <f t="shared" si="56"/>
        <v>25</v>
      </c>
      <c r="AD39" s="129">
        <f t="shared" si="56"/>
        <v>34</v>
      </c>
      <c r="AE39" s="129">
        <f t="shared" si="56"/>
        <v>24</v>
      </c>
      <c r="AF39" s="129">
        <f t="shared" si="56"/>
        <v>27.100000000000023</v>
      </c>
      <c r="AG39" s="129">
        <f t="shared" si="56"/>
        <v>27.100000000000023</v>
      </c>
    </row>
    <row r="40" spans="2:33" ht="15" customHeight="1">
      <c r="B40" s="39" t="s">
        <v>11</v>
      </c>
      <c r="C40" s="8">
        <f>+EEFF!D40</f>
        <v>5643.279345599999</v>
      </c>
      <c r="D40" s="35">
        <f t="shared" si="37"/>
        <v>0.60005950876780034</v>
      </c>
      <c r="E40" s="17">
        <f t="shared" si="46"/>
        <v>-2.0014580934765044E-2</v>
      </c>
      <c r="F40" s="8">
        <f>+EEFF!E40</f>
        <v>5530.3314743999999</v>
      </c>
      <c r="G40" s="35">
        <f t="shared" si="38"/>
        <v>0.60550734214697466</v>
      </c>
      <c r="H40" s="17">
        <f t="shared" si="47"/>
        <v>-0.88862409039110524</v>
      </c>
      <c r="I40" s="8">
        <f>+EEFF!F40</f>
        <v>615.94569839999997</v>
      </c>
      <c r="J40" s="35">
        <f t="shared" si="39"/>
        <v>0.12253939596259786</v>
      </c>
      <c r="K40" s="17">
        <f t="shared" si="43"/>
        <v>-5.8174516508645663E-2</v>
      </c>
      <c r="L40" s="8">
        <f>+EEFF!G40</f>
        <v>580.11335519999989</v>
      </c>
      <c r="M40" s="34">
        <f t="shared" si="40"/>
        <v>0.12534288229665821</v>
      </c>
      <c r="N40" s="17"/>
      <c r="O40" s="19"/>
      <c r="P40" s="74"/>
      <c r="Q40" s="140"/>
      <c r="R40" s="140"/>
      <c r="S40" s="140"/>
      <c r="T40" s="139"/>
      <c r="U40" s="139"/>
      <c r="V40" s="1"/>
      <c r="W40" s="1"/>
    </row>
    <row r="41" spans="2:33" ht="15" customHeight="1">
      <c r="B41" s="40" t="s">
        <v>41</v>
      </c>
      <c r="C41" s="8">
        <f>+EEFF!D41</f>
        <v>1013.898132</v>
      </c>
      <c r="D41" s="35">
        <f t="shared" si="37"/>
        <v>0.10780951602242983</v>
      </c>
      <c r="E41" s="17">
        <f t="shared" si="46"/>
        <v>0</v>
      </c>
      <c r="F41" s="8">
        <f>+EEFF!E41</f>
        <v>1013.898132</v>
      </c>
      <c r="G41" s="35">
        <f t="shared" si="38"/>
        <v>0.11101012045244694</v>
      </c>
      <c r="H41" s="17">
        <f t="shared" si="47"/>
        <v>-1</v>
      </c>
      <c r="I41" s="8">
        <f>+EEFF!F41</f>
        <v>0</v>
      </c>
      <c r="J41" s="35">
        <f t="shared" si="39"/>
        <v>0</v>
      </c>
      <c r="K41" s="17" t="str">
        <f t="shared" si="43"/>
        <v/>
      </c>
      <c r="L41" s="8">
        <f>+EEFF!G41</f>
        <v>0</v>
      </c>
      <c r="M41" s="34">
        <f t="shared" si="40"/>
        <v>0</v>
      </c>
      <c r="N41" s="17"/>
      <c r="O41" s="19"/>
      <c r="P41" s="74"/>
      <c r="Q41" s="140"/>
      <c r="R41" s="140"/>
      <c r="S41" s="140"/>
      <c r="T41" s="139"/>
      <c r="U41" s="139"/>
      <c r="V41" s="1"/>
      <c r="W41" s="1"/>
    </row>
    <row r="42" spans="2:33" ht="15" customHeight="1">
      <c r="B42" s="40" t="s">
        <v>42</v>
      </c>
      <c r="C42" s="8">
        <f>+EEFF!D42</f>
        <v>4522.3808603999996</v>
      </c>
      <c r="D42" s="35">
        <f t="shared" si="37"/>
        <v>0.48087246286476415</v>
      </c>
      <c r="E42" s="17">
        <f t="shared" si="46"/>
        <v>0</v>
      </c>
      <c r="F42" s="8">
        <f>+EEFF!E42</f>
        <v>4522.3808603999996</v>
      </c>
      <c r="G42" s="35">
        <f t="shared" si="38"/>
        <v>0.49514840613676619</v>
      </c>
      <c r="H42" s="17">
        <f t="shared" si="47"/>
        <v>-1</v>
      </c>
      <c r="I42" s="8">
        <f>+EEFF!F42</f>
        <v>0</v>
      </c>
      <c r="J42" s="35">
        <f t="shared" si="39"/>
        <v>0</v>
      </c>
      <c r="K42" s="17" t="str">
        <f t="shared" si="43"/>
        <v/>
      </c>
      <c r="L42" s="8">
        <f>+EEFF!G42</f>
        <v>0</v>
      </c>
      <c r="M42" s="34">
        <f t="shared" si="40"/>
        <v>0</v>
      </c>
      <c r="N42" s="17"/>
      <c r="O42" s="19"/>
      <c r="P42" s="74"/>
      <c r="Q42" s="140"/>
      <c r="R42" s="140"/>
      <c r="S42" s="140"/>
      <c r="T42" s="139"/>
      <c r="U42" s="139"/>
      <c r="V42" s="1"/>
      <c r="W42" s="1"/>
      <c r="AA42" s="131">
        <v>2020</v>
      </c>
      <c r="AB42" s="131">
        <v>2021</v>
      </c>
      <c r="AC42" s="131">
        <v>2022</v>
      </c>
      <c r="AD42" s="131">
        <v>2023</v>
      </c>
      <c r="AE42" s="203">
        <v>2024</v>
      </c>
      <c r="AF42" s="203">
        <v>2025</v>
      </c>
      <c r="AG42" s="203">
        <v>2026</v>
      </c>
    </row>
    <row r="43" spans="2:33" ht="15" customHeight="1">
      <c r="B43" s="40" t="s">
        <v>43</v>
      </c>
      <c r="C43" s="8">
        <f>+EEFF!D43</f>
        <v>161.97806279999998</v>
      </c>
      <c r="D43" s="35">
        <f t="shared" si="37"/>
        <v>1.7223403422464083E-2</v>
      </c>
      <c r="E43" s="17">
        <f t="shared" si="46"/>
        <v>0</v>
      </c>
      <c r="F43" s="8">
        <f>+EEFF!E43</f>
        <v>161.97806279999998</v>
      </c>
      <c r="G43" s="35">
        <f t="shared" si="38"/>
        <v>1.7734724716981738E-2</v>
      </c>
      <c r="H43" s="17">
        <f t="shared" si="47"/>
        <v>1.1421564278641319</v>
      </c>
      <c r="I43" s="8">
        <f>+EEFF!F43</f>
        <v>346.98234839999998</v>
      </c>
      <c r="J43" s="35">
        <f t="shared" si="39"/>
        <v>6.903044780257156E-2</v>
      </c>
      <c r="K43" s="17">
        <f t="shared" si="43"/>
        <v>0</v>
      </c>
      <c r="L43" s="8">
        <f>+EEFF!G43</f>
        <v>346.98234839999998</v>
      </c>
      <c r="M43" s="34">
        <f t="shared" si="40"/>
        <v>7.4971153938569512E-2</v>
      </c>
      <c r="N43" s="17"/>
      <c r="O43" s="19"/>
      <c r="P43" s="73"/>
      <c r="Q43" s="103">
        <f>+I43</f>
        <v>346.98234839999998</v>
      </c>
      <c r="R43" s="103">
        <v>365</v>
      </c>
      <c r="S43" s="103">
        <v>385</v>
      </c>
      <c r="T43" s="103">
        <v>402</v>
      </c>
      <c r="U43" s="103">
        <v>421</v>
      </c>
      <c r="V43" s="103">
        <v>439.5</v>
      </c>
      <c r="W43" s="103">
        <v>458</v>
      </c>
      <c r="Y43" s="130" t="s">
        <v>111</v>
      </c>
      <c r="Z43" s="165">
        <v>-5643</v>
      </c>
      <c r="AA43" s="138">
        <v>-30.4599441190093</v>
      </c>
      <c r="AB43" s="138">
        <v>793.23385844190204</v>
      </c>
      <c r="AC43" s="138">
        <v>860.12456130385794</v>
      </c>
      <c r="AD43" s="138">
        <v>888.55180137713705</v>
      </c>
      <c r="AE43" s="138">
        <v>1850</v>
      </c>
      <c r="AF43" s="138">
        <v>1077</v>
      </c>
      <c r="AG43" s="138">
        <v>692</v>
      </c>
    </row>
    <row r="44" spans="2:33" ht="15" customHeight="1">
      <c r="B44" s="40" t="s">
        <v>44</v>
      </c>
      <c r="C44" s="8">
        <f>+EEFF!D44</f>
        <v>234.52764479999999</v>
      </c>
      <c r="D44" s="35">
        <f t="shared" si="37"/>
        <v>2.4937724098468235E-2</v>
      </c>
      <c r="E44" s="17">
        <f t="shared" si="46"/>
        <v>0</v>
      </c>
      <c r="F44" s="8">
        <f>+EEFF!E44</f>
        <v>234.52764479999999</v>
      </c>
      <c r="G44" s="35">
        <f t="shared" si="38"/>
        <v>2.5678064962325713E-2</v>
      </c>
      <c r="H44" s="17">
        <f t="shared" si="47"/>
        <v>0.96725483681657642</v>
      </c>
      <c r="I44" s="8">
        <f>+EEFF!F44</f>
        <v>461.37564359999999</v>
      </c>
      <c r="J44" s="35">
        <f t="shared" si="39"/>
        <v>9.1788436586959413E-2</v>
      </c>
      <c r="K44" s="17">
        <f t="shared" si="43"/>
        <v>0</v>
      </c>
      <c r="L44" s="8">
        <f>+EEFF!G44</f>
        <v>461.37564359999999</v>
      </c>
      <c r="M44" s="34">
        <f t="shared" si="40"/>
        <v>9.9687677368438102E-2</v>
      </c>
      <c r="N44" s="17"/>
      <c r="O44" s="19"/>
      <c r="P44" s="73"/>
      <c r="Q44" s="103">
        <v>80</v>
      </c>
      <c r="R44" s="103">
        <v>81</v>
      </c>
      <c r="S44" s="103">
        <v>82</v>
      </c>
      <c r="T44" s="103">
        <v>95</v>
      </c>
      <c r="U44" s="103">
        <v>96</v>
      </c>
      <c r="V44" s="103">
        <v>100.6</v>
      </c>
      <c r="W44" s="103">
        <v>105.2</v>
      </c>
      <c r="Z44" t="s">
        <v>142</v>
      </c>
      <c r="AA44" s="204">
        <f>IRR(Z43:AD43)</f>
        <v>-0.22717193735118513</v>
      </c>
    </row>
    <row r="45" spans="2:33" ht="15" customHeight="1">
      <c r="B45" s="40" t="s">
        <v>45</v>
      </c>
      <c r="C45" s="8">
        <f>+EEFF!D45</f>
        <v>107.95466879999999</v>
      </c>
      <c r="D45" s="35">
        <f t="shared" si="37"/>
        <v>1.1479003884474761E-2</v>
      </c>
      <c r="E45" s="17">
        <f t="shared" si="46"/>
        <v>0</v>
      </c>
      <c r="F45" s="8">
        <f>+EEFF!E45</f>
        <v>107.95466879999999</v>
      </c>
      <c r="G45" s="35">
        <f t="shared" si="38"/>
        <v>1.1819787815618555E-2</v>
      </c>
      <c r="H45" s="17">
        <f t="shared" si="47"/>
        <v>1.5412624747916406E-2</v>
      </c>
      <c r="I45" s="8">
        <f>+EEFF!F45</f>
        <v>109.61853359999999</v>
      </c>
      <c r="J45" s="35">
        <f t="shared" si="39"/>
        <v>2.1808073225517532E-2</v>
      </c>
      <c r="K45" s="17">
        <f t="shared" si="43"/>
        <v>0</v>
      </c>
      <c r="L45" s="8">
        <f>+EEFF!G45</f>
        <v>109.61853359999999</v>
      </c>
      <c r="M45" s="34">
        <f t="shared" si="40"/>
        <v>2.3684858883864349E-2</v>
      </c>
      <c r="N45" s="17"/>
      <c r="O45" s="19"/>
      <c r="P45" s="73"/>
      <c r="Q45" s="103">
        <f>+I45</f>
        <v>109.61853359999999</v>
      </c>
      <c r="R45" s="103">
        <v>115</v>
      </c>
      <c r="S45" s="103">
        <v>119</v>
      </c>
      <c r="T45" s="103">
        <v>123</v>
      </c>
      <c r="U45" s="103">
        <v>127</v>
      </c>
      <c r="V45" s="103">
        <v>131</v>
      </c>
      <c r="W45" s="103">
        <v>135</v>
      </c>
      <c r="Y45" s="147"/>
      <c r="Z45" s="148"/>
      <c r="AA45" s="148"/>
      <c r="AB45" s="148"/>
      <c r="AC45" s="148"/>
      <c r="AD45" s="148"/>
    </row>
    <row r="46" spans="2:33" ht="15" customHeight="1">
      <c r="B46" s="40" t="s">
        <v>46</v>
      </c>
      <c r="C46" s="8">
        <f>+EEFF!D46</f>
        <v>107.130168</v>
      </c>
      <c r="D46" s="35">
        <f t="shared" si="37"/>
        <v>1.1391333309490305E-2</v>
      </c>
      <c r="E46" s="17">
        <f t="shared" si="46"/>
        <v>0</v>
      </c>
      <c r="F46" s="8">
        <f>+EEFF!E46</f>
        <v>107.130168</v>
      </c>
      <c r="G46" s="35">
        <f t="shared" si="38"/>
        <v>1.1729514512776394E-2</v>
      </c>
      <c r="H46" s="17">
        <f t="shared" si="47"/>
        <v>1.0815440894295706E-3</v>
      </c>
      <c r="I46" s="8">
        <f>+EEFF!F46</f>
        <v>107.24603399999999</v>
      </c>
      <c r="J46" s="35">
        <f t="shared" si="39"/>
        <v>2.1336075988324869E-2</v>
      </c>
      <c r="K46" s="17">
        <f t="shared" si="43"/>
        <v>0</v>
      </c>
      <c r="L46" s="8">
        <f>+EEFF!G46</f>
        <v>107.24603399999999</v>
      </c>
      <c r="M46" s="34">
        <f t="shared" si="40"/>
        <v>2.3172241935045537E-2</v>
      </c>
      <c r="N46" s="17"/>
      <c r="O46" s="19"/>
      <c r="P46" s="74"/>
      <c r="Q46" s="103">
        <f>+L46</f>
        <v>107.24603399999999</v>
      </c>
      <c r="R46" s="103">
        <f>+Q46</f>
        <v>107.24603399999999</v>
      </c>
      <c r="S46" s="103">
        <f t="shared" ref="S46" si="57">+R46</f>
        <v>107.24603399999999</v>
      </c>
      <c r="T46" s="103">
        <f>+S46</f>
        <v>107.24603399999999</v>
      </c>
      <c r="U46" s="103">
        <f t="shared" ref="U46:W46" si="58">+T46</f>
        <v>107.24603399999999</v>
      </c>
      <c r="V46" s="103">
        <f t="shared" si="58"/>
        <v>107.24603399999999</v>
      </c>
      <c r="W46" s="103">
        <f t="shared" si="58"/>
        <v>107.24603399999999</v>
      </c>
      <c r="Y46" s="147"/>
      <c r="Z46" s="149"/>
      <c r="AA46" s="150"/>
      <c r="AB46" s="150"/>
      <c r="AC46" s="150"/>
      <c r="AD46" s="150"/>
    </row>
    <row r="47" spans="2:33" ht="18.75">
      <c r="B47" s="40" t="s">
        <v>47</v>
      </c>
      <c r="C47" s="8">
        <f>+EEFF!D47</f>
        <v>0</v>
      </c>
      <c r="D47" s="35">
        <f t="shared" si="37"/>
        <v>0</v>
      </c>
      <c r="E47" s="17" t="str">
        <f t="shared" si="46"/>
        <v/>
      </c>
      <c r="F47" s="8">
        <f>+EEFF!E47</f>
        <v>0</v>
      </c>
      <c r="G47" s="35">
        <f t="shared" si="38"/>
        <v>0</v>
      </c>
      <c r="H47" s="17" t="str">
        <f t="shared" si="47"/>
        <v/>
      </c>
      <c r="I47" s="8">
        <f>+EEFF!F47</f>
        <v>0</v>
      </c>
      <c r="J47" s="35">
        <f t="shared" si="39"/>
        <v>0</v>
      </c>
      <c r="K47" s="17" t="str">
        <f t="shared" si="43"/>
        <v/>
      </c>
      <c r="L47" s="8">
        <f>+EEFF!G47</f>
        <v>0</v>
      </c>
      <c r="M47" s="34">
        <f t="shared" si="40"/>
        <v>0</v>
      </c>
      <c r="N47" s="17"/>
      <c r="O47" s="19"/>
      <c r="P47" s="74"/>
      <c r="Q47" s="141"/>
      <c r="R47" s="142"/>
      <c r="S47" s="142"/>
      <c r="T47" s="139"/>
      <c r="U47" s="194"/>
      <c r="Y47" s="210" t="str">
        <f>+X6</f>
        <v>EMPRESA COMERCIAL</v>
      </c>
      <c r="Z47" s="211"/>
      <c r="AA47" s="211"/>
      <c r="AB47" s="211"/>
      <c r="AC47" s="211"/>
      <c r="AD47" s="211"/>
    </row>
    <row r="48" spans="2:33" ht="15" customHeight="1">
      <c r="B48" s="40" t="s">
        <v>48</v>
      </c>
      <c r="C48" s="8">
        <f>+EEFF!D48</f>
        <v>-504.59019119999999</v>
      </c>
      <c r="D48" s="35">
        <f t="shared" si="37"/>
        <v>-5.3653934834290949E-2</v>
      </c>
      <c r="E48" s="17">
        <f t="shared" si="46"/>
        <v>0.22384079827511311</v>
      </c>
      <c r="F48" s="8">
        <f>+EEFF!E48</f>
        <v>-617.53806239999994</v>
      </c>
      <c r="G48" s="35">
        <f t="shared" si="38"/>
        <v>-6.7613276449940918E-2</v>
      </c>
      <c r="H48" s="17">
        <f t="shared" si="47"/>
        <v>-0.33724431558212559</v>
      </c>
      <c r="I48" s="8">
        <f>+EEFF!F48</f>
        <v>-409.27686119999998</v>
      </c>
      <c r="J48" s="35">
        <f t="shared" si="39"/>
        <v>-8.1423637640775523E-2</v>
      </c>
      <c r="K48" s="17">
        <f t="shared" si="43"/>
        <v>-2.0875503762781493</v>
      </c>
      <c r="L48" s="8">
        <f>+EEFF!G48</f>
        <v>445.10920439999995</v>
      </c>
      <c r="M48" s="34">
        <f t="shared" si="40"/>
        <v>9.6173049829259269E-2</v>
      </c>
      <c r="N48" s="17"/>
      <c r="O48" s="19"/>
      <c r="P48" s="74"/>
      <c r="Q48" s="103">
        <v>320</v>
      </c>
      <c r="R48" s="103">
        <v>342</v>
      </c>
      <c r="S48" s="103">
        <v>365</v>
      </c>
      <c r="T48" s="139">
        <v>383</v>
      </c>
      <c r="U48" s="194"/>
      <c r="Y48" s="212" t="s">
        <v>113</v>
      </c>
      <c r="Z48" s="213"/>
      <c r="AA48" s="213"/>
      <c r="AB48" s="213"/>
      <c r="AC48" s="213"/>
      <c r="AD48" s="213"/>
    </row>
    <row r="49" spans="2:30" ht="15" customHeight="1">
      <c r="B49" s="39" t="s">
        <v>49</v>
      </c>
      <c r="C49" s="8">
        <f>+EEFF!D49</f>
        <v>5643.2793455999999</v>
      </c>
      <c r="D49" s="35">
        <f t="shared" si="37"/>
        <v>0.60005950876780045</v>
      </c>
      <c r="E49" s="17">
        <f t="shared" si="46"/>
        <v>-2.0014580934765203E-2</v>
      </c>
      <c r="F49" s="8">
        <f>+EEFF!E49</f>
        <v>5530.3314743999999</v>
      </c>
      <c r="G49" s="35">
        <f t="shared" si="38"/>
        <v>0.60550734214697466</v>
      </c>
      <c r="H49" s="17">
        <f t="shared" si="47"/>
        <v>-0.88862409039110524</v>
      </c>
      <c r="I49" s="8">
        <f>+EEFF!F49</f>
        <v>615.94569839999986</v>
      </c>
      <c r="J49" s="35">
        <f t="shared" si="39"/>
        <v>0.12253939596259783</v>
      </c>
      <c r="K49" s="17">
        <f t="shared" si="43"/>
        <v>-5.8174516508645489E-2</v>
      </c>
      <c r="L49" s="8">
        <f>+EEFF!G49</f>
        <v>580.11335519999989</v>
      </c>
      <c r="M49" s="34">
        <f t="shared" si="40"/>
        <v>0.12534288229665821</v>
      </c>
      <c r="N49" s="17"/>
      <c r="O49" s="19"/>
      <c r="P49" s="74"/>
      <c r="Q49" s="103">
        <f>+SUM(Q43:Q46)-Q48</f>
        <v>323.84691599999996</v>
      </c>
      <c r="R49" s="103">
        <f t="shared" ref="R49:T49" si="59">+SUM(R43:R46)-R48</f>
        <v>326.24603400000001</v>
      </c>
      <c r="S49" s="103">
        <f t="shared" si="59"/>
        <v>328.24603400000001</v>
      </c>
      <c r="T49" s="103">
        <f t="shared" si="59"/>
        <v>344.24603400000001</v>
      </c>
      <c r="U49" s="195"/>
      <c r="Y49" s="1"/>
      <c r="Z49" s="13">
        <v>2019</v>
      </c>
      <c r="AA49" s="13">
        <v>2020</v>
      </c>
      <c r="AB49" s="13">
        <v>2021</v>
      </c>
      <c r="AC49" s="13">
        <v>2022</v>
      </c>
      <c r="AD49" s="13">
        <v>2023</v>
      </c>
    </row>
    <row r="50" spans="2:30" ht="15" customHeight="1">
      <c r="B50" s="12" t="s">
        <v>12</v>
      </c>
      <c r="C50" s="8">
        <f>+EEFF!D50</f>
        <v>6</v>
      </c>
      <c r="D50" s="35">
        <f t="shared" si="37"/>
        <v>6.3799022378964096E-4</v>
      </c>
      <c r="E50" s="17">
        <f t="shared" si="46"/>
        <v>-1</v>
      </c>
      <c r="F50" s="8">
        <f>+EEFF!E50</f>
        <v>0</v>
      </c>
      <c r="G50" s="35">
        <f t="shared" si="38"/>
        <v>0</v>
      </c>
      <c r="H50" s="17" t="str">
        <f t="shared" si="47"/>
        <v/>
      </c>
      <c r="I50" s="8">
        <f>+EEFF!F50</f>
        <v>0</v>
      </c>
      <c r="J50" s="35">
        <f t="shared" si="39"/>
        <v>0</v>
      </c>
      <c r="K50" s="17" t="str">
        <f t="shared" si="43"/>
        <v/>
      </c>
      <c r="L50" s="8">
        <f>+EEFF!G50</f>
        <v>0</v>
      </c>
      <c r="M50" s="34">
        <f t="shared" si="40"/>
        <v>0</v>
      </c>
      <c r="N50" s="17"/>
      <c r="O50" s="19"/>
      <c r="P50" s="74"/>
      <c r="Q50" s="103">
        <f>+R15</f>
        <v>14.63687207013257</v>
      </c>
      <c r="R50" s="103">
        <f>+S15</f>
        <v>15.603637470364825</v>
      </c>
      <c r="S50" s="103">
        <f>+T15</f>
        <v>16.634257725282421</v>
      </c>
      <c r="T50" s="103">
        <f>+V15</f>
        <v>19.273204502757395</v>
      </c>
      <c r="U50" s="195"/>
      <c r="Y50" s="1" t="s">
        <v>114</v>
      </c>
      <c r="Z50" s="154">
        <v>510</v>
      </c>
      <c r="AA50" s="155">
        <v>337</v>
      </c>
      <c r="AB50" s="155">
        <v>352</v>
      </c>
      <c r="AC50" s="155">
        <v>367</v>
      </c>
      <c r="AD50" s="155">
        <v>396</v>
      </c>
    </row>
    <row r="51" spans="2:30" ht="15" customHeight="1">
      <c r="B51" s="12" t="s">
        <v>13</v>
      </c>
      <c r="C51" s="8">
        <f>+EEFF!D51</f>
        <v>0.24537239999999999</v>
      </c>
      <c r="D51" s="35">
        <f t="shared" si="37"/>
        <v>2.6090865397966882E-5</v>
      </c>
      <c r="E51" s="17">
        <f t="shared" si="46"/>
        <v>6.7047345178186308</v>
      </c>
      <c r="F51" s="8">
        <f>+EEFF!E51</f>
        <v>1.8905292</v>
      </c>
      <c r="G51" s="35">
        <f t="shared" si="38"/>
        <v>2.0699108479161113E-4</v>
      </c>
      <c r="H51" s="17">
        <f t="shared" si="47"/>
        <v>-1</v>
      </c>
      <c r="I51" s="8">
        <f>+EEFF!F51</f>
        <v>0</v>
      </c>
      <c r="J51" s="35">
        <f t="shared" si="39"/>
        <v>0</v>
      </c>
      <c r="K51" s="17" t="str">
        <f t="shared" si="43"/>
        <v/>
      </c>
      <c r="L51" s="8">
        <f>+EEFF!G51</f>
        <v>0</v>
      </c>
      <c r="M51" s="34">
        <f t="shared" si="40"/>
        <v>0</v>
      </c>
      <c r="N51" s="17"/>
      <c r="O51" s="19"/>
      <c r="P51" s="74"/>
      <c r="Q51" s="106">
        <v>55</v>
      </c>
      <c r="R51" s="103">
        <v>63</v>
      </c>
      <c r="S51" s="103">
        <v>69</v>
      </c>
      <c r="T51" s="139">
        <v>75</v>
      </c>
      <c r="U51" s="194"/>
      <c r="Y51" s="1" t="s">
        <v>22</v>
      </c>
      <c r="Z51" s="154">
        <v>449</v>
      </c>
      <c r="AA51" s="156">
        <v>1910.8670169280699</v>
      </c>
      <c r="AB51" s="156">
        <v>2051.3115907076167</v>
      </c>
      <c r="AC51" s="156">
        <v>2087.8908109767353</v>
      </c>
      <c r="AD51" s="156">
        <v>2186.8320980909593</v>
      </c>
    </row>
    <row r="52" spans="2:30" ht="15" customHeight="1">
      <c r="B52" s="38" t="s">
        <v>15</v>
      </c>
      <c r="C52" s="8">
        <f>+EEFF!D52</f>
        <v>5649.2793455999999</v>
      </c>
      <c r="D52" s="35">
        <f t="shared" si="37"/>
        <v>0.60069749899159008</v>
      </c>
      <c r="E52" s="17">
        <f t="shared" si="46"/>
        <v>-2.1055406171876383E-2</v>
      </c>
      <c r="F52" s="8">
        <f>+EEFF!E52</f>
        <v>5530.3314743999999</v>
      </c>
      <c r="G52" s="35">
        <f t="shared" si="38"/>
        <v>0.60550734214697466</v>
      </c>
      <c r="H52" s="17">
        <f>IFERROR((I52-F52)/F52,"")</f>
        <v>-0.88862409039110524</v>
      </c>
      <c r="I52" s="8">
        <f>+EEFF!F52</f>
        <v>615.94569839999997</v>
      </c>
      <c r="J52" s="35">
        <f t="shared" si="39"/>
        <v>0.12253939596259786</v>
      </c>
      <c r="K52" s="17">
        <f t="shared" si="43"/>
        <v>-5.8174516508645663E-2</v>
      </c>
      <c r="L52" s="8">
        <f>+EEFF!G52</f>
        <v>580.11335519999989</v>
      </c>
      <c r="M52" s="34">
        <f t="shared" si="40"/>
        <v>0.12534288229665821</v>
      </c>
      <c r="N52" s="17"/>
      <c r="O52" s="19"/>
      <c r="P52" s="74"/>
      <c r="Q52" s="106">
        <f>+Q49+Q50+Q51</f>
        <v>393.48378807013256</v>
      </c>
      <c r="R52" s="106">
        <f t="shared" ref="R52:T52" si="60">+R49+R50+R51</f>
        <v>404.84967147036485</v>
      </c>
      <c r="S52" s="106">
        <f t="shared" si="60"/>
        <v>413.8802917252824</v>
      </c>
      <c r="T52" s="106">
        <f t="shared" si="60"/>
        <v>438.51923850275739</v>
      </c>
      <c r="U52" s="196"/>
      <c r="Y52" s="1" t="s">
        <v>115</v>
      </c>
      <c r="Z52" s="154">
        <f>Z50+Z51</f>
        <v>959</v>
      </c>
      <c r="AA52" s="154">
        <f t="shared" ref="AA52:AD52" si="61">AA50+AA51</f>
        <v>2247.8670169280699</v>
      </c>
      <c r="AB52" s="154">
        <f t="shared" si="61"/>
        <v>2403.3115907076167</v>
      </c>
      <c r="AC52" s="154">
        <f t="shared" si="61"/>
        <v>2454.8908109767353</v>
      </c>
      <c r="AD52" s="154">
        <f t="shared" si="61"/>
        <v>2582.8320980909593</v>
      </c>
    </row>
    <row r="53" spans="2:30" ht="15" customHeight="1">
      <c r="B53" s="41" t="s">
        <v>14</v>
      </c>
      <c r="C53" s="8">
        <f>+EEFF!D53</f>
        <v>9404.5328224000004</v>
      </c>
      <c r="D53" s="35">
        <f t="shared" si="37"/>
        <v>1</v>
      </c>
      <c r="E53" s="17">
        <f t="shared" ref="E53:E78" si="62">IFERROR((F53-C53)/C53,"")</f>
        <v>-2.8831645411898719E-2</v>
      </c>
      <c r="F53" s="8">
        <f>+EEFF!E53</f>
        <v>9133.3846668000006</v>
      </c>
      <c r="G53" s="35">
        <f t="shared" si="38"/>
        <v>1</v>
      </c>
      <c r="H53" s="17">
        <f t="shared" si="47"/>
        <v>-0.44965510498299155</v>
      </c>
      <c r="I53" s="8">
        <f>+EEFF!F53</f>
        <v>5026.511625600001</v>
      </c>
      <c r="J53" s="35">
        <f t="shared" si="39"/>
        <v>1</v>
      </c>
      <c r="K53" s="17">
        <f t="shared" si="43"/>
        <v>-7.9239891930511078E-2</v>
      </c>
      <c r="L53" s="8">
        <f>+EEFF!G53</f>
        <v>4628.2113875999994</v>
      </c>
      <c r="M53" s="34">
        <f t="shared" si="40"/>
        <v>1</v>
      </c>
      <c r="N53" s="17"/>
      <c r="O53" s="19"/>
      <c r="P53" s="74"/>
      <c r="Q53" s="143">
        <f>+Q52+Q37</f>
        <v>5863.2106444918954</v>
      </c>
      <c r="R53" s="143">
        <f>+R52+R37</f>
        <v>6248.8639711134128</v>
      </c>
      <c r="S53" s="143">
        <f>+S52+S37</f>
        <v>6529.0113475103481</v>
      </c>
      <c r="T53" s="143">
        <f>+T52+T37</f>
        <v>6951.6621494791516</v>
      </c>
      <c r="U53" s="197"/>
      <c r="Y53" s="1" t="s">
        <v>135</v>
      </c>
      <c r="Z53" s="154">
        <v>460</v>
      </c>
      <c r="AA53" s="157">
        <v>344.9245215066</v>
      </c>
      <c r="AB53" s="157">
        <v>365.92180175331418</v>
      </c>
      <c r="AC53" s="157">
        <v>390.09093675912061</v>
      </c>
      <c r="AD53" s="157">
        <v>415.85644313206052</v>
      </c>
    </row>
    <row r="54" spans="2:30" ht="15" customHeight="1">
      <c r="B54" s="38" t="s">
        <v>17</v>
      </c>
      <c r="C54" s="8">
        <f>+EEFF!D54</f>
        <v>0</v>
      </c>
      <c r="D54" s="35">
        <f t="shared" si="37"/>
        <v>0</v>
      </c>
      <c r="E54" s="17" t="str">
        <f t="shared" si="62"/>
        <v/>
      </c>
      <c r="F54" s="8">
        <f>+EEFF!E54</f>
        <v>0</v>
      </c>
      <c r="G54" s="35">
        <f t="shared" si="38"/>
        <v>0</v>
      </c>
      <c r="H54" s="17" t="str">
        <f>IFERROR((I54-F54)/F54,"")</f>
        <v/>
      </c>
      <c r="I54" s="8">
        <f>+EEFF!F54</f>
        <v>0</v>
      </c>
      <c r="J54" s="35">
        <f t="shared" si="39"/>
        <v>0</v>
      </c>
      <c r="K54" s="17" t="str">
        <f t="shared" si="43"/>
        <v/>
      </c>
      <c r="L54" s="8">
        <f>+EEFF!G54</f>
        <v>0</v>
      </c>
      <c r="M54" s="34">
        <f t="shared" si="40"/>
        <v>0</v>
      </c>
      <c r="N54" s="17"/>
      <c r="O54" s="19"/>
      <c r="P54" s="74"/>
      <c r="Q54" s="103"/>
      <c r="R54" s="103"/>
      <c r="S54" s="103"/>
      <c r="T54" s="139"/>
      <c r="U54" s="194"/>
      <c r="Y54" s="1" t="s">
        <v>116</v>
      </c>
      <c r="Z54" s="158">
        <f>Z53/Z50</f>
        <v>0.90196078431372551</v>
      </c>
      <c r="AA54" s="158">
        <f>AA53/AA50</f>
        <v>1.0235149006130564</v>
      </c>
      <c r="AB54" s="158">
        <f t="shared" ref="AB54:AD54" si="63">AB53/AB50</f>
        <v>1.0395505731628243</v>
      </c>
      <c r="AC54" s="158">
        <f t="shared" si="63"/>
        <v>1.0629180838123178</v>
      </c>
      <c r="AD54" s="158">
        <f t="shared" si="63"/>
        <v>1.0501425331617691</v>
      </c>
    </row>
    <row r="55" spans="2:30" ht="15" customHeight="1">
      <c r="B55" s="12" t="s">
        <v>18</v>
      </c>
      <c r="C55" s="8">
        <f>+EEFF!D55</f>
        <v>0</v>
      </c>
      <c r="D55" s="35">
        <f t="shared" si="37"/>
        <v>0</v>
      </c>
      <c r="E55" s="17" t="str">
        <f t="shared" si="62"/>
        <v/>
      </c>
      <c r="F55" s="8">
        <f>+EEFF!E55</f>
        <v>0</v>
      </c>
      <c r="G55" s="35">
        <f t="shared" si="38"/>
        <v>0</v>
      </c>
      <c r="H55" s="17" t="str">
        <f t="shared" si="47"/>
        <v/>
      </c>
      <c r="I55" s="8">
        <f>+EEFF!F55</f>
        <v>0</v>
      </c>
      <c r="J55" s="35">
        <f t="shared" si="39"/>
        <v>0</v>
      </c>
      <c r="K55" s="17" t="str">
        <f t="shared" si="43"/>
        <v/>
      </c>
      <c r="L55" s="8">
        <f>+EEFF!G55</f>
        <v>0</v>
      </c>
      <c r="M55" s="34">
        <f t="shared" si="40"/>
        <v>0</v>
      </c>
      <c r="N55" s="17"/>
      <c r="O55" s="19"/>
      <c r="P55" s="74"/>
      <c r="Q55" s="103"/>
      <c r="R55" s="103"/>
      <c r="S55" s="103"/>
      <c r="T55" s="139"/>
      <c r="U55" s="194"/>
      <c r="Y55" s="1" t="s">
        <v>136</v>
      </c>
      <c r="Z55" s="159">
        <v>0.33</v>
      </c>
      <c r="AA55" s="159">
        <v>0.32</v>
      </c>
      <c r="AB55" s="159">
        <v>0.31</v>
      </c>
      <c r="AC55" s="159">
        <v>0.35</v>
      </c>
      <c r="AD55" s="159">
        <v>0.34</v>
      </c>
    </row>
    <row r="56" spans="2:30" ht="15" customHeight="1">
      <c r="B56" s="12" t="s">
        <v>52</v>
      </c>
      <c r="C56" s="8">
        <f>+EEFF!D56</f>
        <v>785.01515159999997</v>
      </c>
      <c r="D56" s="35">
        <f t="shared" si="37"/>
        <v>8.3471998707923822E-2</v>
      </c>
      <c r="E56" s="17">
        <f t="shared" si="62"/>
        <v>-0.98231781695970011</v>
      </c>
      <c r="F56" s="8">
        <f>+EEFF!E56</f>
        <v>13.880781599999999</v>
      </c>
      <c r="G56" s="35">
        <f t="shared" si="38"/>
        <v>1.5197850639595703E-3</v>
      </c>
      <c r="H56" s="17">
        <f>IFERROR((I56-F56)/F56,"")</f>
        <v>3.1044352718581787</v>
      </c>
      <c r="I56" s="8">
        <f>+EEFF!F56</f>
        <v>56.972769599999999</v>
      </c>
      <c r="J56" s="35">
        <f t="shared" si="39"/>
        <v>1.1334454954771802E-2</v>
      </c>
      <c r="K56" s="17">
        <f t="shared" si="43"/>
        <v>0.11820939805601448</v>
      </c>
      <c r="L56" s="8">
        <f>+EEFF!G56</f>
        <v>63.707486400000001</v>
      </c>
      <c r="M56" s="34">
        <f t="shared" si="40"/>
        <v>1.3765033846700785E-2</v>
      </c>
      <c r="N56" s="17"/>
      <c r="O56" s="19"/>
      <c r="P56" s="74"/>
      <c r="Q56" s="103">
        <v>125.66872551276528</v>
      </c>
      <c r="R56" s="103">
        <v>136.95047608115914</v>
      </c>
      <c r="S56" s="103">
        <v>143.88650730672282</v>
      </c>
      <c r="T56" s="103">
        <v>151.32433737708689</v>
      </c>
      <c r="U56" s="195"/>
      <c r="Y56" s="1" t="s">
        <v>137</v>
      </c>
      <c r="Z56" s="158">
        <f>Z54*(1-Z55)</f>
        <v>0.60431372549019602</v>
      </c>
      <c r="AA56" s="158">
        <f t="shared" ref="AA56:AD56" si="64">AA54*(1-AA55)</f>
        <v>0.69599013241687824</v>
      </c>
      <c r="AB56" s="158">
        <f t="shared" si="64"/>
        <v>0.71728989548234867</v>
      </c>
      <c r="AC56" s="158">
        <f t="shared" si="64"/>
        <v>0.69089675447800658</v>
      </c>
      <c r="AD56" s="158">
        <f t="shared" si="64"/>
        <v>0.69309407188676753</v>
      </c>
    </row>
    <row r="57" spans="2:30" s="173" customFormat="1" ht="15" customHeight="1">
      <c r="B57" s="167" t="s">
        <v>51</v>
      </c>
      <c r="C57" s="168">
        <f>+EEFF!D57</f>
        <v>0</v>
      </c>
      <c r="D57" s="169">
        <f t="shared" si="37"/>
        <v>0</v>
      </c>
      <c r="E57" s="170" t="str">
        <f t="shared" si="62"/>
        <v/>
      </c>
      <c r="F57" s="168">
        <f>+EEFF!E57</f>
        <v>0</v>
      </c>
      <c r="G57" s="169">
        <f t="shared" si="38"/>
        <v>0</v>
      </c>
      <c r="H57" s="170" t="str">
        <f t="shared" si="47"/>
        <v/>
      </c>
      <c r="I57" s="168">
        <f>+EEFF!F57</f>
        <v>0</v>
      </c>
      <c r="J57" s="169">
        <f t="shared" si="39"/>
        <v>0</v>
      </c>
      <c r="K57" s="170" t="str">
        <f t="shared" si="43"/>
        <v/>
      </c>
      <c r="L57" s="168">
        <f>+EEFF!G57</f>
        <v>0</v>
      </c>
      <c r="M57" s="171">
        <f t="shared" si="40"/>
        <v>0</v>
      </c>
      <c r="N57" s="170"/>
      <c r="O57" s="172"/>
      <c r="P57" s="74"/>
      <c r="Q57" s="103"/>
      <c r="R57" s="103"/>
      <c r="S57" s="103"/>
      <c r="T57" s="103"/>
      <c r="U57" s="195"/>
      <c r="Y57" s="174" t="s">
        <v>117</v>
      </c>
      <c r="Z57" s="175"/>
      <c r="AA57" s="176"/>
      <c r="AB57" s="176"/>
      <c r="AC57" s="176"/>
      <c r="AD57" s="176"/>
    </row>
    <row r="58" spans="2:30" ht="15" customHeight="1">
      <c r="B58" s="12" t="s">
        <v>53</v>
      </c>
      <c r="C58" s="8">
        <f>+EEFF!D58</f>
        <v>2645.9356164000001</v>
      </c>
      <c r="D58" s="102">
        <f t="shared" si="37"/>
        <v>0.28134684267333626</v>
      </c>
      <c r="E58" s="47">
        <f t="shared" si="62"/>
        <v>0.23302865790774729</v>
      </c>
      <c r="F58" s="8">
        <f>+EEFF!E58</f>
        <v>3262.5144420000001</v>
      </c>
      <c r="G58" s="102">
        <f t="shared" si="38"/>
        <v>0.35720760276957264</v>
      </c>
      <c r="H58" s="47">
        <f t="shared" si="47"/>
        <v>0.10505862790599098</v>
      </c>
      <c r="I58" s="8">
        <f>+EEFF!F58</f>
        <v>3605.2697327999999</v>
      </c>
      <c r="J58" s="102">
        <f t="shared" si="39"/>
        <v>0.71725084936407535</v>
      </c>
      <c r="K58" s="17">
        <f t="shared" si="43"/>
        <v>-0.2908601746104561</v>
      </c>
      <c r="L58" s="8">
        <f>+EEFF!G58</f>
        <v>2556.6403487999996</v>
      </c>
      <c r="M58" s="34">
        <f t="shared" si="40"/>
        <v>0.55240353879466353</v>
      </c>
      <c r="N58" s="17"/>
      <c r="O58" s="19"/>
      <c r="P58" s="74"/>
      <c r="Q58" s="103">
        <v>3080</v>
      </c>
      <c r="R58" s="103">
        <f>+Q58*(1+6%)</f>
        <v>3264.8</v>
      </c>
      <c r="S58" s="103">
        <f>+R58*(1+6%)</f>
        <v>3460.6880000000006</v>
      </c>
      <c r="T58" s="103">
        <f>+S58*(1+7%)</f>
        <v>3702.9361600000007</v>
      </c>
      <c r="U58" s="103">
        <f>+T58*(1+6%)</f>
        <v>3925.112329600001</v>
      </c>
      <c r="V58" s="103">
        <f>+U58*(1+6%)</f>
        <v>4160.6190693760009</v>
      </c>
      <c r="W58" s="103">
        <f>+V58*(1+7%)</f>
        <v>4451.8624042323208</v>
      </c>
      <c r="Y58" s="1" t="s">
        <v>118</v>
      </c>
      <c r="Z58" s="161">
        <v>4.3499999999999997E-2</v>
      </c>
      <c r="AA58" s="161">
        <v>4.6399999999999997E-2</v>
      </c>
      <c r="AB58" s="161">
        <v>2.5899999999999999E-2</v>
      </c>
      <c r="AC58" s="161">
        <v>5.1000000000000004E-3</v>
      </c>
      <c r="AD58" s="161">
        <v>5.4999999999999997E-3</v>
      </c>
    </row>
    <row r="59" spans="2:30" ht="15" customHeight="1">
      <c r="B59" s="12" t="s">
        <v>54</v>
      </c>
      <c r="C59" s="8">
        <f>+EEFF!D59</f>
        <v>177.41365079999997</v>
      </c>
      <c r="D59" s="35">
        <f t="shared" si="37"/>
        <v>1.8864695796204867E-2</v>
      </c>
      <c r="E59" s="17">
        <f t="shared" si="62"/>
        <v>-0.21619969504623929</v>
      </c>
      <c r="F59" s="8">
        <f>+EEFF!E59</f>
        <v>139.05687359999999</v>
      </c>
      <c r="G59" s="35">
        <f t="shared" si="38"/>
        <v>1.5225119566623965E-2</v>
      </c>
      <c r="H59" s="17">
        <f t="shared" si="47"/>
        <v>3.7161183523113532E-2</v>
      </c>
      <c r="I59" s="8">
        <f>+EEFF!F59</f>
        <v>144.22439159999999</v>
      </c>
      <c r="J59" s="35">
        <f t="shared" si="39"/>
        <v>2.8692740083493654E-2</v>
      </c>
      <c r="K59" s="17">
        <f t="shared" si="43"/>
        <v>2.6804073548957117E-2</v>
      </c>
      <c r="L59" s="8">
        <f>+EEFF!G59</f>
        <v>148.09019279999998</v>
      </c>
      <c r="M59" s="34">
        <f t="shared" si="40"/>
        <v>3.1997283701597191E-2</v>
      </c>
      <c r="N59" s="17"/>
      <c r="O59" s="19"/>
      <c r="P59" s="74"/>
      <c r="Q59" s="103">
        <v>188.50308826914801</v>
      </c>
      <c r="R59" s="103">
        <v>205.42571412173899</v>
      </c>
      <c r="S59" s="103">
        <v>215.829760960084</v>
      </c>
      <c r="T59" s="103">
        <v>226.98650606563001</v>
      </c>
      <c r="U59" s="103">
        <v>240.64984241109801</v>
      </c>
      <c r="V59" s="103">
        <v>253.23527243387699</v>
      </c>
      <c r="W59" s="103">
        <v>265.82070245665602</v>
      </c>
      <c r="Y59" s="1" t="s">
        <v>119</v>
      </c>
      <c r="Z59" s="161">
        <v>0.14019999999999999</v>
      </c>
      <c r="AA59" s="161">
        <v>0.1434</v>
      </c>
      <c r="AB59" s="161">
        <v>0.16980000000000001</v>
      </c>
      <c r="AC59" s="161">
        <v>0.13589999999999999</v>
      </c>
      <c r="AD59" s="161">
        <v>0.15559999999999999</v>
      </c>
    </row>
    <row r="60" spans="2:30" ht="15" customHeight="1">
      <c r="B60" s="12" t="s">
        <v>55</v>
      </c>
      <c r="C60" s="8">
        <f>+EEFF!D60</f>
        <v>119.8464</v>
      </c>
      <c r="D60" s="35">
        <f t="shared" si="37"/>
        <v>1.2743471926063805E-2</v>
      </c>
      <c r="E60" s="17">
        <f t="shared" si="62"/>
        <v>1.0288669496956104</v>
      </c>
      <c r="F60" s="8">
        <f>+EEFF!E60</f>
        <v>243.1524</v>
      </c>
      <c r="G60" s="35">
        <f t="shared" si="38"/>
        <v>2.6622375917644513E-2</v>
      </c>
      <c r="H60" s="17">
        <f t="shared" si="47"/>
        <v>0.29713216896070122</v>
      </c>
      <c r="I60" s="8">
        <f>+EEFF!F60</f>
        <v>315.4008</v>
      </c>
      <c r="J60" s="35">
        <f t="shared" si="39"/>
        <v>6.2747452605832074E-2</v>
      </c>
      <c r="K60" s="17">
        <f t="shared" si="43"/>
        <v>-0.27746790750055167</v>
      </c>
      <c r="L60" s="8">
        <f>+EEFF!G60</f>
        <v>227.88720000000001</v>
      </c>
      <c r="M60" s="34">
        <f t="shared" si="40"/>
        <v>4.9238719002887413E-2</v>
      </c>
      <c r="N60" s="17"/>
      <c r="O60" s="19"/>
      <c r="P60" s="74"/>
      <c r="Q60" s="103">
        <v>314.17181378191299</v>
      </c>
      <c r="R60" s="103">
        <v>342.37619020289799</v>
      </c>
      <c r="S60" s="103">
        <v>359.71626826680705</v>
      </c>
      <c r="T60" s="103">
        <v>378.31084344271721</v>
      </c>
      <c r="U60" s="103">
        <v>401.08307068516399</v>
      </c>
      <c r="V60" s="103">
        <v>422.05878738979698</v>
      </c>
      <c r="W60" s="103">
        <v>443.034504094429</v>
      </c>
      <c r="Y60" s="1" t="s">
        <v>120</v>
      </c>
      <c r="Z60" s="160">
        <v>0.59</v>
      </c>
      <c r="AA60" s="160">
        <v>0.59</v>
      </c>
      <c r="AB60" s="160">
        <v>0.59</v>
      </c>
      <c r="AC60" s="160">
        <v>0.59</v>
      </c>
      <c r="AD60" s="160">
        <v>0.59</v>
      </c>
    </row>
    <row r="61" spans="2:30" ht="15" customHeight="1">
      <c r="B61" s="12" t="s">
        <v>40</v>
      </c>
      <c r="C61" s="8">
        <f>+EEFF!D61</f>
        <v>13</v>
      </c>
      <c r="D61" s="35">
        <f t="shared" si="37"/>
        <v>1.3823121515442222E-3</v>
      </c>
      <c r="E61" s="17">
        <f t="shared" si="62"/>
        <v>-0.10174276923076925</v>
      </c>
      <c r="F61" s="8">
        <f>+EEFF!E61</f>
        <v>11.677344</v>
      </c>
      <c r="G61" s="35">
        <f t="shared" si="38"/>
        <v>1.2785341279282073E-3</v>
      </c>
      <c r="H61" s="17">
        <f t="shared" ref="H61:H78" si="65">IFERROR((I61-F61)/F61,"")</f>
        <v>-0.81141708251465405</v>
      </c>
      <c r="I61" s="8">
        <f>+EEFF!F61</f>
        <v>2.2021476</v>
      </c>
      <c r="J61" s="35">
        <f t="shared" si="39"/>
        <v>4.3810653670519175E-4</v>
      </c>
      <c r="K61" s="17">
        <f t="shared" si="43"/>
        <v>5.2982672006181604</v>
      </c>
      <c r="L61" s="8">
        <f>+EEFF!G61</f>
        <v>13.869714</v>
      </c>
      <c r="M61" s="34">
        <f t="shared" si="40"/>
        <v>2.996776257272956E-3</v>
      </c>
      <c r="N61" s="17"/>
      <c r="O61" s="19"/>
      <c r="P61" s="77" t="s">
        <v>30</v>
      </c>
      <c r="Q61" s="103">
        <v>13</v>
      </c>
      <c r="R61" s="103">
        <v>12</v>
      </c>
      <c r="S61" s="103">
        <v>15</v>
      </c>
      <c r="T61" s="139">
        <v>16</v>
      </c>
      <c r="U61" s="103">
        <v>17</v>
      </c>
      <c r="V61" s="103">
        <v>18.2</v>
      </c>
      <c r="W61" s="103">
        <v>19.399999999999999</v>
      </c>
      <c r="Y61" s="1" t="s">
        <v>121</v>
      </c>
      <c r="Z61" s="162">
        <f>+Z60* (1+((Z50/Z51)*(1-Z55)))</f>
        <v>1.0390044543429844</v>
      </c>
      <c r="AA61" s="162">
        <f t="shared" ref="AA61:AD61" si="66">+AA60* (1+((AA50/AA51)*(1-AA55)))</f>
        <v>0.66075552552963945</v>
      </c>
      <c r="AB61" s="162">
        <f t="shared" si="66"/>
        <v>0.65985735402127166</v>
      </c>
      <c r="AC61" s="162">
        <f t="shared" si="66"/>
        <v>0.6574098948374405</v>
      </c>
      <c r="AD61" s="162">
        <f t="shared" si="66"/>
        <v>0.66051405553019549</v>
      </c>
    </row>
    <row r="62" spans="2:30" ht="15" customHeight="1">
      <c r="B62" s="12" t="s">
        <v>40</v>
      </c>
      <c r="C62" s="8">
        <f>+EEFF!D62</f>
        <v>0</v>
      </c>
      <c r="D62" s="35">
        <f t="shared" si="37"/>
        <v>0</v>
      </c>
      <c r="E62" s="17" t="str">
        <f t="shared" si="62"/>
        <v/>
      </c>
      <c r="F62" s="8">
        <f>+EEFF!E62</f>
        <v>0</v>
      </c>
      <c r="G62" s="35">
        <f t="shared" si="38"/>
        <v>0</v>
      </c>
      <c r="H62" s="17" t="str">
        <f t="shared" si="65"/>
        <v/>
      </c>
      <c r="I62" s="8">
        <f>+EEFF!F62</f>
        <v>0</v>
      </c>
      <c r="J62" s="35">
        <f t="shared" si="39"/>
        <v>0</v>
      </c>
      <c r="K62" s="17" t="str">
        <f t="shared" si="43"/>
        <v/>
      </c>
      <c r="L62" s="8">
        <f>+EEFF!G62</f>
        <v>0</v>
      </c>
      <c r="M62" s="34">
        <f t="shared" si="40"/>
        <v>0</v>
      </c>
      <c r="N62" s="17"/>
      <c r="O62" s="19"/>
      <c r="P62" s="74"/>
      <c r="Q62" s="106"/>
      <c r="R62" s="103"/>
      <c r="S62" s="103"/>
      <c r="T62" s="139"/>
      <c r="U62" s="194"/>
      <c r="V62" s="104"/>
      <c r="W62" s="104"/>
      <c r="Y62" s="1" t="s">
        <v>144</v>
      </c>
      <c r="Z62" s="163">
        <f>Z58+(Z59-Z58)*Z60</f>
        <v>0.10055299999999999</v>
      </c>
      <c r="AA62" s="166">
        <f>AA58+(AA59-AA58)*AA60</f>
        <v>0.10363</v>
      </c>
      <c r="AB62" s="163">
        <f t="shared" ref="AB62:AD62" si="67">AB58+(AB59-AB58)*AB60</f>
        <v>0.11080099999999998</v>
      </c>
      <c r="AC62" s="163">
        <f t="shared" si="67"/>
        <v>8.2271999999999984E-2</v>
      </c>
      <c r="AD62" s="163">
        <f t="shared" si="67"/>
        <v>9.405899999999999E-2</v>
      </c>
    </row>
    <row r="63" spans="2:30" ht="15" customHeight="1">
      <c r="B63" s="38" t="s">
        <v>19</v>
      </c>
      <c r="C63" s="108">
        <f>+EEFF!D63</f>
        <v>3741.2108188000002</v>
      </c>
      <c r="D63" s="109">
        <f t="shared" si="37"/>
        <v>0.39780932125507301</v>
      </c>
      <c r="E63" s="110">
        <f t="shared" si="62"/>
        <v>-1.8958829383143569E-2</v>
      </c>
      <c r="F63" s="108">
        <f>+EEFF!E63</f>
        <v>3670.2818412000001</v>
      </c>
      <c r="G63" s="109">
        <f t="shared" si="38"/>
        <v>0.40185341744572889</v>
      </c>
      <c r="H63" s="110">
        <f t="shared" si="65"/>
        <v>0.12363846157700907</v>
      </c>
      <c r="I63" s="108">
        <f>+EEFF!F63</f>
        <v>4124.0698416000005</v>
      </c>
      <c r="J63" s="109">
        <f t="shared" si="39"/>
        <v>0.82046360354487824</v>
      </c>
      <c r="K63" s="110">
        <f t="shared" si="43"/>
        <v>-0.27009118234715801</v>
      </c>
      <c r="L63" s="108">
        <f>+EEFF!G63</f>
        <v>3010.1949419999996</v>
      </c>
      <c r="M63" s="34">
        <f t="shared" si="40"/>
        <v>0.65040135160312185</v>
      </c>
      <c r="N63" s="17"/>
      <c r="O63" s="19"/>
      <c r="P63" s="74"/>
      <c r="Q63" s="106">
        <f>SUM(Q56:Q62)</f>
        <v>3721.3436275638264</v>
      </c>
      <c r="R63" s="106">
        <f t="shared" ref="R63:T63" si="68">SUM(R56:R62)</f>
        <v>3961.5523804057966</v>
      </c>
      <c r="S63" s="106">
        <f t="shared" si="68"/>
        <v>4195.1205365336145</v>
      </c>
      <c r="T63" s="106">
        <f t="shared" si="68"/>
        <v>4475.5578468854346</v>
      </c>
      <c r="U63" s="196"/>
      <c r="V63" s="104"/>
      <c r="W63" s="104"/>
      <c r="Y63" s="1" t="s">
        <v>122</v>
      </c>
      <c r="Z63" s="161">
        <v>3.9600000000000003E-2</v>
      </c>
      <c r="AA63" s="161">
        <v>3.9600000000000003E-2</v>
      </c>
      <c r="AB63" s="161">
        <v>3.9600000000000003E-2</v>
      </c>
      <c r="AC63" s="161">
        <v>3.9600000000000003E-2</v>
      </c>
      <c r="AD63" s="161">
        <v>3.9600000000000003E-2</v>
      </c>
    </row>
    <row r="64" spans="2:30">
      <c r="B64" s="12" t="s">
        <v>20</v>
      </c>
      <c r="C64" s="8">
        <f>+EEFF!D64</f>
        <v>0</v>
      </c>
      <c r="D64" s="35">
        <f t="shared" si="37"/>
        <v>0</v>
      </c>
      <c r="E64" s="17" t="str">
        <f t="shared" si="62"/>
        <v/>
      </c>
      <c r="F64" s="8">
        <f>+EEFF!E64</f>
        <v>0</v>
      </c>
      <c r="G64" s="35">
        <f t="shared" si="38"/>
        <v>0</v>
      </c>
      <c r="H64" s="17" t="str">
        <f t="shared" si="65"/>
        <v/>
      </c>
      <c r="I64" s="8">
        <f>+EEFF!F64</f>
        <v>0</v>
      </c>
      <c r="J64" s="35">
        <f t="shared" si="39"/>
        <v>0</v>
      </c>
      <c r="K64" s="17" t="str">
        <f t="shared" si="43"/>
        <v/>
      </c>
      <c r="L64" s="8">
        <f>+EEFF!G64</f>
        <v>0</v>
      </c>
      <c r="M64" s="34">
        <f t="shared" si="40"/>
        <v>0</v>
      </c>
      <c r="N64" s="17"/>
      <c r="O64" s="19"/>
      <c r="P64" s="74"/>
      <c r="Q64" s="103"/>
      <c r="R64" s="103"/>
      <c r="S64" s="103"/>
      <c r="T64" s="139"/>
      <c r="U64" s="194"/>
      <c r="V64" s="104"/>
      <c r="W64" s="104"/>
      <c r="Y64" s="12" t="s">
        <v>138</v>
      </c>
      <c r="Z64" s="161">
        <f>+Z63+Z62</f>
        <v>0.140153</v>
      </c>
      <c r="AA64" s="161">
        <f>+AA63+AA62</f>
        <v>0.14323</v>
      </c>
      <c r="AB64" s="161">
        <f t="shared" ref="AB64:AD64" si="69">+AB63+AB62</f>
        <v>0.15040099999999998</v>
      </c>
      <c r="AC64" s="161">
        <f t="shared" si="69"/>
        <v>0.12187199999999998</v>
      </c>
      <c r="AD64" s="161">
        <f t="shared" si="69"/>
        <v>0.133659</v>
      </c>
    </row>
    <row r="65" spans="2:33">
      <c r="B65" s="12" t="s">
        <v>56</v>
      </c>
      <c r="C65" s="8">
        <f>+EEFF!D65</f>
        <v>3875.5419551999998</v>
      </c>
      <c r="D65" s="35">
        <f t="shared" si="37"/>
        <v>0.41209297988403176</v>
      </c>
      <c r="E65" s="17">
        <f t="shared" si="62"/>
        <v>-3.6208081352781703E-2</v>
      </c>
      <c r="F65" s="8">
        <f>+EEFF!E65</f>
        <v>3735.2160167999996</v>
      </c>
      <c r="G65" s="35">
        <f t="shared" si="38"/>
        <v>0.4089629587569622</v>
      </c>
      <c r="H65" s="17">
        <f t="shared" si="65"/>
        <v>-0.87872038073233183</v>
      </c>
      <c r="I65" s="8">
        <f>+EEFF!F65</f>
        <v>453.0055764</v>
      </c>
      <c r="J65" s="35">
        <f t="shared" si="39"/>
        <v>9.0123252494402811E-2</v>
      </c>
      <c r="K65" s="17">
        <f t="shared" si="43"/>
        <v>1.0573698129866995</v>
      </c>
      <c r="L65" s="8">
        <f>+EEFF!G65</f>
        <v>931.99999800000001</v>
      </c>
      <c r="M65" s="34">
        <f t="shared" si="40"/>
        <v>0.2013736884397791</v>
      </c>
      <c r="N65" s="17"/>
      <c r="O65" s="19"/>
      <c r="P65" s="74"/>
      <c r="Q65" s="103">
        <v>211</v>
      </c>
      <c r="R65" s="103">
        <v>215</v>
      </c>
      <c r="S65" s="103">
        <v>223</v>
      </c>
      <c r="T65" s="103">
        <v>245</v>
      </c>
      <c r="U65" s="195"/>
      <c r="V65" s="104"/>
      <c r="W65" s="104"/>
      <c r="Y65" s="12" t="s">
        <v>139</v>
      </c>
      <c r="Z65" s="164">
        <f>Z56*(Z50/(Z50+Z51))+Z64*(Z51/(Z50+Z51))</f>
        <v>0.38699551303441082</v>
      </c>
      <c r="AA65" s="164">
        <f>AA56*(AA50/(AA50+AA51))+AA64*(AA51/(AA50+AA51))</f>
        <v>0.22609974417154713</v>
      </c>
      <c r="AB65" s="164">
        <f>AB56*(AB50/(AB50+AB51))+AB64*(AB51/(AB50+AB51))</f>
        <v>0.23343013861911424</v>
      </c>
      <c r="AC65" s="164">
        <f t="shared" ref="AC65:AD65" si="70">AC56*(AC50/(AC50+AC51))+AC64*(AC51/(AC50+AC51))</f>
        <v>0.20693976918943277</v>
      </c>
      <c r="AD65" s="164">
        <f t="shared" si="70"/>
        <v>0.21943162479853157</v>
      </c>
    </row>
    <row r="66" spans="2:33">
      <c r="B66" s="12" t="s">
        <v>57</v>
      </c>
      <c r="C66" s="8">
        <f>+EEFF!D66</f>
        <v>0</v>
      </c>
      <c r="D66" s="35">
        <f t="shared" si="37"/>
        <v>0</v>
      </c>
      <c r="E66" s="17" t="str">
        <f t="shared" si="62"/>
        <v/>
      </c>
      <c r="F66" s="8">
        <f>+EEFF!E66</f>
        <v>0</v>
      </c>
      <c r="G66" s="35">
        <f t="shared" si="38"/>
        <v>0</v>
      </c>
      <c r="H66" s="17" t="str">
        <f t="shared" si="65"/>
        <v/>
      </c>
      <c r="I66" s="8">
        <f>+EEFF!F66</f>
        <v>0</v>
      </c>
      <c r="J66" s="35">
        <f t="shared" si="39"/>
        <v>0</v>
      </c>
      <c r="K66" s="17" t="str">
        <f t="shared" si="43"/>
        <v/>
      </c>
      <c r="L66" s="8">
        <f>+EEFF!G66</f>
        <v>0</v>
      </c>
      <c r="M66" s="34">
        <f t="shared" si="40"/>
        <v>0</v>
      </c>
      <c r="N66" s="17"/>
      <c r="O66" s="19"/>
      <c r="P66" s="74"/>
      <c r="Q66" s="103"/>
      <c r="R66" s="103"/>
      <c r="S66" s="103"/>
      <c r="T66" s="139"/>
      <c r="U66" s="194"/>
      <c r="V66" s="104"/>
      <c r="W66" s="104"/>
      <c r="Y66" s="149"/>
      <c r="Z66" s="179"/>
      <c r="AA66" s="177" t="s">
        <v>145</v>
      </c>
      <c r="AB66" s="178">
        <f>AVERAGE(Z65:AD65)</f>
        <v>0.25457935796260728</v>
      </c>
      <c r="AC66" s="151"/>
      <c r="AD66" s="151"/>
    </row>
    <row r="67" spans="2:33">
      <c r="B67" s="12" t="s">
        <v>40</v>
      </c>
      <c r="C67" s="8">
        <f>+EEFF!D67</f>
        <v>175.07687040000002</v>
      </c>
      <c r="D67" s="35">
        <f t="shared" si="37"/>
        <v>1.8616221954480996E-2</v>
      </c>
      <c r="E67" s="17">
        <f t="shared" si="62"/>
        <v>4.0224509290748466E-2</v>
      </c>
      <c r="F67" s="8">
        <f>+EEFF!E67</f>
        <v>182.11925159999998</v>
      </c>
      <c r="G67" s="35">
        <f t="shared" si="38"/>
        <v>1.9939951972241615E-2</v>
      </c>
      <c r="H67" s="17">
        <f t="shared" si="65"/>
        <v>-0.99664943494639313</v>
      </c>
      <c r="I67" s="8">
        <f>+EEFF!F67</f>
        <v>0.61020240000000003</v>
      </c>
      <c r="J67" s="35">
        <f t="shared" si="39"/>
        <v>1.2139679472583768E-4</v>
      </c>
      <c r="K67" s="17">
        <f t="shared" si="43"/>
        <v>-1.9665606035546675E-6</v>
      </c>
      <c r="L67" s="8">
        <f>+EEFF!G67</f>
        <v>0.6102012</v>
      </c>
      <c r="M67" s="34">
        <f t="shared" si="40"/>
        <v>1.3184384828118781E-4</v>
      </c>
      <c r="N67" s="17"/>
      <c r="O67" s="19"/>
      <c r="P67" s="74"/>
      <c r="Q67" s="103">
        <v>20</v>
      </c>
      <c r="R67" s="144">
        <v>21</v>
      </c>
      <c r="S67" s="103">
        <v>23</v>
      </c>
      <c r="T67" s="139">
        <v>25</v>
      </c>
      <c r="U67" s="194"/>
      <c r="V67" s="104"/>
      <c r="W67" s="104"/>
    </row>
    <row r="68" spans="2:33">
      <c r="B68" s="12" t="s">
        <v>40</v>
      </c>
      <c r="C68" s="8">
        <f>+EEFF!D68</f>
        <v>0</v>
      </c>
      <c r="D68" s="35">
        <f t="shared" si="37"/>
        <v>0</v>
      </c>
      <c r="E68" s="17" t="str">
        <f t="shared" si="62"/>
        <v/>
      </c>
      <c r="F68" s="8">
        <f>+EEFF!E68</f>
        <v>0</v>
      </c>
      <c r="G68" s="35">
        <f t="shared" si="38"/>
        <v>0</v>
      </c>
      <c r="H68" s="17" t="str">
        <f t="shared" si="65"/>
        <v/>
      </c>
      <c r="I68" s="8">
        <f>+EEFF!F68</f>
        <v>0</v>
      </c>
      <c r="J68" s="35">
        <f t="shared" si="39"/>
        <v>0</v>
      </c>
      <c r="K68" s="17" t="str">
        <f t="shared" si="43"/>
        <v/>
      </c>
      <c r="L68" s="8">
        <f>+EEFF!G68</f>
        <v>0</v>
      </c>
      <c r="M68" s="34">
        <f t="shared" si="40"/>
        <v>0</v>
      </c>
      <c r="N68" s="17"/>
      <c r="O68" s="19"/>
      <c r="P68" s="74"/>
      <c r="Q68" s="145"/>
      <c r="R68" s="145"/>
      <c r="S68" s="145"/>
      <c r="T68" s="139"/>
      <c r="U68" s="194"/>
      <c r="V68" s="104"/>
      <c r="W68" s="104"/>
      <c r="Y68" s="210" t="str">
        <f>+Y47</f>
        <v>EMPRESA COMERCIAL</v>
      </c>
      <c r="Z68" s="211"/>
      <c r="AA68" s="211"/>
      <c r="AB68" s="211"/>
      <c r="AC68" s="211"/>
      <c r="AD68" s="211"/>
    </row>
    <row r="69" spans="2:33">
      <c r="B69" s="38" t="s">
        <v>20</v>
      </c>
      <c r="C69" s="108">
        <f>+EEFF!D69</f>
        <v>4050.6188256</v>
      </c>
      <c r="D69" s="109">
        <f t="shared" si="37"/>
        <v>0.4307092018385128</v>
      </c>
      <c r="E69" s="110">
        <f t="shared" si="62"/>
        <v>-3.2904492606819817E-2</v>
      </c>
      <c r="F69" s="108">
        <f>+EEFF!E69</f>
        <v>3917.3352683999997</v>
      </c>
      <c r="G69" s="109">
        <f t="shared" si="38"/>
        <v>0.42890291072920383</v>
      </c>
      <c r="H69" s="110">
        <f t="shared" si="65"/>
        <v>-0.88420297275569282</v>
      </c>
      <c r="I69" s="108">
        <f>+EEFF!F69</f>
        <v>453.61577879999999</v>
      </c>
      <c r="J69" s="109">
        <f t="shared" si="39"/>
        <v>9.0244649289128648E-2</v>
      </c>
      <c r="K69" s="110">
        <f t="shared" si="43"/>
        <v>1.055947440071721</v>
      </c>
      <c r="L69" s="108">
        <f>+EEFF!G69</f>
        <v>932.61019920000001</v>
      </c>
      <c r="M69" s="34">
        <f t="shared" si="40"/>
        <v>0.20150553228806029</v>
      </c>
      <c r="N69" s="17"/>
      <c r="O69" s="19"/>
      <c r="P69" s="74"/>
      <c r="Q69" s="106">
        <f>SUM(Q64:Q68)</f>
        <v>231</v>
      </c>
      <c r="R69" s="106">
        <f t="shared" ref="R69:T69" si="71">SUM(R64:R68)</f>
        <v>236</v>
      </c>
      <c r="S69" s="106">
        <f t="shared" si="71"/>
        <v>246</v>
      </c>
      <c r="T69" s="106">
        <f t="shared" si="71"/>
        <v>270</v>
      </c>
      <c r="U69" s="196"/>
      <c r="V69" s="104"/>
      <c r="W69" s="104"/>
      <c r="Y69" s="212" t="s">
        <v>140</v>
      </c>
      <c r="Z69" s="213"/>
      <c r="AA69" s="213"/>
      <c r="AB69" s="213"/>
      <c r="AC69" s="213"/>
      <c r="AD69" s="213"/>
    </row>
    <row r="70" spans="2:33">
      <c r="B70" s="42" t="s">
        <v>21</v>
      </c>
      <c r="C70" s="108">
        <f>+EEFF!D70</f>
        <v>7791.8296444000007</v>
      </c>
      <c r="D70" s="109">
        <f t="shared" si="37"/>
        <v>0.82851852309358587</v>
      </c>
      <c r="E70" s="110">
        <f t="shared" si="62"/>
        <v>-2.6208547173098003E-2</v>
      </c>
      <c r="F70" s="108">
        <f>+EEFF!E70</f>
        <v>7587.6171095999998</v>
      </c>
      <c r="G70" s="109">
        <f t="shared" si="38"/>
        <v>0.83075632817493272</v>
      </c>
      <c r="H70" s="110">
        <f t="shared" si="65"/>
        <v>-0.39668995492560843</v>
      </c>
      <c r="I70" s="108">
        <f>+EEFF!F70</f>
        <v>4577.6856204000005</v>
      </c>
      <c r="J70" s="109">
        <f t="shared" si="39"/>
        <v>0.9107082528340068</v>
      </c>
      <c r="K70" s="110">
        <f t="shared" si="43"/>
        <v>-0.13869027535895417</v>
      </c>
      <c r="L70" s="108">
        <f>+EEFF!G70</f>
        <v>3942.8051411999995</v>
      </c>
      <c r="M70" s="34">
        <f t="shared" si="40"/>
        <v>0.85190688389118208</v>
      </c>
      <c r="N70" s="17"/>
      <c r="O70" s="19"/>
      <c r="P70" s="74"/>
      <c r="Q70" s="106">
        <f>+Q69+Q63</f>
        <v>3952.3436275638264</v>
      </c>
      <c r="R70" s="106">
        <f t="shared" ref="R70:T70" si="72">+R69+R63</f>
        <v>4197.5523804057966</v>
      </c>
      <c r="S70" s="106">
        <f t="shared" si="72"/>
        <v>4441.1205365336145</v>
      </c>
      <c r="T70" s="106">
        <f t="shared" si="72"/>
        <v>4745.5578468854346</v>
      </c>
      <c r="U70" s="196"/>
      <c r="V70" s="104"/>
      <c r="W70" s="104"/>
    </row>
    <row r="71" spans="2:33">
      <c r="B71" s="12" t="s">
        <v>22</v>
      </c>
      <c r="C71" s="8">
        <f>+EEFF!D71</f>
        <v>0</v>
      </c>
      <c r="D71" s="35">
        <f t="shared" si="37"/>
        <v>0</v>
      </c>
      <c r="E71" s="17" t="str">
        <f t="shared" si="62"/>
        <v/>
      </c>
      <c r="F71" s="8">
        <f>+EEFF!E71</f>
        <v>0</v>
      </c>
      <c r="G71" s="35">
        <f t="shared" si="38"/>
        <v>0</v>
      </c>
      <c r="H71" s="17" t="str">
        <f t="shared" si="65"/>
        <v/>
      </c>
      <c r="I71" s="8">
        <f>+EEFF!F71</f>
        <v>0</v>
      </c>
      <c r="J71" s="35">
        <f t="shared" si="39"/>
        <v>0</v>
      </c>
      <c r="K71" s="17" t="str">
        <f t="shared" si="43"/>
        <v/>
      </c>
      <c r="L71" s="8">
        <f>+EEFF!G71</f>
        <v>0</v>
      </c>
      <c r="M71" s="34">
        <f t="shared" si="40"/>
        <v>0</v>
      </c>
      <c r="N71" s="17"/>
      <c r="O71" s="19"/>
      <c r="P71" s="75" t="s">
        <v>71</v>
      </c>
      <c r="Q71" s="103"/>
      <c r="R71" s="103"/>
      <c r="S71" s="103"/>
      <c r="T71" s="139"/>
      <c r="U71" s="194"/>
      <c r="V71" s="104"/>
      <c r="W71" s="104"/>
    </row>
    <row r="72" spans="2:33">
      <c r="B72" s="12" t="s">
        <v>58</v>
      </c>
      <c r="C72" s="8">
        <f>+EEFF!D72</f>
        <v>780</v>
      </c>
      <c r="D72" s="35">
        <f t="shared" si="37"/>
        <v>8.2938729092653318E-2</v>
      </c>
      <c r="E72" s="17">
        <f t="shared" si="62"/>
        <v>0</v>
      </c>
      <c r="F72" s="8">
        <f>+EEFF!E72</f>
        <v>780</v>
      </c>
      <c r="G72" s="35">
        <f t="shared" si="38"/>
        <v>8.5400979861859155E-2</v>
      </c>
      <c r="H72" s="17">
        <f t="shared" si="65"/>
        <v>1.5384615384615385E-2</v>
      </c>
      <c r="I72" s="8">
        <f>+EEFF!F72</f>
        <v>792</v>
      </c>
      <c r="J72" s="35">
        <f t="shared" si="39"/>
        <v>0.15756454157319513</v>
      </c>
      <c r="K72" s="17">
        <f t="shared" si="43"/>
        <v>0</v>
      </c>
      <c r="L72" s="8">
        <f>+EEFF!G72</f>
        <v>792</v>
      </c>
      <c r="M72" s="34">
        <f t="shared" si="40"/>
        <v>0.1711244223031694</v>
      </c>
      <c r="N72" s="17"/>
      <c r="O72" s="19"/>
      <c r="P72" s="74"/>
      <c r="Q72" s="103">
        <v>792</v>
      </c>
      <c r="R72" s="103">
        <v>792</v>
      </c>
      <c r="S72" s="103">
        <v>792</v>
      </c>
      <c r="T72" s="103">
        <v>792</v>
      </c>
      <c r="U72" s="195"/>
      <c r="V72" s="104"/>
      <c r="W72" s="104"/>
    </row>
    <row r="73" spans="2:33" ht="36">
      <c r="B73" s="12" t="s">
        <v>59</v>
      </c>
      <c r="C73" s="8">
        <f>+EEFF!D73</f>
        <v>342</v>
      </c>
      <c r="D73" s="35">
        <f t="shared" si="37"/>
        <v>3.6365442756009538E-2</v>
      </c>
      <c r="E73" s="17">
        <f t="shared" si="62"/>
        <v>0</v>
      </c>
      <c r="F73" s="8">
        <f>+EEFF!E73</f>
        <v>342</v>
      </c>
      <c r="G73" s="35">
        <f t="shared" si="38"/>
        <v>3.744504501635363E-2</v>
      </c>
      <c r="H73" s="17">
        <f t="shared" si="65"/>
        <v>0.62427060350877184</v>
      </c>
      <c r="I73" s="8">
        <f>+EEFF!F73</f>
        <v>555.50054639999996</v>
      </c>
      <c r="J73" s="35">
        <f t="shared" si="39"/>
        <v>0.11051412744592855</v>
      </c>
      <c r="K73" s="17">
        <f t="shared" si="43"/>
        <v>-2.1602138913220901E-8</v>
      </c>
      <c r="L73" s="8">
        <f>+EEFF!G73</f>
        <v>555.50053439999999</v>
      </c>
      <c r="M73" s="34">
        <f t="shared" si="40"/>
        <v>0.1200248838867448</v>
      </c>
      <c r="N73" s="17"/>
      <c r="O73" s="19"/>
      <c r="P73" s="75" t="s">
        <v>72</v>
      </c>
      <c r="Q73" s="103">
        <v>555.50053439999999</v>
      </c>
      <c r="R73" s="103">
        <v>555.50053439999999</v>
      </c>
      <c r="S73" s="103">
        <v>555.50053439999999</v>
      </c>
      <c r="T73" s="103">
        <v>555.50053439999999</v>
      </c>
      <c r="U73" s="195"/>
      <c r="V73" s="104"/>
      <c r="W73" s="104"/>
      <c r="X73" s="237"/>
      <c r="Y73" s="238" t="s">
        <v>141</v>
      </c>
      <c r="Z73" s="237"/>
      <c r="AA73" s="237"/>
      <c r="AB73" s="237"/>
      <c r="AC73" s="237"/>
      <c r="AD73" s="237"/>
      <c r="AE73" s="237"/>
      <c r="AF73" s="237"/>
      <c r="AG73" s="237"/>
    </row>
    <row r="74" spans="2:33">
      <c r="B74" s="12" t="s">
        <v>60</v>
      </c>
      <c r="C74" s="8">
        <f>+EEFF!D74</f>
        <v>1128.5332332</v>
      </c>
      <c r="D74" s="35">
        <f t="shared" si="37"/>
        <v>0.11999886166721918</v>
      </c>
      <c r="E74" s="17">
        <f t="shared" si="62"/>
        <v>0</v>
      </c>
      <c r="F74" s="8">
        <f>+EEFF!E74</f>
        <v>1128.5332332</v>
      </c>
      <c r="G74" s="35">
        <f t="shared" si="38"/>
        <v>0.12356133836147692</v>
      </c>
      <c r="H74" s="17">
        <f t="shared" si="65"/>
        <v>-1.6424922611663146</v>
      </c>
      <c r="I74" s="8">
        <f>+EEFF!F74</f>
        <v>-725.07386880000001</v>
      </c>
      <c r="J74" s="35">
        <f t="shared" si="39"/>
        <v>-0.14424991381840283</v>
      </c>
      <c r="K74" s="17">
        <f t="shared" si="43"/>
        <v>-1.9999999999999998</v>
      </c>
      <c r="L74" s="8">
        <f>+EEFF!G74</f>
        <v>725.0738687999999</v>
      </c>
      <c r="M74" s="34">
        <f t="shared" si="40"/>
        <v>0.15666394813828793</v>
      </c>
      <c r="N74" s="17"/>
      <c r="O74" s="19"/>
      <c r="P74" s="75" t="s">
        <v>73</v>
      </c>
      <c r="Q74" s="103">
        <v>25</v>
      </c>
      <c r="R74" s="146">
        <v>50</v>
      </c>
      <c r="S74" s="146">
        <v>50</v>
      </c>
      <c r="T74" s="146">
        <v>50</v>
      </c>
      <c r="U74" s="198"/>
      <c r="V74" s="104"/>
      <c r="W74" s="104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</row>
    <row r="75" spans="2:33">
      <c r="B75" s="12" t="s">
        <v>61</v>
      </c>
      <c r="C75" s="8">
        <f>+EEFF!D75</f>
        <v>-163.8300552</v>
      </c>
      <c r="D75" s="35">
        <f t="shared" si="37"/>
        <v>-1.7420328930086205E-2</v>
      </c>
      <c r="E75" s="17">
        <f t="shared" si="62"/>
        <v>2.8870768664674173</v>
      </c>
      <c r="F75" s="8">
        <f>+EEFF!E75</f>
        <v>-636.82001760000003</v>
      </c>
      <c r="G75" s="35">
        <f t="shared" si="38"/>
        <v>-6.9724427562418451E-2</v>
      </c>
      <c r="H75" s="17">
        <f t="shared" si="65"/>
        <v>0.10669523024114178</v>
      </c>
      <c r="I75" s="8">
        <f>+EEFF!F75</f>
        <v>-704.76567599999998</v>
      </c>
      <c r="J75" s="35">
        <f t="shared" si="39"/>
        <v>-0.14020969779730172</v>
      </c>
      <c r="K75" s="17">
        <f t="shared" si="43"/>
        <v>-1.2463239603059215</v>
      </c>
      <c r="L75" s="8">
        <f>+EEFF!G75</f>
        <v>173.60067240000001</v>
      </c>
      <c r="M75" s="34">
        <f t="shared" si="40"/>
        <v>3.7509235828146172E-2</v>
      </c>
      <c r="N75" s="17"/>
      <c r="O75" s="19"/>
      <c r="P75" s="78"/>
      <c r="Q75" s="103">
        <v>173.60067240000001</v>
      </c>
      <c r="R75" s="103">
        <v>100</v>
      </c>
      <c r="S75" s="103">
        <v>100</v>
      </c>
      <c r="T75" s="103">
        <v>159.94600934633127</v>
      </c>
      <c r="U75" s="195"/>
      <c r="V75" s="104"/>
      <c r="W75" s="104"/>
      <c r="X75" s="237"/>
      <c r="Y75" s="237" t="s">
        <v>146</v>
      </c>
      <c r="Z75" s="239">
        <v>0.25459999999999999</v>
      </c>
      <c r="AA75" s="237"/>
      <c r="AB75" s="237"/>
      <c r="AC75" s="237"/>
      <c r="AD75" s="237"/>
      <c r="AE75" s="237"/>
      <c r="AF75" s="237"/>
      <c r="AG75" s="237"/>
    </row>
    <row r="76" spans="2:33">
      <c r="B76" s="12" t="s">
        <v>62</v>
      </c>
      <c r="C76" s="8">
        <f>+EEFF!D76</f>
        <v>-474</v>
      </c>
      <c r="D76" s="35">
        <f t="shared" si="37"/>
        <v>-5.0401227679381634E-2</v>
      </c>
      <c r="E76" s="17">
        <f t="shared" si="62"/>
        <v>-0.85665472911392404</v>
      </c>
      <c r="F76" s="8">
        <f>+EEFF!E76</f>
        <v>-67.945658399999999</v>
      </c>
      <c r="G76" s="35">
        <f t="shared" si="38"/>
        <v>-7.4392638522040528E-3</v>
      </c>
      <c r="H76" s="17">
        <f t="shared" si="65"/>
        <v>-8.8174973369600895</v>
      </c>
      <c r="I76" s="8">
        <f>+EEFF!F76</f>
        <v>531.16500359999998</v>
      </c>
      <c r="J76" s="35">
        <f t="shared" si="39"/>
        <v>0.10567268976257391</v>
      </c>
      <c r="K76" s="17">
        <f t="shared" si="43"/>
        <v>-0.55460120377554178</v>
      </c>
      <c r="L76" s="8">
        <f>+EEFF!G76</f>
        <v>236.58025319999999</v>
      </c>
      <c r="M76" s="34">
        <f t="shared" si="40"/>
        <v>5.1116993885337809E-2</v>
      </c>
      <c r="N76" s="17"/>
      <c r="O76" s="19"/>
      <c r="P76" s="214"/>
      <c r="Q76" s="103">
        <f>+Q22</f>
        <v>364.76581012806867</v>
      </c>
      <c r="R76" s="103">
        <f t="shared" ref="R76:T76" si="73">+R22</f>
        <v>553.81105630761749</v>
      </c>
      <c r="S76" s="103">
        <f t="shared" si="73"/>
        <v>590.39027657673591</v>
      </c>
      <c r="T76" s="103">
        <f t="shared" si="73"/>
        <v>629.38555434462808</v>
      </c>
      <c r="U76" s="195"/>
      <c r="V76" s="104"/>
      <c r="W76" s="104"/>
      <c r="X76" s="237"/>
      <c r="Y76" s="237"/>
      <c r="Z76" s="237"/>
      <c r="AA76" s="240" t="s">
        <v>147</v>
      </c>
      <c r="AB76" s="240" t="s">
        <v>147</v>
      </c>
      <c r="AC76" s="240" t="s">
        <v>147</v>
      </c>
      <c r="AD76" s="240" t="s">
        <v>147</v>
      </c>
      <c r="AE76" s="240"/>
      <c r="AF76" s="240"/>
      <c r="AG76" s="240"/>
    </row>
    <row r="77" spans="2:33">
      <c r="B77" s="38" t="s">
        <v>23</v>
      </c>
      <c r="C77" s="8">
        <f>+EEFF!D77</f>
        <v>1612.7031779999998</v>
      </c>
      <c r="D77" s="35">
        <f t="shared" si="37"/>
        <v>0.17148147690641416</v>
      </c>
      <c r="E77" s="17">
        <f t="shared" si="62"/>
        <v>-4.1505232775079171E-2</v>
      </c>
      <c r="F77" s="8">
        <f>+EEFF!E77</f>
        <v>1545.7675571999998</v>
      </c>
      <c r="G77" s="35">
        <f t="shared" si="38"/>
        <v>0.16924367182506717</v>
      </c>
      <c r="H77" s="17">
        <f t="shared" si="65"/>
        <v>-0.70964198135132128</v>
      </c>
      <c r="I77" s="8">
        <f>+EEFF!F77</f>
        <v>448.82600520000005</v>
      </c>
      <c r="J77" s="35">
        <f t="shared" si="39"/>
        <v>8.9291747165993057E-2</v>
      </c>
      <c r="K77" s="17">
        <f t="shared" si="43"/>
        <v>4.5316655007404627</v>
      </c>
      <c r="L77" s="8">
        <f>+EEFF!G77</f>
        <v>2482.7553287999999</v>
      </c>
      <c r="M77" s="34">
        <f t="shared" si="40"/>
        <v>0.53643948404168618</v>
      </c>
      <c r="N77" s="17"/>
      <c r="O77" s="19"/>
      <c r="P77" s="214"/>
      <c r="Q77" s="106">
        <f>SUM(Q72:Q76)</f>
        <v>1910.8670169280686</v>
      </c>
      <c r="R77" s="106">
        <f t="shared" ref="R77:T77" si="74">SUM(R72:R76)</f>
        <v>2051.3115907076176</v>
      </c>
      <c r="S77" s="106">
        <f t="shared" si="74"/>
        <v>2087.8908109767362</v>
      </c>
      <c r="T77" s="106">
        <f t="shared" si="74"/>
        <v>2186.8320980909593</v>
      </c>
      <c r="U77" s="196"/>
      <c r="V77" s="104"/>
      <c r="W77" s="104"/>
      <c r="X77" s="237"/>
      <c r="Y77" s="237"/>
      <c r="Z77" s="36" t="s">
        <v>148</v>
      </c>
      <c r="AA77" s="241">
        <v>1</v>
      </c>
      <c r="AB77" s="241">
        <v>2</v>
      </c>
      <c r="AC77" s="241">
        <v>3</v>
      </c>
      <c r="AD77" s="241">
        <v>4</v>
      </c>
      <c r="AE77" s="241"/>
      <c r="AF77" s="242"/>
      <c r="AG77" s="242"/>
    </row>
    <row r="78" spans="2:33">
      <c r="B78" s="43" t="s">
        <v>24</v>
      </c>
      <c r="C78" s="8">
        <f>+EEFF!D78</f>
        <v>9404.5328224000004</v>
      </c>
      <c r="D78" s="35">
        <f t="shared" si="37"/>
        <v>1</v>
      </c>
      <c r="E78" s="17">
        <f t="shared" si="62"/>
        <v>-2.8831645411898719E-2</v>
      </c>
      <c r="F78" s="8">
        <f>+EEFF!E78</f>
        <v>9133.3846668000006</v>
      </c>
      <c r="G78" s="35">
        <f t="shared" si="38"/>
        <v>1</v>
      </c>
      <c r="H78" s="17">
        <f t="shared" si="65"/>
        <v>-0.44965510498299166</v>
      </c>
      <c r="I78" s="8">
        <f>+EEFF!F78</f>
        <v>5026.5116256000001</v>
      </c>
      <c r="J78" s="35">
        <f t="shared" si="39"/>
        <v>0.99999999999999978</v>
      </c>
      <c r="K78" s="17">
        <f t="shared" si="43"/>
        <v>-7.9239891930510911E-2</v>
      </c>
      <c r="L78" s="8">
        <f>+EEFF!G78</f>
        <v>4628.2113875999994</v>
      </c>
      <c r="M78" s="34">
        <f t="shared" si="40"/>
        <v>1</v>
      </c>
      <c r="N78" s="17"/>
      <c r="O78" s="19"/>
      <c r="P78" s="214"/>
      <c r="Q78" s="111">
        <f>+Q77+Q70</f>
        <v>5863.2106444918954</v>
      </c>
      <c r="R78" s="111">
        <f t="shared" ref="R78:T78" si="75">+R77+R70</f>
        <v>6248.8639711134147</v>
      </c>
      <c r="S78" s="111">
        <f t="shared" si="75"/>
        <v>6529.0113475103508</v>
      </c>
      <c r="T78" s="111">
        <f t="shared" si="75"/>
        <v>6932.389944976394</v>
      </c>
      <c r="U78" s="199"/>
      <c r="V78" s="104"/>
      <c r="W78" s="104"/>
      <c r="X78" s="237"/>
      <c r="Y78" s="36" t="s">
        <v>99</v>
      </c>
      <c r="Z78" s="243">
        <v>-5643</v>
      </c>
      <c r="AA78" s="243">
        <v>-30</v>
      </c>
      <c r="AB78" s="243">
        <v>793</v>
      </c>
      <c r="AC78" s="243">
        <v>860</v>
      </c>
      <c r="AD78" s="243">
        <v>889</v>
      </c>
      <c r="AE78" s="243"/>
      <c r="AF78" s="244"/>
      <c r="AG78" s="244"/>
    </row>
    <row r="79" spans="2:33" ht="19.5" customHeight="1">
      <c r="N79" s="17"/>
      <c r="O79" s="19"/>
      <c r="P79" s="214"/>
      <c r="Q79" s="87">
        <v>2821.03</v>
      </c>
      <c r="R79" s="76">
        <f>C33</f>
        <v>2297.9160191999999</v>
      </c>
      <c r="S79" s="76">
        <f>F33</f>
        <v>2294.7562895999999</v>
      </c>
      <c r="V79" s="104"/>
      <c r="W79" s="104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</row>
    <row r="80" spans="2:33">
      <c r="J80" s="45"/>
      <c r="K80" s="45"/>
      <c r="L80" s="45"/>
      <c r="M80" s="45"/>
      <c r="N80" s="17"/>
      <c r="O80" s="19"/>
      <c r="P80" s="308"/>
      <c r="Q80" s="5">
        <f>+Q78-Q53</f>
        <v>0</v>
      </c>
      <c r="R80" s="5">
        <f t="shared" ref="R80:T80" si="76">+R78-R53</f>
        <v>0</v>
      </c>
      <c r="S80" s="5">
        <f t="shared" si="76"/>
        <v>0</v>
      </c>
      <c r="T80" s="5">
        <f t="shared" si="76"/>
        <v>-19.272204502757631</v>
      </c>
      <c r="U80" s="5"/>
      <c r="V80" s="104"/>
      <c r="W80" s="104"/>
      <c r="X80" s="237"/>
      <c r="Y80" s="245" t="s">
        <v>153</v>
      </c>
      <c r="Z80" s="237"/>
      <c r="AA80" s="246">
        <f>AA78/(1+$D$63)^AA77</f>
        <v>-21.462154775919956</v>
      </c>
      <c r="AB80" s="246">
        <f>AB78/(1+$D$63)^AB77</f>
        <v>405.8610016522847</v>
      </c>
      <c r="AC80" s="246">
        <f t="shared" ref="AC80:AD80" si="77">AC78/(1+$D$63)^AC77</f>
        <v>314.88694434952782</v>
      </c>
      <c r="AD80" s="246">
        <f t="shared" si="77"/>
        <v>232.8681173329243</v>
      </c>
      <c r="AE80" s="246">
        <f>AE78/(1+$D$63)^AE77</f>
        <v>0</v>
      </c>
      <c r="AF80" s="246"/>
      <c r="AG80" s="246"/>
    </row>
    <row r="81" spans="10:33">
      <c r="J81" s="45"/>
      <c r="K81" s="45"/>
      <c r="L81" s="45"/>
      <c r="M81" s="45"/>
      <c r="N81" s="17"/>
      <c r="O81" s="19"/>
      <c r="P81" s="309" t="s">
        <v>74</v>
      </c>
      <c r="Q81" s="310"/>
      <c r="R81" s="311"/>
      <c r="S81" s="311"/>
      <c r="T81" s="45"/>
      <c r="V81" s="104"/>
      <c r="W81" s="104"/>
      <c r="X81" s="237"/>
      <c r="Y81" s="237" t="s">
        <v>154</v>
      </c>
      <c r="Z81" s="237"/>
      <c r="AA81" s="247">
        <f>PV($D$63,AA77,,-AA78)</f>
        <v>-21.462154775919956</v>
      </c>
      <c r="AB81" s="248">
        <f t="shared" ref="AB81:AE81" si="78">PV($D$63,AB77,,-AB78)</f>
        <v>405.8610016522847</v>
      </c>
      <c r="AC81" s="248">
        <f t="shared" si="78"/>
        <v>314.88694434952782</v>
      </c>
      <c r="AD81" s="248">
        <f t="shared" si="78"/>
        <v>232.8681173329243</v>
      </c>
      <c r="AE81" s="248">
        <f t="shared" si="78"/>
        <v>0</v>
      </c>
      <c r="AF81" s="248"/>
      <c r="AG81" s="248"/>
    </row>
    <row r="82" spans="10:33">
      <c r="J82" s="45"/>
      <c r="K82" s="45"/>
      <c r="L82" s="45"/>
      <c r="M82" s="45"/>
      <c r="N82" s="45"/>
      <c r="O82" s="45"/>
      <c r="P82" s="308" t="s">
        <v>75</v>
      </c>
      <c r="Q82" s="311"/>
      <c r="R82" s="311"/>
      <c r="S82" s="311"/>
      <c r="T82" s="45"/>
      <c r="U82" s="137"/>
      <c r="X82" s="237"/>
      <c r="Y82" s="237"/>
      <c r="Z82" s="237"/>
      <c r="AA82" s="237"/>
      <c r="AB82" s="237"/>
      <c r="AC82" s="237"/>
      <c r="AD82" s="237"/>
      <c r="AE82" s="249"/>
      <c r="AF82" s="249"/>
      <c r="AG82" s="249"/>
    </row>
    <row r="83" spans="10:33" ht="30">
      <c r="J83" s="45"/>
      <c r="K83" s="45"/>
      <c r="L83" s="45"/>
      <c r="M83" s="45"/>
      <c r="N83" s="45"/>
      <c r="O83" s="45" t="s">
        <v>25</v>
      </c>
      <c r="P83" s="312" t="s">
        <v>76</v>
      </c>
      <c r="Q83" s="311"/>
      <c r="R83" s="313"/>
      <c r="S83" s="313"/>
      <c r="T83" s="45"/>
      <c r="X83" s="237"/>
      <c r="Y83" s="237"/>
      <c r="Z83" s="237"/>
      <c r="AA83" s="237"/>
      <c r="AB83" s="237"/>
      <c r="AC83" s="237"/>
      <c r="AD83" s="237"/>
      <c r="AE83" s="237"/>
      <c r="AF83" s="237"/>
      <c r="AG83" s="237"/>
    </row>
    <row r="84" spans="10:33">
      <c r="J84" s="45"/>
      <c r="K84" s="45"/>
      <c r="L84" s="307" t="s">
        <v>186</v>
      </c>
      <c r="M84" s="307"/>
      <c r="N84" s="307"/>
      <c r="O84" s="307"/>
      <c r="P84" s="307"/>
      <c r="Q84" s="307"/>
      <c r="R84" s="307"/>
      <c r="S84" s="314"/>
      <c r="T84" s="45"/>
      <c r="X84" s="237"/>
      <c r="Y84" s="237" t="s">
        <v>149</v>
      </c>
      <c r="Z84" s="237"/>
      <c r="AA84" s="237"/>
      <c r="AB84" s="237"/>
      <c r="AC84" s="237"/>
      <c r="AD84" s="237"/>
      <c r="AE84" s="237"/>
      <c r="AF84" s="237"/>
      <c r="AG84" s="237"/>
    </row>
    <row r="85" spans="10:33">
      <c r="J85" s="45"/>
      <c r="K85" s="45"/>
      <c r="L85" s="315"/>
      <c r="M85" s="315"/>
      <c r="N85" s="315"/>
      <c r="O85" s="303" t="s">
        <v>82</v>
      </c>
      <c r="P85" s="304"/>
      <c r="Q85" s="304"/>
      <c r="R85" s="305"/>
      <c r="S85" s="316"/>
      <c r="T85" s="45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</row>
    <row r="86" spans="10:33">
      <c r="J86" s="45"/>
      <c r="K86" s="45"/>
      <c r="L86" s="306" t="s">
        <v>88</v>
      </c>
      <c r="M86" s="306"/>
      <c r="N86" s="306"/>
      <c r="O86" s="306"/>
      <c r="P86" s="306"/>
      <c r="Q86" s="306"/>
      <c r="R86" s="305" t="s">
        <v>192</v>
      </c>
      <c r="S86" s="317"/>
      <c r="T86" s="45"/>
      <c r="X86" s="237"/>
      <c r="Y86" s="237" t="s">
        <v>156</v>
      </c>
      <c r="Z86" s="237"/>
      <c r="AA86" s="237"/>
      <c r="AB86" s="237"/>
      <c r="AC86" s="237"/>
      <c r="AD86" s="237"/>
      <c r="AE86" s="237"/>
      <c r="AF86" s="237"/>
      <c r="AG86" s="237"/>
    </row>
    <row r="87" spans="10:33">
      <c r="J87" s="318"/>
      <c r="K87" s="319" t="s">
        <v>187</v>
      </c>
      <c r="L87" s="320"/>
      <c r="M87" s="45"/>
      <c r="N87" s="45"/>
      <c r="O87" s="45"/>
      <c r="P87" s="308"/>
      <c r="Q87" s="329">
        <v>13796.980860264001</v>
      </c>
      <c r="R87" s="314"/>
      <c r="S87" s="314"/>
      <c r="T87" s="45"/>
      <c r="X87" s="237"/>
      <c r="Y87" s="237"/>
      <c r="Z87" s="237"/>
      <c r="AA87" s="237"/>
      <c r="AB87" s="237"/>
      <c r="AC87" s="237"/>
      <c r="AD87" s="237"/>
      <c r="AE87" s="237"/>
      <c r="AF87" s="237"/>
      <c r="AG87" s="237"/>
    </row>
    <row r="88" spans="10:33">
      <c r="J88" s="45"/>
      <c r="K88" s="45" t="s">
        <v>188</v>
      </c>
      <c r="L88" s="45"/>
      <c r="M88" s="45"/>
      <c r="N88" s="45"/>
      <c r="O88" s="45"/>
      <c r="P88" s="309"/>
      <c r="Q88" s="329">
        <v>10516.238732304</v>
      </c>
      <c r="X88" s="237"/>
      <c r="Y88" s="250" t="s">
        <v>150</v>
      </c>
      <c r="Z88" s="251"/>
      <c r="AA88" s="252">
        <f>+Z78</f>
        <v>-5643</v>
      </c>
      <c r="AB88" s="237"/>
      <c r="AC88" s="237"/>
      <c r="AD88" s="237"/>
      <c r="AE88" s="237"/>
      <c r="AF88" s="237"/>
      <c r="AG88" s="237"/>
    </row>
    <row r="89" spans="10:33">
      <c r="J89" s="45"/>
      <c r="K89" s="45" t="s">
        <v>189</v>
      </c>
      <c r="L89" s="45"/>
      <c r="M89" s="45"/>
      <c r="N89" s="45"/>
      <c r="O89" s="45"/>
      <c r="P89" s="309"/>
      <c r="Q89" s="220">
        <v>717.443004733728</v>
      </c>
      <c r="X89" s="237"/>
      <c r="Y89" s="253" t="s">
        <v>155</v>
      </c>
      <c r="Z89" s="251"/>
      <c r="AA89" s="252">
        <f>SUM(AA81:AE81)</f>
        <v>932.15390855881685</v>
      </c>
      <c r="AB89" s="237"/>
      <c r="AC89" s="254"/>
      <c r="AD89" s="237"/>
      <c r="AE89" s="237"/>
      <c r="AF89" s="237"/>
      <c r="AG89" s="237"/>
    </row>
    <row r="90" spans="10:33">
      <c r="J90" s="45"/>
      <c r="K90" s="45" t="s">
        <v>190</v>
      </c>
      <c r="L90" s="45"/>
      <c r="M90" s="45"/>
      <c r="N90" s="45"/>
      <c r="O90" s="45"/>
      <c r="P90" s="309"/>
      <c r="Q90" s="265">
        <v>0.254579357962607</v>
      </c>
      <c r="R90" s="204"/>
      <c r="S90" s="321"/>
      <c r="T90" s="45"/>
      <c r="X90" s="237"/>
      <c r="Y90" s="255" t="s">
        <v>141</v>
      </c>
      <c r="Z90" s="256"/>
      <c r="AA90" s="257">
        <f>SUM(AA88:AA89)</f>
        <v>-4710.8460914411835</v>
      </c>
      <c r="AB90" s="237"/>
      <c r="AC90" s="237"/>
      <c r="AD90" s="237"/>
      <c r="AE90" s="237"/>
      <c r="AF90" s="237"/>
      <c r="AG90" s="237"/>
    </row>
    <row r="91" spans="10:33">
      <c r="J91" s="45"/>
      <c r="K91" s="45" t="s">
        <v>191</v>
      </c>
      <c r="L91" s="45"/>
      <c r="M91" s="45"/>
      <c r="N91" s="45"/>
      <c r="O91" s="322"/>
      <c r="P91" s="147"/>
      <c r="Q91" s="311">
        <v>-5643</v>
      </c>
      <c r="R91" s="323"/>
      <c r="S91" s="311"/>
      <c r="T91" s="45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</row>
    <row r="92" spans="10:33">
      <c r="J92" s="45"/>
      <c r="K92" s="45" t="s">
        <v>141</v>
      </c>
      <c r="L92" s="45"/>
      <c r="M92" s="45"/>
      <c r="N92" s="45"/>
      <c r="O92" s="45"/>
      <c r="P92" s="308"/>
      <c r="Q92" s="314">
        <f>AA95</f>
        <v>-4368.7891121603261</v>
      </c>
      <c r="R92" s="314"/>
      <c r="S92" s="314"/>
      <c r="T92" s="45"/>
      <c r="X92" s="237"/>
      <c r="Y92" s="237" t="s">
        <v>151</v>
      </c>
      <c r="Z92" s="237"/>
      <c r="AA92" s="237"/>
      <c r="AB92" s="237"/>
      <c r="AC92" s="237"/>
      <c r="AD92" s="237"/>
      <c r="AE92" s="237"/>
      <c r="AF92" s="237"/>
      <c r="AG92" s="237"/>
    </row>
    <row r="93" spans="10:33">
      <c r="J93" s="45"/>
      <c r="L93" s="45"/>
      <c r="M93" s="45"/>
      <c r="N93" s="45"/>
      <c r="O93" s="45"/>
      <c r="P93" s="324"/>
      <c r="Q93" s="331">
        <v>345</v>
      </c>
      <c r="R93" s="325"/>
      <c r="S93" s="325"/>
      <c r="T93" s="45"/>
      <c r="X93" s="237"/>
      <c r="Y93" s="237" t="s">
        <v>152</v>
      </c>
      <c r="Z93" s="237"/>
      <c r="AA93" s="237"/>
      <c r="AB93" s="237"/>
      <c r="AC93" s="237"/>
      <c r="AD93" s="237"/>
      <c r="AE93" s="237"/>
      <c r="AF93" s="237"/>
      <c r="AG93" s="237"/>
    </row>
    <row r="94" spans="10:33">
      <c r="J94" s="45"/>
      <c r="K94" s="45"/>
      <c r="L94" s="45"/>
      <c r="M94" s="45"/>
      <c r="N94" s="45"/>
      <c r="O94" s="45"/>
      <c r="P94" s="324"/>
      <c r="Q94" s="326"/>
      <c r="R94" s="326"/>
      <c r="S94" s="326"/>
      <c r="T94" s="45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</row>
    <row r="95" spans="10:33">
      <c r="J95" s="45"/>
      <c r="K95" s="45"/>
      <c r="L95" s="45"/>
      <c r="M95" s="45"/>
      <c r="N95" s="45"/>
      <c r="O95" s="45"/>
      <c r="P95" s="324"/>
      <c r="Q95" s="314"/>
      <c r="R95" s="316"/>
      <c r="S95" s="316"/>
      <c r="T95" s="45"/>
      <c r="X95" s="237"/>
      <c r="Y95" s="258" t="s">
        <v>141</v>
      </c>
      <c r="Z95" s="259"/>
      <c r="AA95" s="260">
        <f>NPV(Z75,AA78:AE78)+Z78</f>
        <v>-4368.7891121603261</v>
      </c>
      <c r="AB95" s="237"/>
      <c r="AC95" s="237"/>
      <c r="AD95" s="237"/>
      <c r="AE95" s="237"/>
      <c r="AF95" s="237"/>
      <c r="AG95" s="237"/>
    </row>
    <row r="96" spans="10:33">
      <c r="J96" s="45"/>
      <c r="K96" s="319" t="s">
        <v>193</v>
      </c>
      <c r="L96" s="320"/>
      <c r="M96" s="45"/>
      <c r="N96" s="45"/>
      <c r="O96" s="45"/>
      <c r="P96" s="308"/>
      <c r="Q96" s="114">
        <v>0</v>
      </c>
      <c r="R96" s="311"/>
      <c r="S96" s="327"/>
      <c r="T96" s="45"/>
      <c r="X96" s="237"/>
      <c r="Y96" s="237"/>
      <c r="Z96" s="237"/>
      <c r="AA96" s="237"/>
      <c r="AB96" s="237"/>
      <c r="AC96" s="237"/>
      <c r="AD96" s="237"/>
      <c r="AE96" s="237"/>
      <c r="AF96" s="237"/>
      <c r="AG96" s="237"/>
    </row>
    <row r="97" spans="10:33">
      <c r="J97" s="45"/>
      <c r="K97" s="45" t="s">
        <v>194</v>
      </c>
      <c r="L97" s="45"/>
      <c r="M97" s="45"/>
      <c r="N97" s="45"/>
      <c r="O97" s="45"/>
      <c r="P97" s="308"/>
      <c r="Q97" s="114">
        <v>0</v>
      </c>
      <c r="R97" s="311"/>
      <c r="S97" s="311"/>
      <c r="T97" s="45"/>
    </row>
    <row r="98" spans="10:33">
      <c r="J98" s="45"/>
      <c r="K98" s="45" t="s">
        <v>195</v>
      </c>
      <c r="L98" s="45"/>
      <c r="M98" s="45"/>
      <c r="N98" s="45"/>
      <c r="O98" s="45"/>
      <c r="P98" s="309"/>
      <c r="Q98" s="114">
        <v>0</v>
      </c>
      <c r="R98" s="311"/>
      <c r="S98" s="311"/>
      <c r="T98" s="45"/>
      <c r="AA98">
        <v>4368</v>
      </c>
    </row>
    <row r="99" spans="10:33">
      <c r="J99" s="45"/>
      <c r="K99" s="45" t="s">
        <v>196</v>
      </c>
      <c r="L99" s="45"/>
      <c r="M99" s="45"/>
      <c r="N99" s="45"/>
      <c r="O99" s="45"/>
      <c r="P99" s="308"/>
      <c r="Q99" s="114">
        <v>0</v>
      </c>
      <c r="R99" s="311"/>
      <c r="S99" s="311"/>
      <c r="T99" s="45"/>
      <c r="Y99" s="221"/>
      <c r="Z99" s="221"/>
      <c r="AA99" s="221"/>
      <c r="AB99" s="221"/>
      <c r="AC99" s="221"/>
      <c r="AD99" s="221"/>
      <c r="AE99" s="221"/>
      <c r="AF99" s="221"/>
      <c r="AG99" s="221"/>
    </row>
    <row r="100" spans="10:33">
      <c r="J100" s="45"/>
      <c r="K100" s="45" t="s">
        <v>197</v>
      </c>
      <c r="L100" s="45"/>
      <c r="M100" s="45"/>
      <c r="N100" s="45"/>
      <c r="O100" s="45"/>
      <c r="P100" s="308"/>
      <c r="Q100" s="114">
        <v>0</v>
      </c>
      <c r="R100" s="311"/>
      <c r="S100" s="311"/>
      <c r="T100" s="45"/>
      <c r="Y100" s="222"/>
      <c r="Z100" s="222" t="s">
        <v>157</v>
      </c>
      <c r="AA100" s="222"/>
      <c r="AB100" s="222"/>
      <c r="AC100" s="222"/>
      <c r="AD100" s="222"/>
      <c r="AE100" s="222"/>
      <c r="AF100" s="222"/>
      <c r="AG100" s="221"/>
    </row>
    <row r="101" spans="10:33">
      <c r="J101" s="45"/>
      <c r="K101" s="6" t="s">
        <v>198</v>
      </c>
      <c r="L101" s="45"/>
      <c r="M101" s="45"/>
      <c r="N101" s="45"/>
      <c r="O101" s="45"/>
      <c r="P101" s="308"/>
      <c r="Q101" s="114">
        <v>0</v>
      </c>
      <c r="R101" s="311"/>
      <c r="S101" s="311"/>
      <c r="T101" s="45"/>
      <c r="Y101" s="222"/>
      <c r="Z101" s="222" t="s">
        <v>158</v>
      </c>
      <c r="AA101" s="222"/>
      <c r="AB101" s="222"/>
      <c r="AC101" s="222"/>
      <c r="AD101" s="222"/>
      <c r="AE101" s="222"/>
      <c r="AF101" s="222"/>
      <c r="AG101" s="221"/>
    </row>
    <row r="102" spans="10:33">
      <c r="P102" s="74"/>
      <c r="Q102" s="80"/>
      <c r="R102" s="76"/>
      <c r="S102" s="76"/>
      <c r="Y102" s="222"/>
      <c r="Z102" s="222"/>
      <c r="AA102" s="223" t="s">
        <v>159</v>
      </c>
      <c r="AB102" s="223" t="s">
        <v>160</v>
      </c>
      <c r="AC102" s="223" t="s">
        <v>161</v>
      </c>
      <c r="AD102" s="223" t="s">
        <v>162</v>
      </c>
      <c r="AE102" s="223" t="s">
        <v>163</v>
      </c>
      <c r="AF102" s="223" t="s">
        <v>164</v>
      </c>
      <c r="AG102" s="221"/>
    </row>
    <row r="103" spans="10:33" ht="15" customHeight="1">
      <c r="P103" s="88"/>
      <c r="Q103" s="79"/>
      <c r="R103" s="79"/>
      <c r="S103" s="79"/>
      <c r="Y103" s="222"/>
      <c r="Z103" s="224" t="s">
        <v>165</v>
      </c>
      <c r="AA103" s="225"/>
      <c r="AB103" s="226">
        <f>Z51</f>
        <v>449</v>
      </c>
      <c r="AC103" s="226">
        <f>AA51</f>
        <v>1910.8670169280699</v>
      </c>
      <c r="AD103" s="226">
        <f>AB51</f>
        <v>2051.3115907076167</v>
      </c>
      <c r="AE103" s="226">
        <f>AC51</f>
        <v>2087.8908109767353</v>
      </c>
      <c r="AF103" s="226">
        <f>AD51</f>
        <v>2186.8320980909593</v>
      </c>
      <c r="AG103" s="221"/>
    </row>
    <row r="104" spans="10:33">
      <c r="P104" s="74"/>
      <c r="Q104" s="79"/>
      <c r="R104" s="84"/>
      <c r="S104" s="84"/>
      <c r="Y104" s="222"/>
      <c r="Z104" s="224" t="s">
        <v>166</v>
      </c>
      <c r="AA104" s="227">
        <f>Z43</f>
        <v>-5643</v>
      </c>
      <c r="AB104" s="228">
        <f>Z50</f>
        <v>510</v>
      </c>
      <c r="AC104" s="226">
        <f>AA50</f>
        <v>337</v>
      </c>
      <c r="AD104" s="226">
        <f>AB50</f>
        <v>352</v>
      </c>
      <c r="AE104" s="226">
        <f>AC50</f>
        <v>367</v>
      </c>
      <c r="AF104" s="226">
        <f>AD50</f>
        <v>396</v>
      </c>
      <c r="AG104" s="221"/>
    </row>
    <row r="105" spans="10:33">
      <c r="P105" s="74"/>
      <c r="Q105" s="79"/>
      <c r="R105" s="89"/>
      <c r="S105" s="89"/>
      <c r="Y105" s="222"/>
      <c r="Z105" s="222"/>
      <c r="AA105" s="222"/>
      <c r="AB105" s="222"/>
      <c r="AC105" s="222"/>
      <c r="AD105" s="222"/>
      <c r="AE105" s="222"/>
      <c r="AF105" s="222"/>
      <c r="AG105" s="221"/>
    </row>
    <row r="106" spans="10:33" ht="15" customHeight="1">
      <c r="P106" s="74"/>
      <c r="Q106" s="81"/>
      <c r="R106" s="81"/>
      <c r="S106" s="79"/>
      <c r="Y106" s="222"/>
      <c r="Z106" s="229" t="s">
        <v>167</v>
      </c>
      <c r="AA106" s="230">
        <f>Z75</f>
        <v>0.25459999999999999</v>
      </c>
      <c r="AB106" s="222"/>
      <c r="AC106" s="222"/>
      <c r="AD106" s="222"/>
      <c r="AE106" s="222"/>
      <c r="AF106" s="222"/>
      <c r="AG106" s="221"/>
    </row>
    <row r="107" spans="10:33" ht="15" customHeight="1">
      <c r="P107" s="86"/>
      <c r="Q107" s="79"/>
      <c r="R107" s="79"/>
      <c r="S107" s="79"/>
      <c r="Y107" s="222"/>
      <c r="Z107" s="229" t="s">
        <v>168</v>
      </c>
      <c r="AA107" s="230"/>
      <c r="AB107" s="222"/>
      <c r="AC107" s="222"/>
      <c r="AD107" s="222"/>
      <c r="AE107" s="222"/>
      <c r="AF107" s="222"/>
      <c r="AG107" s="221"/>
    </row>
    <row r="108" spans="10:33">
      <c r="P108" s="75"/>
      <c r="Q108" s="79"/>
      <c r="R108" s="79"/>
      <c r="S108" s="79"/>
      <c r="Y108" s="222"/>
      <c r="Z108" s="231" t="s">
        <v>169</v>
      </c>
      <c r="AA108" s="222"/>
      <c r="AB108" s="232">
        <f>NPV(AA106,AB103:AF103)</f>
        <v>4156.9146016227814</v>
      </c>
      <c r="AC108" s="222"/>
      <c r="AD108" s="222"/>
      <c r="AE108" s="222"/>
      <c r="AF108" s="222"/>
      <c r="AG108" s="221"/>
    </row>
    <row r="109" spans="10:33">
      <c r="P109" s="74"/>
      <c r="Q109" s="79"/>
      <c r="R109" s="79"/>
      <c r="S109" s="79"/>
      <c r="Y109" s="222"/>
      <c r="Z109" s="231" t="s">
        <v>170</v>
      </c>
      <c r="AA109" s="222"/>
      <c r="AB109" s="233">
        <f>NPV(AA106,AB104:AF104)+AA104</f>
        <v>-4568.6152804259964</v>
      </c>
      <c r="AC109" s="234"/>
      <c r="AD109" s="222"/>
      <c r="AE109" s="222"/>
      <c r="AF109" s="222"/>
      <c r="AG109" s="221"/>
    </row>
    <row r="110" spans="10:33" ht="15" customHeight="1">
      <c r="P110" s="74"/>
      <c r="Q110" s="80"/>
      <c r="R110" s="80"/>
      <c r="S110" s="80"/>
      <c r="Y110" s="222"/>
      <c r="Z110" s="222"/>
      <c r="AA110" s="222"/>
      <c r="AB110" s="222"/>
      <c r="AC110" s="222"/>
      <c r="AD110" s="222"/>
      <c r="AE110" s="222"/>
      <c r="AF110" s="222"/>
      <c r="AG110" s="221"/>
    </row>
    <row r="111" spans="10:33" ht="15" customHeight="1">
      <c r="P111" s="74"/>
      <c r="Q111" s="79"/>
      <c r="R111" s="79"/>
      <c r="S111" s="79"/>
      <c r="Y111" s="222"/>
      <c r="Z111" s="222" t="s">
        <v>171</v>
      </c>
      <c r="AA111" s="222"/>
      <c r="AB111" s="222"/>
      <c r="AC111" s="222"/>
      <c r="AD111" s="222"/>
      <c r="AE111" s="222"/>
      <c r="AF111" s="222"/>
      <c r="AG111" s="221"/>
    </row>
    <row r="112" spans="10:33" ht="18.75">
      <c r="P112" s="88"/>
      <c r="Q112" s="79"/>
      <c r="R112" s="79"/>
      <c r="S112" s="79"/>
      <c r="Y112" s="222"/>
      <c r="Z112" s="222"/>
      <c r="AA112" s="222"/>
      <c r="AB112" s="222"/>
      <c r="AC112" s="235">
        <f>+AB108</f>
        <v>4156.9146016227814</v>
      </c>
      <c r="AD112" s="236" t="s">
        <v>172</v>
      </c>
      <c r="AE112" s="261">
        <f>AC112/AC113</f>
        <v>-0.9098850190850768</v>
      </c>
      <c r="AF112" s="262" t="s">
        <v>143</v>
      </c>
      <c r="AG112" s="221"/>
    </row>
    <row r="113" spans="16:34" ht="18.75">
      <c r="P113" s="74"/>
      <c r="Q113" s="79"/>
      <c r="R113" s="87"/>
      <c r="S113" s="79"/>
      <c r="Y113" s="222"/>
      <c r="Z113" s="222"/>
      <c r="AA113" s="222"/>
      <c r="AB113" s="222"/>
      <c r="AC113" s="234">
        <f>+AB109</f>
        <v>-4568.6152804259964</v>
      </c>
      <c r="AD113" s="236"/>
      <c r="AE113" s="263"/>
      <c r="AF113" s="264"/>
      <c r="AG113" s="221"/>
    </row>
    <row r="114" spans="16:34">
      <c r="P114" s="86"/>
      <c r="Q114" s="79"/>
      <c r="R114" s="87"/>
      <c r="S114" s="79"/>
      <c r="Y114" s="222"/>
      <c r="Z114" s="222"/>
      <c r="AA114" s="222"/>
      <c r="AB114" s="222"/>
      <c r="AC114" s="222"/>
      <c r="AD114" s="222"/>
      <c r="AE114" s="222"/>
      <c r="AF114" s="222"/>
      <c r="AG114" s="221"/>
    </row>
    <row r="115" spans="16:34" ht="15" customHeight="1">
      <c r="P115" s="86"/>
      <c r="Q115" s="81"/>
      <c r="R115" s="81"/>
      <c r="S115" s="79"/>
      <c r="Y115" s="222"/>
      <c r="Z115" s="221"/>
      <c r="AA115" s="221"/>
      <c r="AB115" s="221"/>
      <c r="AC115" s="221"/>
      <c r="AD115" s="221"/>
      <c r="AE115" s="221"/>
      <c r="AF115" s="221"/>
      <c r="AG115" s="221"/>
    </row>
    <row r="116" spans="16:34" ht="15" customHeight="1">
      <c r="P116" s="86"/>
      <c r="Q116" s="79"/>
      <c r="R116" s="87"/>
      <c r="S116" s="79"/>
      <c r="Y116" s="219"/>
    </row>
    <row r="117" spans="16:34" ht="18.75">
      <c r="P117" s="88"/>
      <c r="Q117" s="82"/>
      <c r="R117" s="82"/>
      <c r="S117" s="79"/>
    </row>
    <row r="118" spans="16:34">
      <c r="P118" s="86"/>
      <c r="Q118" s="79"/>
      <c r="R118" s="79"/>
      <c r="S118" s="79"/>
    </row>
    <row r="119" spans="16:34" ht="18.75">
      <c r="P119" s="90"/>
      <c r="Q119" s="79"/>
      <c r="R119" s="83"/>
      <c r="S119" s="83"/>
      <c r="V119" s="266"/>
      <c r="W119" s="266"/>
      <c r="X119" s="266"/>
      <c r="Y119" s="266"/>
      <c r="Z119" s="266"/>
      <c r="AA119" s="266"/>
      <c r="AB119" s="266"/>
      <c r="AC119" s="266"/>
      <c r="AD119" s="266"/>
      <c r="AE119" s="266"/>
      <c r="AF119" s="266"/>
      <c r="AG119" s="266"/>
      <c r="AH119" s="266"/>
    </row>
    <row r="120" spans="16:34">
      <c r="P120" s="74"/>
      <c r="Q120" s="79"/>
      <c r="R120" s="83"/>
      <c r="S120" s="83"/>
      <c r="V120" s="266"/>
      <c r="W120" s="266"/>
      <c r="X120" s="266"/>
      <c r="Y120" s="266"/>
      <c r="Z120" s="266"/>
      <c r="AA120" s="266"/>
      <c r="AB120" s="266"/>
      <c r="AC120" s="266"/>
      <c r="AD120" s="266"/>
      <c r="AE120" s="266"/>
      <c r="AF120" s="266"/>
      <c r="AG120" s="266"/>
      <c r="AH120" s="266"/>
    </row>
    <row r="121" spans="16:34">
      <c r="P121" s="88"/>
      <c r="Q121" s="79"/>
      <c r="R121" s="79"/>
      <c r="S121" s="79"/>
      <c r="V121" s="266"/>
      <c r="W121" s="266"/>
      <c r="X121" s="266"/>
      <c r="Y121" s="266"/>
      <c r="Z121" s="266"/>
      <c r="AA121" s="266"/>
      <c r="AB121" s="266"/>
      <c r="AC121" s="266"/>
      <c r="AD121" s="266"/>
      <c r="AE121" s="266"/>
      <c r="AF121" s="266"/>
      <c r="AG121" s="266"/>
      <c r="AH121" s="266"/>
    </row>
    <row r="122" spans="16:34">
      <c r="P122" s="88"/>
      <c r="Q122" s="79"/>
      <c r="R122" s="79"/>
      <c r="S122" s="79"/>
      <c r="V122" s="266"/>
      <c r="W122" s="266"/>
      <c r="X122" s="266"/>
      <c r="Y122" s="266"/>
      <c r="Z122" s="266"/>
      <c r="AA122" s="266"/>
      <c r="AB122" s="266"/>
      <c r="AC122" s="266"/>
      <c r="AD122" s="266"/>
      <c r="AE122" s="266"/>
      <c r="AF122" s="266"/>
      <c r="AG122" s="266"/>
      <c r="AH122" s="266"/>
    </row>
    <row r="123" spans="16:34">
      <c r="P123" s="86"/>
      <c r="Q123" s="79"/>
      <c r="R123" s="79"/>
      <c r="S123" s="79"/>
      <c r="V123" s="266"/>
      <c r="W123" s="266"/>
      <c r="X123" s="266"/>
      <c r="Y123" s="266"/>
      <c r="Z123" s="266"/>
      <c r="AA123" s="266"/>
      <c r="AB123" s="266"/>
      <c r="AC123" s="266"/>
      <c r="AD123" s="266"/>
      <c r="AE123" s="266"/>
      <c r="AF123" s="266"/>
      <c r="AG123" s="266"/>
      <c r="AH123" s="266"/>
    </row>
    <row r="124" spans="16:34">
      <c r="P124" s="86"/>
      <c r="Q124" s="79"/>
      <c r="R124" s="79"/>
      <c r="S124" s="79"/>
      <c r="V124" s="266"/>
      <c r="W124" s="266"/>
      <c r="X124" s="266"/>
      <c r="Y124" s="266"/>
      <c r="Z124" s="266"/>
      <c r="AA124" s="266"/>
      <c r="AB124" s="266"/>
      <c r="AC124" s="266"/>
      <c r="AD124" s="266"/>
      <c r="AE124" s="266"/>
      <c r="AF124" s="266"/>
      <c r="AG124" s="266"/>
      <c r="AH124" s="266"/>
    </row>
    <row r="125" spans="16:34">
      <c r="P125" s="86"/>
      <c r="Q125" s="81"/>
      <c r="R125" s="81"/>
      <c r="S125" s="79"/>
      <c r="V125" s="266"/>
      <c r="W125" s="266" t="s">
        <v>173</v>
      </c>
      <c r="X125" s="266"/>
      <c r="Y125" s="266"/>
      <c r="Z125" s="266"/>
      <c r="AA125" s="266"/>
      <c r="AB125" s="266"/>
      <c r="AC125" s="266"/>
      <c r="AD125" s="266"/>
      <c r="AE125" s="266"/>
      <c r="AF125" s="266"/>
      <c r="AG125" s="266"/>
      <c r="AH125" s="266"/>
    </row>
    <row r="126" spans="16:34">
      <c r="P126" s="86"/>
      <c r="Q126" s="79"/>
      <c r="R126" s="79"/>
      <c r="S126" s="79"/>
      <c r="V126" s="266"/>
      <c r="W126" s="266"/>
      <c r="X126" s="266"/>
      <c r="Y126" s="266"/>
      <c r="Z126" s="266"/>
      <c r="AA126" s="266"/>
      <c r="AB126" s="266"/>
      <c r="AC126" s="266"/>
      <c r="AD126" s="266"/>
      <c r="AE126" s="266"/>
      <c r="AF126" s="266"/>
      <c r="AG126" s="266"/>
      <c r="AH126" s="266"/>
    </row>
    <row r="127" spans="16:34" ht="18.75">
      <c r="P127" s="88"/>
      <c r="Q127" s="82"/>
      <c r="R127" s="82"/>
      <c r="S127" s="79"/>
      <c r="V127" s="266"/>
      <c r="W127" s="266" t="s">
        <v>174</v>
      </c>
      <c r="X127" s="266"/>
      <c r="Y127" s="266"/>
      <c r="Z127" s="266"/>
      <c r="AA127" s="266"/>
      <c r="AB127" s="266"/>
      <c r="AC127" s="266"/>
      <c r="AD127" s="266"/>
      <c r="AE127" s="266"/>
      <c r="AF127" s="266"/>
      <c r="AG127" s="266"/>
      <c r="AH127" s="266"/>
    </row>
    <row r="128" spans="16:34">
      <c r="P128" s="86"/>
      <c r="Q128" s="74"/>
      <c r="R128" s="74"/>
      <c r="S128" s="74"/>
      <c r="V128" s="266"/>
      <c r="W128" s="266"/>
      <c r="X128" s="266"/>
      <c r="Y128" s="266"/>
      <c r="Z128" s="266"/>
      <c r="AA128" s="266"/>
      <c r="AB128" s="266"/>
      <c r="AC128" s="266"/>
      <c r="AD128" s="266"/>
      <c r="AE128" s="266"/>
      <c r="AF128" s="266"/>
      <c r="AG128" s="266"/>
      <c r="AH128" s="266"/>
    </row>
    <row r="129" spans="16:34" ht="18.75">
      <c r="P129" s="90"/>
      <c r="Q129" s="74"/>
      <c r="R129" s="74"/>
      <c r="S129" s="74"/>
      <c r="V129" s="266"/>
      <c r="W129" s="266"/>
      <c r="X129" s="266" t="s">
        <v>146</v>
      </c>
      <c r="Y129" s="267">
        <v>0.25459999999999999</v>
      </c>
      <c r="Z129" s="266"/>
      <c r="AA129" s="266"/>
      <c r="AB129" s="266"/>
      <c r="AC129" s="266"/>
      <c r="AD129" s="266"/>
      <c r="AE129" s="266"/>
      <c r="AF129" s="266"/>
      <c r="AG129" s="266"/>
      <c r="AH129" s="266"/>
    </row>
    <row r="130" spans="16:34">
      <c r="P130" s="74"/>
      <c r="Q130" s="74"/>
      <c r="R130" s="74"/>
      <c r="S130" s="74"/>
      <c r="V130" s="266"/>
      <c r="W130" s="266"/>
      <c r="X130" s="266"/>
      <c r="Y130" s="266"/>
      <c r="Z130" s="268" t="s">
        <v>147</v>
      </c>
      <c r="AA130" s="268" t="s">
        <v>147</v>
      </c>
      <c r="AB130" s="268" t="s">
        <v>147</v>
      </c>
      <c r="AC130" s="268" t="s">
        <v>147</v>
      </c>
      <c r="AD130" s="268"/>
      <c r="AE130" s="266"/>
      <c r="AF130" s="266"/>
      <c r="AG130" s="266"/>
      <c r="AH130" s="266"/>
    </row>
    <row r="131" spans="16:34">
      <c r="P131" s="74"/>
      <c r="Q131" s="74"/>
      <c r="R131" s="74"/>
      <c r="S131" s="74"/>
      <c r="V131" s="266"/>
      <c r="W131" s="266"/>
      <c r="X131" s="266"/>
      <c r="Y131" s="269" t="s">
        <v>148</v>
      </c>
      <c r="Z131" s="270">
        <v>1</v>
      </c>
      <c r="AA131" s="270">
        <v>2</v>
      </c>
      <c r="AB131" s="270">
        <v>3</v>
      </c>
      <c r="AC131" s="270">
        <v>4</v>
      </c>
      <c r="AD131" s="270"/>
      <c r="AE131" s="266"/>
      <c r="AF131" s="266"/>
      <c r="AG131" s="266"/>
      <c r="AH131" s="266"/>
    </row>
    <row r="132" spans="16:34">
      <c r="P132" s="74"/>
      <c r="Q132" s="74"/>
      <c r="R132" s="74"/>
      <c r="S132" s="74"/>
      <c r="V132" s="266"/>
      <c r="W132" s="266"/>
      <c r="X132" s="269" t="s">
        <v>99</v>
      </c>
      <c r="Y132" s="271">
        <f>AA104</f>
        <v>-5643</v>
      </c>
      <c r="Z132" s="271">
        <f>AA78</f>
        <v>-30</v>
      </c>
      <c r="AA132" s="271">
        <f>AB78</f>
        <v>793</v>
      </c>
      <c r="AB132" s="271">
        <f>AC78</f>
        <v>860</v>
      </c>
      <c r="AC132" s="271">
        <f>AD78</f>
        <v>889</v>
      </c>
      <c r="AD132" s="271"/>
      <c r="AE132" s="266"/>
      <c r="AF132" s="266"/>
      <c r="AG132" s="266"/>
      <c r="AH132" s="266"/>
    </row>
    <row r="133" spans="16:34">
      <c r="P133" s="74"/>
      <c r="Q133" s="74"/>
      <c r="R133" s="74"/>
      <c r="S133" s="74"/>
      <c r="V133" s="266"/>
      <c r="W133" s="266"/>
      <c r="X133" s="266"/>
      <c r="Y133" s="266"/>
      <c r="Z133" s="266"/>
      <c r="AA133" s="266"/>
      <c r="AB133" s="266"/>
      <c r="AC133" s="266"/>
      <c r="AD133" s="266"/>
      <c r="AE133" s="266"/>
      <c r="AF133" s="266"/>
      <c r="AG133" s="266"/>
      <c r="AH133" s="266"/>
    </row>
    <row r="134" spans="16:34">
      <c r="P134" s="74"/>
      <c r="Q134" s="74"/>
      <c r="R134" s="74"/>
      <c r="S134" s="74"/>
      <c r="V134" s="266"/>
      <c r="W134" s="266"/>
      <c r="X134" s="272" t="s">
        <v>175</v>
      </c>
      <c r="Y134" s="273">
        <f>IRR(Y132:AD132)</f>
        <v>-0.22712132122600215</v>
      </c>
      <c r="Z134" s="266"/>
      <c r="AA134" s="266"/>
      <c r="AB134" s="266"/>
      <c r="AC134" s="266"/>
      <c r="AD134" s="266"/>
      <c r="AE134" s="266"/>
      <c r="AF134" s="266"/>
      <c r="AG134" s="266"/>
      <c r="AH134" s="266"/>
    </row>
    <row r="135" spans="16:34">
      <c r="P135" s="74"/>
      <c r="Q135" s="74"/>
      <c r="R135" s="74"/>
      <c r="S135" s="74"/>
      <c r="V135" s="266"/>
      <c r="W135" s="266"/>
      <c r="X135" s="266"/>
      <c r="Y135" s="266"/>
      <c r="Z135" s="266"/>
      <c r="AA135" s="266"/>
      <c r="AB135" s="266"/>
      <c r="AC135" s="266"/>
      <c r="AD135" s="266"/>
      <c r="AE135" s="266"/>
      <c r="AF135" s="266"/>
      <c r="AG135" s="266"/>
      <c r="AH135" s="266"/>
    </row>
    <row r="136" spans="16:34">
      <c r="P136" s="74"/>
      <c r="Q136" s="74"/>
      <c r="R136" s="74"/>
      <c r="S136" s="74"/>
      <c r="V136" s="266"/>
      <c r="W136" s="266"/>
      <c r="X136" s="266"/>
      <c r="Y136" s="266"/>
      <c r="Z136" s="266"/>
      <c r="AA136" s="266"/>
      <c r="AB136" s="266"/>
      <c r="AC136" s="266"/>
      <c r="AD136" s="266"/>
      <c r="AE136" s="266"/>
      <c r="AF136" s="266"/>
      <c r="AG136" s="266"/>
      <c r="AH136" s="266"/>
    </row>
    <row r="137" spans="16:34">
      <c r="P137" s="74"/>
      <c r="Q137" s="74"/>
      <c r="R137" s="74"/>
      <c r="S137" s="74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</row>
    <row r="138" spans="16:34">
      <c r="P138" s="74"/>
      <c r="Q138" s="74"/>
      <c r="R138" s="74"/>
      <c r="S138" s="74"/>
      <c r="V138" s="173"/>
      <c r="W138" s="275"/>
      <c r="X138" s="275"/>
      <c r="Y138" s="275"/>
      <c r="Z138" s="275"/>
      <c r="AA138" s="275"/>
      <c r="AB138" s="275"/>
      <c r="AC138" s="275"/>
      <c r="AD138" s="275"/>
      <c r="AE138" s="275"/>
      <c r="AF138" s="275"/>
      <c r="AG138" s="173"/>
      <c r="AH138" s="173"/>
    </row>
    <row r="139" spans="16:34">
      <c r="P139" s="74"/>
      <c r="Q139" s="74"/>
      <c r="R139" s="74"/>
      <c r="S139" s="74"/>
      <c r="V139" s="173"/>
      <c r="W139" s="275"/>
      <c r="X139" s="275"/>
      <c r="Y139" s="275"/>
      <c r="Z139" s="275"/>
      <c r="AA139" s="275"/>
      <c r="AB139" s="275"/>
      <c r="AC139" s="275"/>
      <c r="AD139" s="275"/>
      <c r="AE139" s="275"/>
      <c r="AF139" s="275"/>
      <c r="AG139" s="173"/>
      <c r="AH139" s="173"/>
    </row>
    <row r="140" spans="16:34">
      <c r="P140" s="74"/>
      <c r="Q140" s="74"/>
      <c r="R140" s="74"/>
      <c r="S140" s="74"/>
      <c r="V140" s="173"/>
      <c r="W140" s="275"/>
      <c r="X140" s="275"/>
      <c r="Y140" s="275"/>
      <c r="Z140" s="275"/>
      <c r="AA140" s="275"/>
      <c r="AB140" s="275"/>
      <c r="AC140" s="275"/>
      <c r="AD140" s="275"/>
      <c r="AE140" s="275"/>
      <c r="AF140" s="275"/>
    </row>
    <row r="141" spans="16:34">
      <c r="P141" s="74"/>
      <c r="Q141" s="74"/>
      <c r="R141" s="74"/>
      <c r="S141" s="74"/>
      <c r="V141" s="173"/>
      <c r="W141" s="275"/>
      <c r="X141" s="275" t="s">
        <v>146</v>
      </c>
      <c r="Y141" s="276">
        <v>0.25459999999999999</v>
      </c>
      <c r="Z141" s="275"/>
      <c r="AA141" s="275"/>
      <c r="AB141" s="275"/>
      <c r="AC141" s="275"/>
      <c r="AD141" s="275"/>
      <c r="AE141" s="275"/>
      <c r="AF141" s="275"/>
    </row>
    <row r="142" spans="16:34">
      <c r="P142" s="74"/>
      <c r="Q142" s="74"/>
      <c r="R142" s="74"/>
      <c r="S142" s="74"/>
      <c r="V142" s="173"/>
      <c r="W142" s="275"/>
      <c r="X142" s="275"/>
      <c r="Y142" s="275"/>
      <c r="Z142" s="277" t="s">
        <v>147</v>
      </c>
      <c r="AA142" s="277" t="s">
        <v>147</v>
      </c>
      <c r="AB142" s="277" t="s">
        <v>147</v>
      </c>
      <c r="AC142" s="277" t="s">
        <v>147</v>
      </c>
      <c r="AD142" s="277" t="s">
        <v>147</v>
      </c>
      <c r="AE142" s="277" t="s">
        <v>147</v>
      </c>
      <c r="AF142" s="277" t="s">
        <v>147</v>
      </c>
    </row>
    <row r="143" spans="16:34">
      <c r="P143" s="74"/>
      <c r="Q143" s="74"/>
      <c r="R143" s="74"/>
      <c r="S143" s="74"/>
      <c r="V143" s="173"/>
      <c r="W143" s="275"/>
      <c r="X143" s="275"/>
      <c r="Y143" s="278" t="s">
        <v>148</v>
      </c>
      <c r="Z143" s="279">
        <v>1</v>
      </c>
      <c r="AA143" s="279">
        <v>2</v>
      </c>
      <c r="AB143" s="279">
        <v>3</v>
      </c>
      <c r="AC143" s="279">
        <v>4</v>
      </c>
      <c r="AD143" s="279">
        <v>5</v>
      </c>
      <c r="AE143" s="280">
        <v>6</v>
      </c>
      <c r="AF143" s="280">
        <v>7</v>
      </c>
      <c r="AG143" s="274"/>
    </row>
    <row r="144" spans="16:34">
      <c r="P144" s="74"/>
      <c r="V144" s="173"/>
      <c r="W144" s="275"/>
      <c r="X144" s="278" t="s">
        <v>99</v>
      </c>
      <c r="Y144" s="281">
        <f>Y132</f>
        <v>-5643</v>
      </c>
      <c r="Z144" s="281">
        <f>Z132</f>
        <v>-30</v>
      </c>
      <c r="AA144" s="281">
        <f>AA132</f>
        <v>793</v>
      </c>
      <c r="AB144" s="281">
        <f>AB132</f>
        <v>860</v>
      </c>
      <c r="AC144" s="281">
        <f>AC132</f>
        <v>889</v>
      </c>
      <c r="AD144" s="281">
        <f>AE43</f>
        <v>1850</v>
      </c>
      <c r="AE144" s="282">
        <f>AF43</f>
        <v>1077</v>
      </c>
      <c r="AF144" s="282">
        <f>AG43</f>
        <v>692</v>
      </c>
      <c r="AG144" s="6"/>
    </row>
    <row r="145" spans="16:32">
      <c r="P145" s="74"/>
      <c r="V145" s="173"/>
      <c r="W145" s="275"/>
      <c r="X145" s="275"/>
      <c r="Y145" s="275"/>
      <c r="Z145" s="275"/>
      <c r="AA145" s="275"/>
      <c r="AB145" s="275"/>
      <c r="AC145" s="275"/>
      <c r="AD145" s="275"/>
      <c r="AE145" s="275"/>
      <c r="AF145" s="275"/>
    </row>
    <row r="146" spans="16:32">
      <c r="P146" s="74"/>
      <c r="V146" s="173"/>
      <c r="W146" s="275"/>
      <c r="X146" s="283" t="s">
        <v>176</v>
      </c>
      <c r="Y146" s="284">
        <f>-Y144</f>
        <v>5643</v>
      </c>
      <c r="Z146" s="285">
        <f>(Z144/(1+$D$216)^Z143)</f>
        <v>-30</v>
      </c>
      <c r="AA146" s="285">
        <f>(AA144/(1+$D$216)^AA143)</f>
        <v>793</v>
      </c>
      <c r="AB146" s="285">
        <f>(AB144/(1+$D$216)^AB143)</f>
        <v>860</v>
      </c>
      <c r="AC146" s="285">
        <f>(AC144/(1+$D$216)^AC143)</f>
        <v>889</v>
      </c>
      <c r="AD146" s="285">
        <f>(AD144/(1+$D$216)^AD143)</f>
        <v>1850</v>
      </c>
      <c r="AE146" s="285">
        <f>(AE144/(1+$D$216)^AE143)</f>
        <v>1077</v>
      </c>
      <c r="AF146" s="285">
        <f>(AF144/(1+$D$216)^AF143)</f>
        <v>692</v>
      </c>
    </row>
    <row r="147" spans="16:32">
      <c r="V147" s="173"/>
      <c r="W147" s="275"/>
      <c r="X147" s="275"/>
      <c r="Y147" s="275"/>
      <c r="Z147" s="275"/>
      <c r="AA147" s="275"/>
      <c r="AB147" s="275"/>
      <c r="AC147" s="275"/>
      <c r="AD147" s="275"/>
      <c r="AE147" s="275"/>
      <c r="AF147" s="275"/>
    </row>
    <row r="148" spans="16:32" ht="20.25">
      <c r="V148" s="173"/>
      <c r="W148" s="275"/>
      <c r="X148" s="275" t="s">
        <v>177</v>
      </c>
      <c r="Y148" s="275"/>
      <c r="Z148" s="286"/>
      <c r="AA148" s="275"/>
      <c r="AB148" s="275"/>
      <c r="AC148" s="275"/>
      <c r="AD148" s="275"/>
      <c r="AE148" s="275"/>
      <c r="AF148" s="275"/>
    </row>
    <row r="149" spans="16:32">
      <c r="V149" s="173"/>
      <c r="W149" s="275"/>
      <c r="X149" s="275"/>
      <c r="Y149" s="275"/>
      <c r="Z149" s="275"/>
      <c r="AA149" s="275"/>
      <c r="AB149" s="275"/>
      <c r="AC149" s="275"/>
      <c r="AD149" s="275"/>
      <c r="AE149" s="275"/>
      <c r="AF149" s="275"/>
    </row>
    <row r="150" spans="16:32">
      <c r="V150" s="173"/>
      <c r="W150" s="275"/>
      <c r="X150" s="287" t="s">
        <v>178</v>
      </c>
      <c r="Y150" s="288">
        <v>6</v>
      </c>
      <c r="Z150" s="275"/>
      <c r="AA150" s="275"/>
      <c r="AB150" s="275"/>
      <c r="AC150" s="275"/>
      <c r="AD150" s="275"/>
      <c r="AE150" s="275"/>
      <c r="AF150" s="275"/>
    </row>
    <row r="151" spans="16:32">
      <c r="V151" s="173"/>
      <c r="W151" s="275"/>
      <c r="X151" s="289" t="s">
        <v>179</v>
      </c>
      <c r="Y151" s="290">
        <f>+Y146</f>
        <v>5643</v>
      </c>
      <c r="Z151" s="275"/>
      <c r="AA151" s="275"/>
      <c r="AB151" s="275"/>
      <c r="AC151" s="275"/>
      <c r="AD151" s="275"/>
      <c r="AE151" s="275"/>
      <c r="AF151" s="275"/>
    </row>
    <row r="152" spans="16:32">
      <c r="V152" s="173"/>
      <c r="W152" s="275"/>
      <c r="X152" s="275"/>
      <c r="Y152" s="288"/>
      <c r="Z152" s="275"/>
      <c r="AA152" s="275"/>
      <c r="AB152" s="275"/>
      <c r="AC152" s="275"/>
      <c r="AD152" s="275"/>
      <c r="AE152" s="275"/>
      <c r="AF152" s="275"/>
    </row>
    <row r="153" spans="16:32">
      <c r="V153" s="173"/>
      <c r="W153" s="275"/>
      <c r="X153" s="291" t="s">
        <v>180</v>
      </c>
      <c r="Y153" s="290">
        <v>5499</v>
      </c>
      <c r="Z153" s="275"/>
      <c r="AA153" s="275"/>
      <c r="AB153" s="275"/>
      <c r="AC153" s="275"/>
      <c r="AD153" s="275"/>
      <c r="AE153" s="275"/>
      <c r="AF153" s="275"/>
    </row>
    <row r="154" spans="16:32">
      <c r="W154" s="275"/>
      <c r="X154" s="275"/>
      <c r="Y154" s="288"/>
      <c r="Z154" s="275"/>
      <c r="AA154" s="275"/>
      <c r="AB154" s="275"/>
      <c r="AC154" s="275"/>
      <c r="AD154" s="275"/>
      <c r="AE154" s="275"/>
      <c r="AF154" s="275"/>
    </row>
    <row r="155" spans="16:32">
      <c r="W155" s="275"/>
      <c r="X155" s="289" t="s">
        <v>181</v>
      </c>
      <c r="Y155" s="290">
        <v>692</v>
      </c>
      <c r="Z155" s="275"/>
      <c r="AA155" s="275"/>
      <c r="AB155" s="275"/>
      <c r="AC155" s="275"/>
      <c r="AD155" s="275"/>
      <c r="AE155" s="275"/>
      <c r="AF155" s="275"/>
    </row>
    <row r="156" spans="16:32">
      <c r="W156" s="275"/>
      <c r="X156" s="275"/>
      <c r="Y156" s="275"/>
      <c r="Z156" s="275"/>
      <c r="AA156" s="275"/>
      <c r="AB156" s="275"/>
      <c r="AC156" s="275"/>
      <c r="AD156" s="275"/>
      <c r="AE156" s="275"/>
      <c r="AF156" s="275"/>
    </row>
    <row r="157" spans="16:32">
      <c r="W157" s="275"/>
      <c r="X157" s="275"/>
      <c r="Y157" s="275"/>
      <c r="Z157" s="275"/>
      <c r="AA157" s="275"/>
      <c r="AB157" s="275"/>
      <c r="AC157" s="275"/>
      <c r="AD157" s="275"/>
      <c r="AE157" s="275"/>
      <c r="AF157" s="275"/>
    </row>
    <row r="158" spans="16:32">
      <c r="W158" s="275"/>
      <c r="X158" s="275"/>
      <c r="Y158" s="275"/>
      <c r="Z158" s="292" t="s">
        <v>182</v>
      </c>
      <c r="AA158" s="293">
        <v>6</v>
      </c>
      <c r="AB158" s="294" t="s">
        <v>183</v>
      </c>
      <c r="AC158" s="295" t="s">
        <v>185</v>
      </c>
      <c r="AD158" s="296"/>
      <c r="AE158" s="275"/>
      <c r="AF158" s="275"/>
    </row>
    <row r="159" spans="16:32">
      <c r="W159" s="275"/>
      <c r="X159" s="275"/>
      <c r="Y159" s="275"/>
      <c r="Z159" s="292"/>
      <c r="AA159" s="293"/>
      <c r="AB159" s="294"/>
      <c r="AC159" s="297">
        <v>692</v>
      </c>
      <c r="AD159" s="296"/>
      <c r="AE159" s="275"/>
      <c r="AF159" s="275"/>
    </row>
    <row r="160" spans="16:32">
      <c r="W160" s="275"/>
      <c r="X160" s="275"/>
      <c r="Y160" s="275"/>
      <c r="Z160" s="275"/>
      <c r="AA160" s="298"/>
      <c r="AB160" s="275"/>
      <c r="AC160" s="275"/>
      <c r="AD160" s="275"/>
      <c r="AE160" s="275"/>
      <c r="AF160" s="275"/>
    </row>
    <row r="161" spans="23:32">
      <c r="W161" s="275"/>
      <c r="X161" s="275"/>
      <c r="Y161" s="275"/>
      <c r="Z161" s="292" t="s">
        <v>182</v>
      </c>
      <c r="AA161" s="293">
        <v>6</v>
      </c>
      <c r="AB161" s="294" t="s">
        <v>183</v>
      </c>
      <c r="AC161" s="299">
        <f>+(Y151-Y153)/Y155</f>
        <v>0.20809248554913296</v>
      </c>
      <c r="AD161" s="275"/>
      <c r="AE161" s="275"/>
      <c r="AF161" s="275"/>
    </row>
    <row r="162" spans="23:32">
      <c r="W162" s="275"/>
      <c r="X162" s="275"/>
      <c r="Y162" s="275"/>
      <c r="Z162" s="292"/>
      <c r="AA162" s="293"/>
      <c r="AB162" s="294"/>
      <c r="AC162" s="299"/>
      <c r="AD162" s="275"/>
      <c r="AE162" s="275"/>
      <c r="AF162" s="275"/>
    </row>
    <row r="163" spans="23:32">
      <c r="W163" s="275"/>
      <c r="X163" s="275"/>
      <c r="Y163" s="275"/>
      <c r="Z163" s="302" t="s">
        <v>182</v>
      </c>
      <c r="AA163" s="300">
        <f>+AA161+AC161</f>
        <v>6.2080924855491331</v>
      </c>
      <c r="AB163" s="300" t="s">
        <v>184</v>
      </c>
      <c r="AC163" s="275"/>
      <c r="AD163" s="275"/>
      <c r="AE163" s="275"/>
      <c r="AF163" s="275"/>
    </row>
    <row r="164" spans="23:32">
      <c r="W164" s="275"/>
      <c r="X164" s="275"/>
      <c r="Y164" s="275"/>
      <c r="Z164" s="302"/>
      <c r="AA164" s="301"/>
      <c r="AB164" s="301"/>
      <c r="AC164" s="275"/>
      <c r="AD164" s="275"/>
      <c r="AE164" s="275"/>
      <c r="AF164" s="275"/>
    </row>
  </sheetData>
  <mergeCells count="33">
    <mergeCell ref="L86:Q86"/>
    <mergeCell ref="L84:R84"/>
    <mergeCell ref="AC161:AC162"/>
    <mergeCell ref="Z163:Z164"/>
    <mergeCell ref="AA163:AA164"/>
    <mergeCell ref="AB163:AB164"/>
    <mergeCell ref="Z158:Z159"/>
    <mergeCell ref="AA158:AA159"/>
    <mergeCell ref="AB158:AB159"/>
    <mergeCell ref="Z161:Z162"/>
    <mergeCell ref="AA161:AA162"/>
    <mergeCell ref="AB161:AB162"/>
    <mergeCell ref="AD112:AD113"/>
    <mergeCell ref="AE112:AE113"/>
    <mergeCell ref="AF112:AF113"/>
    <mergeCell ref="B6:J6"/>
    <mergeCell ref="B7:J7"/>
    <mergeCell ref="B27:J27"/>
    <mergeCell ref="B28:J28"/>
    <mergeCell ref="Q28:T28"/>
    <mergeCell ref="Q6:T6"/>
    <mergeCell ref="Q7:T7"/>
    <mergeCell ref="Q27:T27"/>
    <mergeCell ref="Y47:AD47"/>
    <mergeCell ref="Y48:AD48"/>
    <mergeCell ref="P76:P79"/>
    <mergeCell ref="P6:P7"/>
    <mergeCell ref="Y68:AD68"/>
    <mergeCell ref="Y69:AD69"/>
    <mergeCell ref="X6:AC6"/>
    <mergeCell ref="X7:AC7"/>
    <mergeCell ref="Y18:AD18"/>
    <mergeCell ref="Y19:AD19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EEFF</vt:lpstr>
      <vt:lpstr>Empresa ABC</vt:lpstr>
      <vt:lpstr>A.Sensibilidad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LEGUIZAMON YOLANDA ROCIO</dc:creator>
  <cp:lastModifiedBy>Usuario</cp:lastModifiedBy>
  <dcterms:created xsi:type="dcterms:W3CDTF">2016-02-22T19:14:46Z</dcterms:created>
  <dcterms:modified xsi:type="dcterms:W3CDTF">2023-05-02T23:00:42Z</dcterms:modified>
</cp:coreProperties>
</file>