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asic Financial Analysis" sheetId="1" r:id="rId1"/>
    <sheet name="Advanced Financial Analysis" sheetId="4" r:id="rId2"/>
  </sheets>
  <definedNames>
    <definedName name="_xlchart.0" hidden="1">'Advanced Financial Analysis'!$A$131</definedName>
    <definedName name="_xlchart.1" hidden="1">'Advanced Financial Analysis'!$D$130:$J$130</definedName>
    <definedName name="_xlchart.2" hidden="1">'Advanced Financial Analysis'!$D$131:$J$131</definedName>
    <definedName name="Gross_Profit">'Advanced Financial Analysis'!$6:$6</definedName>
    <definedName name="sensitivity">'Advanced Financial Analysis'!$C$36</definedName>
    <definedName name="sensitivity_driver">'Advanced Financial Analysis'!$C$36</definedName>
    <definedName name="SG_A">'Advanced Financial Analysis'!$7:$7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6" i="4" l="1"/>
  <c r="E126" i="4" l="1"/>
  <c r="E127" i="4"/>
  <c r="D127" i="4"/>
  <c r="D128" i="4" s="1"/>
  <c r="E128" i="4" l="1"/>
  <c r="D117" i="4"/>
  <c r="E112" i="4"/>
  <c r="A105" i="4"/>
  <c r="C103" i="4"/>
  <c r="D103" i="4" s="1"/>
  <c r="E103" i="4" s="1"/>
  <c r="F103" i="4" s="1"/>
  <c r="E45" i="4"/>
  <c r="D45" i="4"/>
  <c r="E43" i="4"/>
  <c r="D43" i="4"/>
  <c r="E42" i="4"/>
  <c r="D42" i="4"/>
  <c r="E40" i="4"/>
  <c r="D40" i="4"/>
  <c r="E38" i="4"/>
  <c r="D38" i="4"/>
  <c r="E37" i="4"/>
  <c r="D37" i="4"/>
  <c r="E33" i="4"/>
  <c r="D33" i="4"/>
  <c r="E31" i="4"/>
  <c r="D31" i="4"/>
  <c r="E30" i="4"/>
  <c r="D30" i="4"/>
  <c r="E28" i="4"/>
  <c r="D28" i="4"/>
  <c r="E26" i="4"/>
  <c r="D26" i="4"/>
  <c r="E25" i="4"/>
  <c r="D25" i="4"/>
  <c r="D24" i="4"/>
  <c r="J21" i="4"/>
  <c r="I21" i="4"/>
  <c r="H21" i="4"/>
  <c r="G21" i="4"/>
  <c r="F21" i="4"/>
  <c r="J20" i="4"/>
  <c r="J10" i="4" s="1"/>
  <c r="J43" i="4" s="1"/>
  <c r="I20" i="4"/>
  <c r="I10" i="4" s="1"/>
  <c r="I43" i="4" s="1"/>
  <c r="H20" i="4"/>
  <c r="H10" i="4" s="1"/>
  <c r="H43" i="4" s="1"/>
  <c r="G20" i="4"/>
  <c r="G10" i="4" s="1"/>
  <c r="G43" i="4" s="1"/>
  <c r="F20" i="4"/>
  <c r="F10" i="4" s="1"/>
  <c r="H131" i="4" s="1"/>
  <c r="E20" i="4"/>
  <c r="D20" i="4"/>
  <c r="J19" i="4"/>
  <c r="I19" i="4"/>
  <c r="H19" i="4"/>
  <c r="G19" i="4"/>
  <c r="F19" i="4"/>
  <c r="E19" i="4"/>
  <c r="D19" i="4"/>
  <c r="J18" i="4"/>
  <c r="J7" i="4" s="1"/>
  <c r="J40" i="4" s="1"/>
  <c r="I18" i="4"/>
  <c r="I7" i="4" s="1"/>
  <c r="I40" i="4" s="1"/>
  <c r="H18" i="4"/>
  <c r="H7" i="4" s="1"/>
  <c r="H40" i="4" s="1"/>
  <c r="G18" i="4"/>
  <c r="G7" i="4" s="1"/>
  <c r="G40" i="4" s="1"/>
  <c r="F18" i="4"/>
  <c r="F7" i="4" s="1"/>
  <c r="F131" i="4" s="1"/>
  <c r="E18" i="4"/>
  <c r="D18" i="4"/>
  <c r="J17" i="4"/>
  <c r="I17" i="4"/>
  <c r="H17" i="4"/>
  <c r="G17" i="4"/>
  <c r="F17" i="4"/>
  <c r="E17" i="4"/>
  <c r="D17" i="4"/>
  <c r="J16" i="4"/>
  <c r="I16" i="4"/>
  <c r="H16" i="4"/>
  <c r="G16" i="4"/>
  <c r="F16" i="4"/>
  <c r="F4" i="4" s="1"/>
  <c r="E16" i="4"/>
  <c r="E6" i="4"/>
  <c r="E8" i="4" s="1"/>
  <c r="D6" i="4"/>
  <c r="D48" i="4" s="1"/>
  <c r="D50" i="4" s="1"/>
  <c r="A3" i="4"/>
  <c r="E1" i="4"/>
  <c r="F1" i="4" s="1"/>
  <c r="A131" i="4" s="1"/>
  <c r="J61" i="1"/>
  <c r="I61" i="1"/>
  <c r="H61" i="1"/>
  <c r="G61" i="1"/>
  <c r="F61" i="1"/>
  <c r="E61" i="1"/>
  <c r="D61" i="1"/>
  <c r="J60" i="1"/>
  <c r="I60" i="1"/>
  <c r="H60" i="1"/>
  <c r="G60" i="1"/>
  <c r="F60" i="1"/>
  <c r="E60" i="1"/>
  <c r="D60" i="1"/>
  <c r="J58" i="1"/>
  <c r="I58" i="1"/>
  <c r="H58" i="1"/>
  <c r="G58" i="1"/>
  <c r="F58" i="1"/>
  <c r="E58" i="1"/>
  <c r="D58" i="1"/>
  <c r="J56" i="1"/>
  <c r="I56" i="1"/>
  <c r="H56" i="1"/>
  <c r="G56" i="1"/>
  <c r="F56" i="1"/>
  <c r="E56" i="1"/>
  <c r="D56" i="1"/>
  <c r="J54" i="1"/>
  <c r="I54" i="1"/>
  <c r="H54" i="1"/>
  <c r="G54" i="1"/>
  <c r="F54" i="1"/>
  <c r="E54" i="1"/>
  <c r="D54" i="1"/>
  <c r="J53" i="1"/>
  <c r="I53" i="1"/>
  <c r="H53" i="1"/>
  <c r="G53" i="1"/>
  <c r="F53" i="1"/>
  <c r="E53" i="1"/>
  <c r="D53" i="1"/>
  <c r="J51" i="1"/>
  <c r="I51" i="1"/>
  <c r="H51" i="1"/>
  <c r="G51" i="1"/>
  <c r="F51" i="1"/>
  <c r="E51" i="1"/>
  <c r="D51" i="1"/>
  <c r="J50" i="1"/>
  <c r="I50" i="1"/>
  <c r="H50" i="1"/>
  <c r="G50" i="1"/>
  <c r="F50" i="1"/>
  <c r="E50" i="1"/>
  <c r="D50" i="1"/>
  <c r="J48" i="1"/>
  <c r="I48" i="1"/>
  <c r="H48" i="1"/>
  <c r="G48" i="1"/>
  <c r="F48" i="1"/>
  <c r="E48" i="1"/>
  <c r="D48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C45" i="1"/>
  <c r="A45" i="1"/>
  <c r="J44" i="1"/>
  <c r="I44" i="1"/>
  <c r="H44" i="1"/>
  <c r="G44" i="1"/>
  <c r="F44" i="1"/>
  <c r="E44" i="1"/>
  <c r="D44" i="1"/>
  <c r="A44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J35" i="1"/>
  <c r="I35" i="1"/>
  <c r="H35" i="1"/>
  <c r="G35" i="1"/>
  <c r="F35" i="1"/>
  <c r="E35" i="1"/>
  <c r="D35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J25" i="1"/>
  <c r="I25" i="1"/>
  <c r="H25" i="1"/>
  <c r="G25" i="1"/>
  <c r="F25" i="1"/>
  <c r="E25" i="1"/>
  <c r="D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E21" i="1"/>
  <c r="D21" i="1"/>
  <c r="E20" i="1"/>
  <c r="D20" i="1"/>
  <c r="E19" i="1"/>
  <c r="D19" i="1"/>
  <c r="E18" i="1"/>
  <c r="D18" i="1"/>
  <c r="E17" i="1"/>
  <c r="D17" i="1"/>
  <c r="E16" i="1"/>
  <c r="J13" i="1"/>
  <c r="I13" i="1"/>
  <c r="H13" i="1"/>
  <c r="G13" i="1"/>
  <c r="F13" i="1"/>
  <c r="E13" i="1"/>
  <c r="D13" i="1"/>
  <c r="J12" i="1"/>
  <c r="I12" i="1"/>
  <c r="H12" i="1"/>
  <c r="G12" i="1"/>
  <c r="F12" i="1"/>
  <c r="J11" i="1"/>
  <c r="I11" i="1"/>
  <c r="H11" i="1"/>
  <c r="G11" i="1"/>
  <c r="F11" i="1"/>
  <c r="E11" i="1"/>
  <c r="D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E8" i="1"/>
  <c r="D8" i="1"/>
  <c r="J7" i="1"/>
  <c r="I7" i="1"/>
  <c r="H7" i="1"/>
  <c r="G7" i="1"/>
  <c r="F7" i="1"/>
  <c r="J6" i="1"/>
  <c r="I6" i="1"/>
  <c r="H6" i="1"/>
  <c r="G6" i="1"/>
  <c r="F6" i="1"/>
  <c r="E6" i="1"/>
  <c r="D6" i="1"/>
  <c r="J5" i="1"/>
  <c r="I5" i="1"/>
  <c r="H5" i="1"/>
  <c r="G5" i="1"/>
  <c r="F5" i="1"/>
  <c r="J4" i="1"/>
  <c r="I4" i="1"/>
  <c r="H4" i="1"/>
  <c r="G4" i="1"/>
  <c r="F4" i="1"/>
  <c r="J1" i="1"/>
  <c r="I1" i="1"/>
  <c r="H1" i="1"/>
  <c r="G1" i="1"/>
  <c r="F1" i="1"/>
  <c r="E1" i="1"/>
  <c r="D8" i="4" l="1"/>
  <c r="D11" i="4" s="1"/>
  <c r="D44" i="4" s="1"/>
  <c r="D27" i="4"/>
  <c r="D39" i="4"/>
  <c r="F40" i="4"/>
  <c r="G1" i="4"/>
  <c r="H1" i="4" s="1"/>
  <c r="I1" i="4" s="1"/>
  <c r="J1" i="4" s="1"/>
  <c r="A54" i="4" s="1"/>
  <c r="A106" i="4"/>
  <c r="F9" i="4"/>
  <c r="F30" i="4" s="1"/>
  <c r="F5" i="4"/>
  <c r="F26" i="4" s="1"/>
  <c r="E93" i="4"/>
  <c r="F37" i="4"/>
  <c r="D98" i="4"/>
  <c r="F25" i="4"/>
  <c r="F28" i="4"/>
  <c r="F43" i="4"/>
  <c r="E41" i="4"/>
  <c r="E29" i="4"/>
  <c r="E11" i="4"/>
  <c r="D131" i="4"/>
  <c r="F126" i="4"/>
  <c r="F31" i="4"/>
  <c r="G4" i="4"/>
  <c r="E39" i="4"/>
  <c r="E48" i="4"/>
  <c r="E50" i="4" s="1"/>
  <c r="E27" i="4"/>
  <c r="D29" i="4" l="1"/>
  <c r="D41" i="4"/>
  <c r="D21" i="4"/>
  <c r="D32" i="4"/>
  <c r="D13" i="4"/>
  <c r="D34" i="4" s="1"/>
  <c r="D46" i="4"/>
  <c r="A107" i="4"/>
  <c r="A108" i="4" s="1"/>
  <c r="F6" i="4"/>
  <c r="F8" i="4" s="1"/>
  <c r="F29" i="4" s="1"/>
  <c r="E131" i="4"/>
  <c r="F38" i="4"/>
  <c r="G131" i="4"/>
  <c r="F42" i="4"/>
  <c r="E32" i="4"/>
  <c r="E21" i="4"/>
  <c r="E44" i="4"/>
  <c r="E13" i="4"/>
  <c r="G126" i="4"/>
  <c r="E98" i="4"/>
  <c r="G25" i="4"/>
  <c r="G9" i="4"/>
  <c r="G5" i="4"/>
  <c r="G6" i="4" s="1"/>
  <c r="G37" i="4"/>
  <c r="H4" i="4"/>
  <c r="G28" i="4"/>
  <c r="G31" i="4"/>
  <c r="C112" i="4" l="1"/>
  <c r="A112" i="4"/>
  <c r="D90" i="4"/>
  <c r="F41" i="4"/>
  <c r="F11" i="4"/>
  <c r="F32" i="4" s="1"/>
  <c r="D87" i="4"/>
  <c r="D99" i="4"/>
  <c r="F48" i="4"/>
  <c r="F50" i="4" s="1"/>
  <c r="F39" i="4"/>
  <c r="F27" i="4"/>
  <c r="G30" i="4"/>
  <c r="G42" i="4"/>
  <c r="H126" i="4"/>
  <c r="H5" i="4"/>
  <c r="H6" i="4" s="1"/>
  <c r="H28" i="4"/>
  <c r="I4" i="4"/>
  <c r="H31" i="4"/>
  <c r="F98" i="4"/>
  <c r="H25" i="4"/>
  <c r="H9" i="4"/>
  <c r="H37" i="4"/>
  <c r="E34" i="4"/>
  <c r="E46" i="4"/>
  <c r="G27" i="4"/>
  <c r="G48" i="4"/>
  <c r="G50" i="4" s="1"/>
  <c r="G39" i="4"/>
  <c r="G8" i="4"/>
  <c r="G38" i="4"/>
  <c r="G26" i="4"/>
  <c r="F44" i="4" l="1"/>
  <c r="F12" i="4"/>
  <c r="F13" i="4" s="1"/>
  <c r="E118" i="4" s="1"/>
  <c r="G11" i="4"/>
  <c r="E99" i="4"/>
  <c r="G29" i="4"/>
  <c r="G41" i="4"/>
  <c r="H30" i="4"/>
  <c r="H42" i="4"/>
  <c r="I126" i="4"/>
  <c r="I31" i="4"/>
  <c r="J4" i="4"/>
  <c r="I25" i="4"/>
  <c r="I9" i="4"/>
  <c r="I5" i="4"/>
  <c r="I6" i="4" s="1"/>
  <c r="I37" i="4"/>
  <c r="I28" i="4"/>
  <c r="H27" i="4"/>
  <c r="H48" i="4"/>
  <c r="H50" i="4" s="1"/>
  <c r="H39" i="4"/>
  <c r="H8" i="4"/>
  <c r="H38" i="4"/>
  <c r="H26" i="4"/>
  <c r="D100" i="4" l="1"/>
  <c r="F33" i="4"/>
  <c r="F34" i="4"/>
  <c r="F45" i="4"/>
  <c r="I131" i="4"/>
  <c r="J131" i="4" s="1"/>
  <c r="F127" i="4"/>
  <c r="F128" i="4" s="1"/>
  <c r="F46" i="4"/>
  <c r="I38" i="4"/>
  <c r="I26" i="4"/>
  <c r="I42" i="4"/>
  <c r="I30" i="4"/>
  <c r="I27" i="4"/>
  <c r="I48" i="4"/>
  <c r="I50" i="4" s="1"/>
  <c r="I39" i="4"/>
  <c r="I8" i="4"/>
  <c r="J126" i="4"/>
  <c r="J25" i="4"/>
  <c r="J31" i="4"/>
  <c r="J9" i="4"/>
  <c r="J5" i="4"/>
  <c r="J37" i="4"/>
  <c r="J28" i="4"/>
  <c r="G12" i="4"/>
  <c r="G13" i="4" s="1"/>
  <c r="G32" i="4"/>
  <c r="G44" i="4"/>
  <c r="H11" i="4"/>
  <c r="F99" i="4"/>
  <c r="H29" i="4"/>
  <c r="H41" i="4"/>
  <c r="H12" i="4" l="1"/>
  <c r="H13" i="4" s="1"/>
  <c r="H32" i="4"/>
  <c r="H44" i="4"/>
  <c r="J30" i="4"/>
  <c r="J42" i="4"/>
  <c r="I29" i="4"/>
  <c r="I11" i="4"/>
  <c r="I41" i="4"/>
  <c r="J38" i="4"/>
  <c r="J26" i="4"/>
  <c r="E100" i="4"/>
  <c r="G34" i="4"/>
  <c r="F118" i="4"/>
  <c r="G46" i="4"/>
  <c r="J6" i="4"/>
  <c r="G127" i="4"/>
  <c r="G128" i="4" s="1"/>
  <c r="G45" i="4"/>
  <c r="G33" i="4"/>
  <c r="I32" i="4" l="1"/>
  <c r="I12" i="4"/>
  <c r="I13" i="4" s="1"/>
  <c r="I44" i="4"/>
  <c r="J48" i="4"/>
  <c r="J8" i="4"/>
  <c r="J27" i="4"/>
  <c r="J39" i="4"/>
  <c r="F100" i="4"/>
  <c r="H34" i="4"/>
  <c r="G118" i="4"/>
  <c r="D120" i="4" s="1"/>
  <c r="H46" i="4"/>
  <c r="H127" i="4"/>
  <c r="H128" i="4" s="1"/>
  <c r="H45" i="4"/>
  <c r="H33" i="4"/>
  <c r="B117" i="4" l="1"/>
  <c r="J29" i="4"/>
  <c r="J11" i="4"/>
  <c r="J41" i="4"/>
  <c r="J50" i="4"/>
  <c r="C54" i="4"/>
  <c r="I34" i="4"/>
  <c r="I46" i="4"/>
  <c r="D121" i="4"/>
  <c r="I127" i="4"/>
  <c r="I128" i="4" s="1"/>
  <c r="I33" i="4"/>
  <c r="I45" i="4"/>
  <c r="J32" i="4" l="1"/>
  <c r="J12" i="4"/>
  <c r="J13" i="4" s="1"/>
  <c r="J44" i="4"/>
  <c r="J34" i="4" l="1"/>
  <c r="J46" i="4"/>
  <c r="A103" i="4" s="1"/>
  <c r="J127" i="4"/>
  <c r="J128" i="4" s="1"/>
  <c r="J33" i="4"/>
  <c r="J45" i="4"/>
</calcChain>
</file>

<file path=xl/comments1.xml><?xml version="1.0" encoding="utf-8"?>
<comments xmlns="http://schemas.openxmlformats.org/spreadsheetml/2006/main">
  <authors>
    <author>Author</author>
  </authors>
  <commentList>
    <comment ref="D57" authorId="0" shapeId="0">
      <text>
        <r>
          <rPr>
            <b/>
            <sz val="9"/>
            <color indexed="81"/>
            <rFont val="Tahoma"/>
            <family val="2"/>
          </rPr>
          <t xml:space="preserve">Author:
Select Scenario
</t>
        </r>
      </text>
    </comment>
  </commentList>
</comments>
</file>

<file path=xl/sharedStrings.xml><?xml version="1.0" encoding="utf-8"?>
<sst xmlns="http://schemas.openxmlformats.org/spreadsheetml/2006/main" count="154" uniqueCount="74">
  <si>
    <t>CZK kc000's</t>
  </si>
  <si>
    <t>Income Statement</t>
  </si>
  <si>
    <t>Revenue</t>
  </si>
  <si>
    <t>COGS</t>
  </si>
  <si>
    <t>Gross Profit</t>
  </si>
  <si>
    <t>SG&amp;A</t>
  </si>
  <si>
    <t>EBITA</t>
  </si>
  <si>
    <t>Depreciation</t>
  </si>
  <si>
    <t>Interest</t>
  </si>
  <si>
    <t>EBT</t>
  </si>
  <si>
    <t>Taxes</t>
  </si>
  <si>
    <t>Net income</t>
  </si>
  <si>
    <t>Assumptions</t>
  </si>
  <si>
    <t>Revenue growth</t>
  </si>
  <si>
    <t>COGS % of revenue</t>
  </si>
  <si>
    <t>Depreciation % of revenue</t>
  </si>
  <si>
    <t>Interests</t>
  </si>
  <si>
    <t>Tax rate</t>
  </si>
  <si>
    <t>% Change</t>
  </si>
  <si>
    <t>&gt; anchor</t>
  </si>
  <si>
    <t>(we've got this dynamic setup, useful for sensitivity analysis and scenarios)</t>
  </si>
  <si>
    <t>EBITA sensitivity</t>
  </si>
  <si>
    <t>(an alternative for the anchor by naming cells) &gt; one challenge: don't know where that cell is -&gt; do not overuse it)</t>
  </si>
  <si>
    <t>Barre de progression : 0.00%</t>
  </si>
  <si>
    <t>Time</t>
  </si>
  <si>
    <t>Monthly Data</t>
  </si>
  <si>
    <t>Annual Data</t>
  </si>
  <si>
    <t>Monthly Period</t>
  </si>
  <si>
    <t>Annual Period</t>
  </si>
  <si>
    <t>Cost analysis</t>
  </si>
  <si>
    <t>Total</t>
  </si>
  <si>
    <t>Average</t>
  </si>
  <si>
    <t>Weighted average</t>
  </si>
  <si>
    <t>Median</t>
  </si>
  <si>
    <t>Stub or Full-year</t>
  </si>
  <si>
    <t>Return Total Expenses</t>
  </si>
  <si>
    <t>Error Check</t>
  </si>
  <si>
    <t>Total expenses</t>
  </si>
  <si>
    <t>Min</t>
  </si>
  <si>
    <t>Max</t>
  </si>
  <si>
    <t>Small</t>
  </si>
  <si>
    <t>Large</t>
  </si>
  <si>
    <t>Div/0</t>
  </si>
  <si>
    <t>Adding with an error</t>
  </si>
  <si>
    <t>Find and replace</t>
  </si>
  <si>
    <t>Scenarios</t>
  </si>
  <si>
    <t>Scenario 1</t>
  </si>
  <si>
    <t>Scenario 2</t>
  </si>
  <si>
    <t>Scenario 3</t>
  </si>
  <si>
    <t>(downside)</t>
  </si>
  <si>
    <t>(upside)</t>
  </si>
  <si>
    <t>(base case)</t>
  </si>
  <si>
    <t>Running:</t>
  </si>
  <si>
    <t>Analysis</t>
  </si>
  <si>
    <t>Common size income statement</t>
  </si>
  <si>
    <t>Summary Data</t>
  </si>
  <si>
    <t>Vlookup example</t>
  </si>
  <si>
    <t>Hlookup example</t>
  </si>
  <si>
    <t>Dynamic Query</t>
  </si>
  <si>
    <t xml:space="preserve">Select -&gt; </t>
  </si>
  <si>
    <t xml:space="preserve">Output -&gt; </t>
  </si>
  <si>
    <t>Dynamic Query Table</t>
  </si>
  <si>
    <t>2026 Net income</t>
  </si>
  <si>
    <t>Break-even Net Income</t>
  </si>
  <si>
    <t>2022 Revenue Growth</t>
  </si>
  <si>
    <t>Sumif</t>
  </si>
  <si>
    <t>Countif</t>
  </si>
  <si>
    <t>If + And</t>
  </si>
  <si>
    <t>Financial Valuation</t>
  </si>
  <si>
    <t>XIRR</t>
  </si>
  <si>
    <t>XNPV</t>
  </si>
  <si>
    <t>Charts &amp; Graphs</t>
  </si>
  <si>
    <t>Total Expenses</t>
  </si>
  <si>
    <t>Resulted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</si>
</sst>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164" formatCode="0&quot;A&quot;"/>
    <numFmt numFmtId="165" formatCode="0&quot;E&quot;"/>
    <numFmt numFmtId="166" formatCode="#,##0.0_);\(#,##0.0\)"/>
    <numFmt numFmtId="167" formatCode="0.0%"/>
    <numFmt numFmtId="168" formatCode="d/m/yyyy;@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F7F9FA"/>
      <name val="Segoe UI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2" borderId="0" xfId="0" applyFont="1" applyFill="1"/>
    <xf numFmtId="164" fontId="3" fillId="2" borderId="0" xfId="0" applyNumberFormat="1" applyFont="1" applyFill="1"/>
    <xf numFmtId="165" fontId="3" fillId="2" borderId="0" xfId="0" applyNumberFormat="1" applyFont="1" applyFill="1"/>
    <xf numFmtId="166" fontId="0" fillId="0" borderId="0" xfId="0" applyNumberFormat="1"/>
    <xf numFmtId="166" fontId="4" fillId="0" borderId="0" xfId="0" applyNumberFormat="1" applyFont="1"/>
    <xf numFmtId="167" fontId="0" fillId="0" borderId="0" xfId="1" applyNumberFormat="1" applyFont="1"/>
    <xf numFmtId="167" fontId="4" fillId="0" borderId="0" xfId="1" applyNumberFormat="1" applyFont="1"/>
    <xf numFmtId="166" fontId="5" fillId="0" borderId="0" xfId="0" applyNumberFormat="1" applyFont="1"/>
    <xf numFmtId="166" fontId="2" fillId="0" borderId="0" xfId="0" applyNumberFormat="1" applyFont="1"/>
    <xf numFmtId="0" fontId="0" fillId="0" borderId="1" xfId="0" applyBorder="1"/>
    <xf numFmtId="166" fontId="0" fillId="0" borderId="1" xfId="0" applyNumberFormat="1" applyBorder="1"/>
    <xf numFmtId="0" fontId="2" fillId="0" borderId="1" xfId="0" applyFont="1" applyBorder="1"/>
    <xf numFmtId="0" fontId="2" fillId="0" borderId="2" xfId="0" applyFont="1" applyBorder="1"/>
    <xf numFmtId="166" fontId="2" fillId="0" borderId="2" xfId="0" applyNumberFormat="1" applyFont="1" applyBorder="1"/>
    <xf numFmtId="0" fontId="2" fillId="3" borderId="0" xfId="0" applyFont="1" applyFill="1"/>
    <xf numFmtId="0" fontId="0" fillId="3" borderId="0" xfId="0" applyFill="1"/>
    <xf numFmtId="0" fontId="0" fillId="0" borderId="0" xfId="0" applyFont="1" applyBorder="1"/>
    <xf numFmtId="0" fontId="6" fillId="0" borderId="0" xfId="0" applyFont="1" applyAlignment="1">
      <alignment vertical="center" wrapText="1"/>
    </xf>
    <xf numFmtId="0" fontId="7" fillId="3" borderId="0" xfId="0" applyFont="1" applyFill="1"/>
    <xf numFmtId="14" fontId="0" fillId="0" borderId="0" xfId="0" applyNumberFormat="1"/>
    <xf numFmtId="14" fontId="4" fillId="3" borderId="0" xfId="0" applyNumberFormat="1" applyFont="1" applyFill="1"/>
    <xf numFmtId="168" fontId="4" fillId="0" borderId="0" xfId="0" applyNumberFormat="1" applyFont="1"/>
    <xf numFmtId="168" fontId="8" fillId="0" borderId="0" xfId="0" applyNumberFormat="1" applyFont="1"/>
    <xf numFmtId="0" fontId="4" fillId="0" borderId="0" xfId="0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8" fillId="0" borderId="0" xfId="0" applyNumberFormat="1" applyFont="1"/>
    <xf numFmtId="0" fontId="8" fillId="0" borderId="0" xfId="0" applyFont="1" applyAlignment="1">
      <alignment horizontal="right"/>
    </xf>
    <xf numFmtId="0" fontId="0" fillId="3" borderId="3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6" fontId="0" fillId="0" borderId="0" xfId="0" applyNumberFormat="1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left"/>
    </xf>
    <xf numFmtId="166" fontId="0" fillId="4" borderId="0" xfId="0" applyNumberForma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5" fillId="0" borderId="0" xfId="0" applyFont="1" applyFill="1" applyBorder="1"/>
    <xf numFmtId="0" fontId="5" fillId="0" borderId="0" xfId="0" applyFo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166" fontId="10" fillId="0" borderId="0" xfId="0" applyNumberFormat="1" applyFont="1"/>
    <xf numFmtId="167" fontId="2" fillId="0" borderId="0" xfId="1" applyNumberFormat="1" applyFont="1"/>
    <xf numFmtId="166" fontId="0" fillId="0" borderId="5" xfId="0" applyNumberFormat="1" applyBorder="1"/>
    <xf numFmtId="166" fontId="0" fillId="0" borderId="4" xfId="0" applyNumberFormat="1" applyBorder="1"/>
    <xf numFmtId="0" fontId="2" fillId="5" borderId="0" xfId="0" applyFont="1" applyFill="1" applyAlignment="1">
      <alignment horizontal="centerContinuous"/>
    </xf>
    <xf numFmtId="0" fontId="0" fillId="5" borderId="0" xfId="0" applyFill="1" applyAlignment="1">
      <alignment horizontal="centerContinuous"/>
    </xf>
    <xf numFmtId="169" fontId="5" fillId="0" borderId="0" xfId="0" applyNumberFormat="1" applyFont="1" applyFill="1" applyBorder="1"/>
    <xf numFmtId="166" fontId="2" fillId="0" borderId="2" xfId="0" applyNumberFormat="1" applyFont="1" applyBorder="1" applyAlignment="1">
      <alignment wrapText="1"/>
    </xf>
    <xf numFmtId="167" fontId="4" fillId="0" borderId="0" xfId="0" applyNumberFormat="1" applyFont="1" applyAlignment="1">
      <alignment horizontal="center"/>
    </xf>
    <xf numFmtId="169" fontId="11" fillId="0" borderId="0" xfId="0" applyNumberFormat="1" applyFont="1" applyFill="1" applyBorder="1"/>
    <xf numFmtId="9" fontId="4" fillId="0" borderId="0" xfId="0" applyNumberFormat="1" applyFont="1"/>
    <xf numFmtId="8" fontId="0" fillId="0" borderId="0" xfId="0" applyNumberFormat="1"/>
    <xf numFmtId="165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ont>
        <color theme="2" tint="-0.499984740745262"/>
      </font>
    </dxf>
  </dxfs>
  <tableStyles count="0" defaultTableStyle="TableStyleMedium2" defaultPivotStyle="PivotStyleLight16"/>
  <colors>
    <mruColors>
      <color rgb="FF00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Statement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'Advanced Financial Analysis'!$A$126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'Advanced Financial Analysis'!$D$1:$J$1</c:f>
              <c:numCache>
                <c:formatCode>0"A"</c:formatCode>
                <c:ptCount val="7"/>
                <c:pt idx="0">
                  <c:v>2020</c:v>
                </c:pt>
                <c:pt idx="1">
                  <c:v>2021</c:v>
                </c:pt>
                <c:pt idx="2" formatCode="0&quot;E&quot;">
                  <c:v>2022</c:v>
                </c:pt>
                <c:pt idx="3" formatCode="0&quot;E&quot;">
                  <c:v>2023</c:v>
                </c:pt>
                <c:pt idx="4" formatCode="0&quot;E&quot;">
                  <c:v>2024</c:v>
                </c:pt>
                <c:pt idx="5" formatCode="0&quot;E&quot;">
                  <c:v>2025</c:v>
                </c:pt>
                <c:pt idx="6" formatCode="0&quot;E&quot;">
                  <c:v>2026</c:v>
                </c:pt>
              </c:numCache>
            </c:numRef>
          </c:cat>
          <c:val>
            <c:numRef>
              <c:f>'Advanced Financial Analysis'!$D$126:$J$126</c:f>
              <c:numCache>
                <c:formatCode>#,##0.0_);\(#,##0.0\)</c:formatCode>
                <c:ptCount val="7"/>
                <c:pt idx="0">
                  <c:v>150000</c:v>
                </c:pt>
                <c:pt idx="1">
                  <c:v>165000</c:v>
                </c:pt>
                <c:pt idx="2">
                  <c:v>181500.00000000003</c:v>
                </c:pt>
                <c:pt idx="3">
                  <c:v>199650.00000000006</c:v>
                </c:pt>
                <c:pt idx="4">
                  <c:v>219615.00000000009</c:v>
                </c:pt>
                <c:pt idx="5">
                  <c:v>241576.50000000012</c:v>
                </c:pt>
                <c:pt idx="6">
                  <c:v>265734.15000000014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E-4804-9396-672DF335DA9F}"/>
            </c:ext>
          </c:extLst>
        </c:ser>
        <c:ser>
          <c:idx val="1"/>
          <c:order val="1"/>
          <c:tx>
            <c:strRef>
              <c:f>'Advanced Financial Analysis'!$A$127</c:f>
              <c:strCache>
                <c:ptCount val="1"/>
                <c:pt idx="0">
                  <c:v>Total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'Advanced Financial Analysis'!$D$1:$J$1</c:f>
              <c:numCache>
                <c:formatCode>0"A"</c:formatCode>
                <c:ptCount val="7"/>
                <c:pt idx="0">
                  <c:v>2020</c:v>
                </c:pt>
                <c:pt idx="1">
                  <c:v>2021</c:v>
                </c:pt>
                <c:pt idx="2" formatCode="0&quot;E&quot;">
                  <c:v>2022</c:v>
                </c:pt>
                <c:pt idx="3" formatCode="0&quot;E&quot;">
                  <c:v>2023</c:v>
                </c:pt>
                <c:pt idx="4" formatCode="0&quot;E&quot;">
                  <c:v>2024</c:v>
                </c:pt>
                <c:pt idx="5" formatCode="0&quot;E&quot;">
                  <c:v>2025</c:v>
                </c:pt>
                <c:pt idx="6" formatCode="0&quot;E&quot;">
                  <c:v>2026</c:v>
                </c:pt>
              </c:numCache>
            </c:numRef>
          </c:cat>
          <c:val>
            <c:numRef>
              <c:f>'Advanced Financial Analysis'!$D$127:$J$127</c:f>
              <c:numCache>
                <c:formatCode>#,##0.0_);\(#,##0.0\)</c:formatCode>
                <c:ptCount val="7"/>
                <c:pt idx="0">
                  <c:v>-109120</c:v>
                </c:pt>
                <c:pt idx="1">
                  <c:v>-119962</c:v>
                </c:pt>
                <c:pt idx="2">
                  <c:v>-132675.00000000003</c:v>
                </c:pt>
                <c:pt idx="3">
                  <c:v>-144472.50000000006</c:v>
                </c:pt>
                <c:pt idx="4">
                  <c:v>-157449.75000000006</c:v>
                </c:pt>
                <c:pt idx="5">
                  <c:v>-171724.72500000009</c:v>
                </c:pt>
                <c:pt idx="6">
                  <c:v>-187427.1975000001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E-4804-9396-672DF335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8691400"/>
        <c:axId val="428694352"/>
      </c:barChart>
      <c:lineChart>
        <c:grouping val="standard"/>
        <c:varyColors val="0"/>
        <c:ser>
          <c:idx val="2"/>
          <c:order val="2"/>
          <c:tx>
            <c:strRef>
              <c:f>'Advanced Financial Analysis'!$A$128</c:f>
              <c:strCache>
                <c:ptCount val="1"/>
                <c:pt idx="0">
                  <c:v>Resulted Net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'Advanced Financial Analysis'!$D$128:$J$128</c:f>
              <c:numCache>
                <c:formatCode>#,##0.0_);\(#,##0.0\)</c:formatCode>
                <c:ptCount val="7"/>
                <c:pt idx="0">
                  <c:v>40880</c:v>
                </c:pt>
                <c:pt idx="1">
                  <c:v>45038</c:v>
                </c:pt>
                <c:pt idx="2">
                  <c:v>48825</c:v>
                </c:pt>
                <c:pt idx="3">
                  <c:v>55177.5</c:v>
                </c:pt>
                <c:pt idx="4">
                  <c:v>62165.250000000029</c:v>
                </c:pt>
                <c:pt idx="5">
                  <c:v>69851.775000000023</c:v>
                </c:pt>
                <c:pt idx="6">
                  <c:v>78306.952500000043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E-4804-9396-672DF335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91400"/>
        <c:axId val="428694352"/>
      </c:lineChart>
      <c:catAx>
        <c:axId val="428691400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4352"/>
        <c:crosses val="autoZero"/>
        <c:auto val="1"/>
        <c:lblAlgn val="ctr"/>
        <c:lblOffset val="100"/>
        <c:noMultiLvlLbl val="0"/>
      </c:catAx>
      <c:valAx>
        <c:axId val="42869435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14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0753065752539209E-2"/>
                <c:y val="0.3740530860852251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12625780282593"/>
          <c:y val="0.82331284559629159"/>
          <c:w val="0.84887384038326386"/>
          <c:h val="7.527110579131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</cx:f>
      </cx:strDim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2022E </a:t>
            </a:r>
            <a:r>
              <a:rPr lang="cs-CZ"/>
              <a:t>Income Statement Waterfall</a:t>
            </a:r>
            <a:endParaRPr lang="en-US"/>
          </a:p>
        </cx:rich>
      </cx:tx>
    </cx:title>
    <cx:plotArea>
      <cx:plotAreaRegion>
        <cx:series layoutId="waterfall" uniqueId="{00000000-4ED8-4035-B99E-C6B657D7F378}">
          <cx:tx>
            <cx:txData>
              <cx:f>_xlchart.0</cx:f>
              <cx:v>2022E</cx:v>
            </cx:txData>
          </cx:tx>
          <cx:spPr>
            <a:solidFill>
              <a:schemeClr val="bg1">
                <a:lumMod val="75000"/>
              </a:schemeClr>
            </a:solidFill>
            <a:ln>
              <a:noFill/>
            </a:ln>
          </cx:spPr>
          <cx:dataPt idx="0">
            <cx:spPr>
              <a:solidFill>
                <a:schemeClr val="tx2"/>
              </a:solidFill>
            </cx:spPr>
          </cx:dataPt>
          <cx:dataPt idx="6">
            <cx:spPr>
              <a:solidFill>
                <a:schemeClr val="tx2">
                  <a:lumMod val="60000"/>
                  <a:lumOff val="40000"/>
                </a:schemeClr>
              </a:solidFill>
            </cx:spPr>
          </cx:dataPt>
          <cx:dataId val="0"/>
          <cx:layoutPr>
            <cx:visibility connectorLines="0"/>
            <cx:subtotals>
              <cx:idx val="6"/>
            </cx:subtotals>
          </cx:layoutPr>
        </cx:series>
      </cx:plotAreaRegion>
      <cx:axis id="0">
        <cx:catScaling gapWidth="0.699999988"/>
        <cx:tickLabels/>
      </cx:axis>
      <cx:axis id="1">
        <cx:valScaling/>
        <cx:units unit="thousands"/>
        <cx:tickLabels/>
      </cx:axis>
    </cx:plotArea>
    <cx:legend pos="t" align="ctr" overlay="0"/>
  </cx:chart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'Advanced Financial Analysis'!$A$126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'Advanced Financial Analysis'!$D$1:$J$1</c:f>
              <c:numCache>
                <c:formatCode>0"A"</c:formatCode>
                <c:ptCount val="7"/>
                <c:pt idx="0">
                  <c:v>2020</c:v>
                </c:pt>
                <c:pt idx="1">
                  <c:v>2021</c:v>
                </c:pt>
                <c:pt idx="2" formatCode="0&quot;E&quot;">
                  <c:v>2022</c:v>
                </c:pt>
                <c:pt idx="3" formatCode="0&quot;E&quot;">
                  <c:v>2023</c:v>
                </c:pt>
                <c:pt idx="4" formatCode="0&quot;E&quot;">
                  <c:v>2024</c:v>
                </c:pt>
                <c:pt idx="5" formatCode="0&quot;E&quot;">
                  <c:v>2025</c:v>
                </c:pt>
                <c:pt idx="6" formatCode="0&quot;E&quot;">
                  <c:v>2026</c:v>
                </c:pt>
              </c:numCache>
            </c:numRef>
          </c:cat>
          <c:val>
            <c:numRef>
              <c:f>'Advanced Financial Analysis'!$D$126:$J$126</c:f>
              <c:numCache>
                <c:formatCode>#,##0.0_);\(#,##0.0\)</c:formatCode>
                <c:ptCount val="7"/>
                <c:pt idx="0">
                  <c:v>150000</c:v>
                </c:pt>
                <c:pt idx="1">
                  <c:v>165000</c:v>
                </c:pt>
                <c:pt idx="2">
                  <c:v>181500.00000000003</c:v>
                </c:pt>
                <c:pt idx="3">
                  <c:v>199650.00000000006</c:v>
                </c:pt>
                <c:pt idx="4">
                  <c:v>219615.00000000009</c:v>
                </c:pt>
                <c:pt idx="5">
                  <c:v>241576.50000000012</c:v>
                </c:pt>
                <c:pt idx="6">
                  <c:v>265734.15000000014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3-4B03-905E-02B1640A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8691400"/>
        <c:axId val="428694352"/>
      </c:barChart>
      <c:catAx>
        <c:axId val="428691400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4352"/>
        <c:crosses val="autoZero"/>
        <c:auto val="1"/>
        <c:lblAlgn val="ctr"/>
        <c:lblOffset val="100"/>
        <c:noMultiLvlLbl val="0"/>
      </c:catAx>
      <c:valAx>
        <c:axId val="42869435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14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0753065752539209E-2"/>
                <c:y val="0.3740530860852251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01507045633032E-2"/>
          <c:y val="0.14623092672706747"/>
          <c:w val="0.84887384038326386"/>
          <c:h val="7.527110579131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Income</a:t>
            </a:r>
            <a:r>
              <a:rPr lang="en-US"/>
              <a:t>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'Advanced Financial Analysis'!$A$128</c:f>
              <c:strCache>
                <c:ptCount val="1"/>
                <c:pt idx="0">
                  <c:v>Resulted Net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'Advanced Financial Analysis'!$D$128:$J$128</c:f>
              <c:numCache>
                <c:formatCode>#,##0.0_);\(#,##0.0\)</c:formatCode>
                <c:ptCount val="7"/>
                <c:pt idx="0">
                  <c:v>40880</c:v>
                </c:pt>
                <c:pt idx="1">
                  <c:v>45038</c:v>
                </c:pt>
                <c:pt idx="2">
                  <c:v>48825</c:v>
                </c:pt>
                <c:pt idx="3">
                  <c:v>55177.5</c:v>
                </c:pt>
                <c:pt idx="4">
                  <c:v>62165.250000000029</c:v>
                </c:pt>
                <c:pt idx="5">
                  <c:v>69851.775000000023</c:v>
                </c:pt>
                <c:pt idx="6">
                  <c:v>78306.952500000043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A-4925-91DF-68F212CB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91400"/>
        <c:axId val="428694352"/>
      </c:lineChart>
      <c:catAx>
        <c:axId val="428691400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4352"/>
        <c:crosses val="autoZero"/>
        <c:auto val="1"/>
        <c:lblAlgn val="ctr"/>
        <c:lblOffset val="100"/>
        <c:noMultiLvlLbl val="0"/>
      </c:catAx>
      <c:valAx>
        <c:axId val="42869435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14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0753065752539209E-2"/>
                <c:y val="0.3740530860852251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12622650495308"/>
          <c:y val="0.67085737003235169"/>
          <c:w val="0.84887384038326386"/>
          <c:h val="7.527110579131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Statement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'Advanced Financial Analysis'!$A$126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'Advanced Financial Analysis'!$D$1:$J$1</c:f>
              <c:numCache>
                <c:formatCode>0"A"</c:formatCode>
                <c:ptCount val="7"/>
                <c:pt idx="0">
                  <c:v>2020</c:v>
                </c:pt>
                <c:pt idx="1">
                  <c:v>2021</c:v>
                </c:pt>
                <c:pt idx="2" formatCode="0&quot;E&quot;">
                  <c:v>2022</c:v>
                </c:pt>
                <c:pt idx="3" formatCode="0&quot;E&quot;">
                  <c:v>2023</c:v>
                </c:pt>
                <c:pt idx="4" formatCode="0&quot;E&quot;">
                  <c:v>2024</c:v>
                </c:pt>
                <c:pt idx="5" formatCode="0&quot;E&quot;">
                  <c:v>2025</c:v>
                </c:pt>
                <c:pt idx="6" formatCode="0&quot;E&quot;">
                  <c:v>2026</c:v>
                </c:pt>
              </c:numCache>
            </c:numRef>
          </c:cat>
          <c:val>
            <c:numRef>
              <c:f>'Advanced Financial Analysis'!$D$126:$J$126</c:f>
              <c:numCache>
                <c:formatCode>#,##0.0_);\(#,##0.0\)</c:formatCode>
                <c:ptCount val="7"/>
                <c:pt idx="0">
                  <c:v>150000</c:v>
                </c:pt>
                <c:pt idx="1">
                  <c:v>165000</c:v>
                </c:pt>
                <c:pt idx="2">
                  <c:v>181500.00000000003</c:v>
                </c:pt>
                <c:pt idx="3">
                  <c:v>199650.00000000006</c:v>
                </c:pt>
                <c:pt idx="4">
                  <c:v>219615.00000000009</c:v>
                </c:pt>
                <c:pt idx="5">
                  <c:v>241576.50000000012</c:v>
                </c:pt>
                <c:pt idx="6">
                  <c:v>265734.15000000014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2-4E1E-9D7D-DDB2C6EF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8691400"/>
        <c:axId val="428694352"/>
      </c:barChart>
      <c:lineChart>
        <c:grouping val="standard"/>
        <c:varyColors val="0"/>
        <c:ser>
          <c:idx val="2"/>
          <c:order val="1"/>
          <c:tx>
            <c:strRef>
              <c:f>'Advanced Financial Analysis'!$A$128</c:f>
              <c:strCache>
                <c:ptCount val="1"/>
                <c:pt idx="0">
                  <c:v>Resulted Net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'Advanced Financial Analysis'!$D$128:$J$128</c:f>
              <c:numCache>
                <c:formatCode>#,##0.0_);\(#,##0.0\)</c:formatCode>
                <c:ptCount val="7"/>
                <c:pt idx="0">
                  <c:v>40880</c:v>
                </c:pt>
                <c:pt idx="1">
                  <c:v>45038</c:v>
                </c:pt>
                <c:pt idx="2">
                  <c:v>48825</c:v>
                </c:pt>
                <c:pt idx="3">
                  <c:v>55177.5</c:v>
                </c:pt>
                <c:pt idx="4">
                  <c:v>62165.250000000029</c:v>
                </c:pt>
                <c:pt idx="5">
                  <c:v>69851.775000000023</c:v>
                </c:pt>
                <c:pt idx="6">
                  <c:v>78306.952500000043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2-4E1E-9D7D-DDB2C6EF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91400"/>
        <c:axId val="428694352"/>
      </c:lineChart>
      <c:catAx>
        <c:axId val="428691400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4352"/>
        <c:crosses val="autoZero"/>
        <c:auto val="1"/>
        <c:lblAlgn val="ctr"/>
        <c:lblOffset val="100"/>
        <c:noMultiLvlLbl val="0"/>
      </c:catAx>
      <c:valAx>
        <c:axId val="42869435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14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0753065752539209E-2"/>
                <c:y val="0.3740530860852251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3339863694579963E-2"/>
          <c:y val="0.14174694003215052"/>
          <c:w val="0.84887384038326386"/>
          <c:h val="7.527110579131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2022E Operating Costs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'Advanced Financial Analysis'!$A$131</c:f>
              <c:strCache>
                <c:ptCount val="1"/>
                <c:pt idx="0">
                  <c:v>2022E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'Advanced Financial Analysis'!$E$131:$I$131</c:f>
              <c:numCache>
                <c:formatCode>#,##0.0_);\(#,##0.0\)</c:formatCode>
                <c:ptCount val="5"/>
                <c:pt idx="0">
                  <c:v>-81675.000000000015</c:v>
                </c:pt>
                <c:pt idx="1">
                  <c:v>-20000</c:v>
                </c:pt>
                <c:pt idx="2">
                  <c:v>-9075.0000000000018</c:v>
                </c:pt>
                <c:pt idx="3">
                  <c:v>-1000</c:v>
                </c:pt>
                <c:pt idx="4">
                  <c:v>-20925.000000000004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'Advanced Financial Analysis'!$E$130:$I$130</c15:sqref>
                        </c15:formulaRef>
                      </c:ext>
                    </c:extLst>
                    <c:strCache>
                      <c:ptCount val="5"/>
                      <c:pt idx="0">
                        <c:v>COGS</c:v>
                      </c:pt>
                      <c:pt idx="1">
                        <c:v>SG&amp;A</c:v>
                      </c:pt>
                      <c:pt idx="2">
                        <c:v>Depreciation</c:v>
                      </c:pt>
                      <c:pt idx="3">
                        <c:v>Interest</c:v>
                      </c:pt>
                      <c:pt idx="4">
                        <c:v>Taxes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3A2-4947-A1D9-BF06E1BBF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67521</xdr:colOff>
      <xdr:row>133</xdr:row>
      <xdr:rowOff>17362</xdr:rowOff>
    </xdr:from>
    <xdr:to>
      <xdr:col>5</xdr:col>
      <xdr:colOff>341194</xdr:colOff>
      <xdr:row>148</xdr:row>
      <xdr:rowOff>135038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428624</xdr:colOff>
      <xdr:row>133</xdr:row>
      <xdr:rowOff>28575</xdr:rowOff>
    </xdr:from>
    <xdr:to>
      <xdr:col>10</xdr:col>
      <xdr:colOff>171449</xdr:colOff>
      <xdr:row>148</xdr:row>
      <xdr:rowOff>133350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149</xdr:row>
      <xdr:rowOff>123825</xdr:rowOff>
    </xdr:from>
    <xdr:to>
      <xdr:col>5</xdr:col>
      <xdr:colOff>349873</xdr:colOff>
      <xdr:row>165</xdr:row>
      <xdr:rowOff>60526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457200</xdr:colOff>
      <xdr:row>149</xdr:row>
      <xdr:rowOff>114300</xdr:rowOff>
    </xdr:from>
    <xdr:to>
      <xdr:col>10</xdr:col>
      <xdr:colOff>197473</xdr:colOff>
      <xdr:row>165</xdr:row>
      <xdr:rowOff>51001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166</xdr:row>
      <xdr:rowOff>28575</xdr:rowOff>
    </xdr:from>
    <xdr:to>
      <xdr:col>5</xdr:col>
      <xdr:colOff>359398</xdr:colOff>
      <xdr:row>181</xdr:row>
      <xdr:rowOff>146251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457200</xdr:colOff>
      <xdr:row>166</xdr:row>
      <xdr:rowOff>38100</xdr:rowOff>
    </xdr:from>
    <xdr:to>
      <xdr:col>10</xdr:col>
      <xdr:colOff>209550</xdr:colOff>
      <xdr:row>181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showGridLines="0" tabSelected="1" zoomScale="85" zoomScaleNormal="85" workbookViewId="0">
      <pane ySplit="1" topLeftCell="A2" activePane="bottomLeft" state="frozen"/>
      <selection activeCell="D23" sqref="D23"/>
      <selection pane="bottomLeft" activeCell="C16" sqref="C16"/>
    </sheetView>
  </sheetViews>
  <sheetFormatPr defaultRowHeight="14.4" x14ac:dyDescent="0.3"/>
  <cols>
    <col min="3" max="3" width="9.88671875" bestFit="1" customWidth="1"/>
    <col min="4" max="10" width="12.77734375" customWidth="1"/>
  </cols>
  <sheetData>
    <row r="1" spans="1:10" ht="18" x14ac:dyDescent="0.35">
      <c r="A1" s="2" t="s">
        <v>0</v>
      </c>
      <c r="B1" s="2"/>
      <c r="C1" s="2"/>
      <c r="D1" s="3">
        <v>2020</v>
      </c>
      <c r="E1" s="3">
        <f t="shared" ref="E1:J1" si="0">+D1+1</f>
        <v>2021</v>
      </c>
      <c r="F1" s="4">
        <f t="shared" si="0"/>
        <v>2022</v>
      </c>
      <c r="G1" s="4">
        <f t="shared" si="0"/>
        <v>2023</v>
      </c>
      <c r="H1" s="4">
        <f t="shared" si="0"/>
        <v>2024</v>
      </c>
      <c r="I1" s="4">
        <f t="shared" si="0"/>
        <v>2025</v>
      </c>
      <c r="J1" s="4">
        <f t="shared" si="0"/>
        <v>2026</v>
      </c>
    </row>
    <row r="3" spans="1:10" x14ac:dyDescent="0.3">
      <c r="A3" s="1" t="s">
        <v>1</v>
      </c>
    </row>
    <row r="4" spans="1:10" x14ac:dyDescent="0.3">
      <c r="A4" s="1" t="s">
        <v>2</v>
      </c>
      <c r="B4" s="1"/>
      <c r="C4" s="1"/>
      <c r="D4" s="9">
        <v>150000</v>
      </c>
      <c r="E4" s="9">
        <v>165000</v>
      </c>
      <c r="F4" s="10">
        <f>E4*(1+F16)</f>
        <v>181500.00000000003</v>
      </c>
      <c r="G4" s="10">
        <f>F4*(1+G16)</f>
        <v>199650.00000000006</v>
      </c>
      <c r="H4" s="10">
        <f>G4*(1+H16)</f>
        <v>219615.00000000009</v>
      </c>
      <c r="I4" s="10">
        <f>H4*(1+I16)</f>
        <v>241576.50000000012</v>
      </c>
      <c r="J4" s="10">
        <f>I4*(1+J16)</f>
        <v>265734.15000000014</v>
      </c>
    </row>
    <row r="5" spans="1:10" x14ac:dyDescent="0.3">
      <c r="A5" t="s">
        <v>3</v>
      </c>
      <c r="D5" s="6">
        <v>67500</v>
      </c>
      <c r="E5" s="6">
        <v>74250</v>
      </c>
      <c r="F5" s="5">
        <f>F4*F17</f>
        <v>81675.000000000015</v>
      </c>
      <c r="G5" s="5">
        <f>G4*G17</f>
        <v>89842.500000000029</v>
      </c>
      <c r="H5" s="5">
        <f>H4*H17</f>
        <v>98826.750000000044</v>
      </c>
      <c r="I5" s="5">
        <f>I4*I17</f>
        <v>108709.42500000006</v>
      </c>
      <c r="J5" s="5">
        <f>J4*J17</f>
        <v>119580.36750000007</v>
      </c>
    </row>
    <row r="6" spans="1:10" x14ac:dyDescent="0.3">
      <c r="A6" s="11" t="s">
        <v>4</v>
      </c>
      <c r="B6" s="11"/>
      <c r="C6" s="11"/>
      <c r="D6" s="12">
        <f t="shared" ref="D6:J6" si="1">D4-D5</f>
        <v>82500</v>
      </c>
      <c r="E6" s="12">
        <f t="shared" si="1"/>
        <v>90750</v>
      </c>
      <c r="F6" s="12">
        <f t="shared" si="1"/>
        <v>99825.000000000015</v>
      </c>
      <c r="G6" s="12">
        <f t="shared" si="1"/>
        <v>109807.50000000003</v>
      </c>
      <c r="H6" s="12">
        <f t="shared" si="1"/>
        <v>120788.25000000004</v>
      </c>
      <c r="I6" s="12">
        <f t="shared" si="1"/>
        <v>132867.07500000007</v>
      </c>
      <c r="J6" s="12">
        <f t="shared" si="1"/>
        <v>146153.78250000009</v>
      </c>
    </row>
    <row r="7" spans="1:10" x14ac:dyDescent="0.3">
      <c r="A7" t="s">
        <v>5</v>
      </c>
      <c r="D7" s="6">
        <v>16500</v>
      </c>
      <c r="E7" s="6">
        <v>18150</v>
      </c>
      <c r="F7" s="5">
        <f>F18</f>
        <v>20000</v>
      </c>
      <c r="G7" s="5">
        <f>G18</f>
        <v>20000</v>
      </c>
      <c r="H7" s="5">
        <f>H18</f>
        <v>20000</v>
      </c>
      <c r="I7" s="5">
        <f>I18</f>
        <v>20000</v>
      </c>
      <c r="J7" s="5">
        <f>J18</f>
        <v>20000</v>
      </c>
    </row>
    <row r="8" spans="1:10" x14ac:dyDescent="0.3">
      <c r="A8" s="11" t="s">
        <v>6</v>
      </c>
      <c r="B8" s="11"/>
      <c r="C8" s="11"/>
      <c r="D8" s="12">
        <f t="shared" ref="D8:J8" si="2">D6-D7</f>
        <v>66000</v>
      </c>
      <c r="E8" s="12">
        <f t="shared" si="2"/>
        <v>72600</v>
      </c>
      <c r="F8" s="12">
        <f t="shared" si="2"/>
        <v>79825.000000000015</v>
      </c>
      <c r="G8" s="12">
        <f t="shared" si="2"/>
        <v>89807.500000000029</v>
      </c>
      <c r="H8" s="12">
        <f t="shared" si="2"/>
        <v>100788.25000000004</v>
      </c>
      <c r="I8" s="12">
        <f t="shared" si="2"/>
        <v>112867.07500000007</v>
      </c>
      <c r="J8" s="12">
        <f t="shared" si="2"/>
        <v>126153.78250000009</v>
      </c>
    </row>
    <row r="9" spans="1:10" x14ac:dyDescent="0.3">
      <c r="A9" t="s">
        <v>7</v>
      </c>
      <c r="D9" s="6">
        <v>6600</v>
      </c>
      <c r="E9" s="6">
        <v>7260</v>
      </c>
      <c r="F9" s="5">
        <f>F4*F19</f>
        <v>9075.0000000000018</v>
      </c>
      <c r="G9" s="5">
        <f>G4*G19</f>
        <v>9982.5000000000036</v>
      </c>
      <c r="H9" s="5">
        <f>H4*H19</f>
        <v>10980.750000000005</v>
      </c>
      <c r="I9" s="5">
        <f>I4*I19</f>
        <v>12078.825000000006</v>
      </c>
      <c r="J9" s="5">
        <f>J4*J19</f>
        <v>13286.707500000008</v>
      </c>
    </row>
    <row r="10" spans="1:10" x14ac:dyDescent="0.3">
      <c r="A10" t="s">
        <v>8</v>
      </c>
      <c r="D10" s="6">
        <v>1000</v>
      </c>
      <c r="E10" s="6">
        <v>1000</v>
      </c>
      <c r="F10" s="5">
        <f>F20</f>
        <v>1000</v>
      </c>
      <c r="G10" s="5">
        <f>G20</f>
        <v>1000</v>
      </c>
      <c r="H10" s="5">
        <f>H20</f>
        <v>1000</v>
      </c>
      <c r="I10" s="5">
        <f>I20</f>
        <v>1000</v>
      </c>
      <c r="J10" s="5">
        <f>J20</f>
        <v>1000</v>
      </c>
    </row>
    <row r="11" spans="1:10" x14ac:dyDescent="0.3">
      <c r="A11" s="11" t="s">
        <v>9</v>
      </c>
      <c r="B11" s="11"/>
      <c r="C11" s="13"/>
      <c r="D11" s="12">
        <f t="shared" ref="D11:J11" si="3">D8-SUM(D9:D10)</f>
        <v>58400</v>
      </c>
      <c r="E11" s="12">
        <f t="shared" si="3"/>
        <v>64340</v>
      </c>
      <c r="F11" s="12">
        <f t="shared" si="3"/>
        <v>69750.000000000015</v>
      </c>
      <c r="G11" s="12">
        <f t="shared" si="3"/>
        <v>78825.000000000029</v>
      </c>
      <c r="H11" s="12">
        <f t="shared" si="3"/>
        <v>88807.500000000044</v>
      </c>
      <c r="I11" s="12">
        <f t="shared" si="3"/>
        <v>99788.250000000058</v>
      </c>
      <c r="J11" s="12">
        <f t="shared" si="3"/>
        <v>111867.07500000008</v>
      </c>
    </row>
    <row r="12" spans="1:10" x14ac:dyDescent="0.3">
      <c r="A12" t="s">
        <v>10</v>
      </c>
      <c r="D12" s="6">
        <v>17520</v>
      </c>
      <c r="E12" s="6">
        <v>19302</v>
      </c>
      <c r="F12" s="5">
        <f>F11*F21</f>
        <v>20925.000000000004</v>
      </c>
      <c r="G12" s="5">
        <f>G11*G21</f>
        <v>23647.500000000007</v>
      </c>
      <c r="H12" s="5">
        <f>H11*H21</f>
        <v>26642.250000000011</v>
      </c>
      <c r="I12" s="5">
        <f>I11*I21</f>
        <v>29936.475000000017</v>
      </c>
      <c r="J12" s="5">
        <f>J11*J21</f>
        <v>33560.122500000027</v>
      </c>
    </row>
    <row r="13" spans="1:10" ht="15" thickBot="1" x14ac:dyDescent="0.35">
      <c r="A13" s="14" t="s">
        <v>11</v>
      </c>
      <c r="B13" s="14"/>
      <c r="C13" s="14"/>
      <c r="D13" s="15">
        <f t="shared" ref="D13:J13" si="4">D11-D12</f>
        <v>40880</v>
      </c>
      <c r="E13" s="15">
        <f t="shared" si="4"/>
        <v>45038</v>
      </c>
      <c r="F13" s="15">
        <f t="shared" si="4"/>
        <v>48825.000000000015</v>
      </c>
      <c r="G13" s="15">
        <f t="shared" si="4"/>
        <v>55177.500000000022</v>
      </c>
      <c r="H13" s="15">
        <f t="shared" si="4"/>
        <v>62165.250000000029</v>
      </c>
      <c r="I13" s="15">
        <f t="shared" si="4"/>
        <v>69851.775000000038</v>
      </c>
      <c r="J13" s="15">
        <f t="shared" si="4"/>
        <v>78306.952500000058</v>
      </c>
    </row>
    <row r="14" spans="1:10" ht="15" thickTop="1" x14ac:dyDescent="0.3"/>
    <row r="15" spans="1:10" x14ac:dyDescent="0.3">
      <c r="A15" s="1" t="s">
        <v>12</v>
      </c>
    </row>
    <row r="16" spans="1:10" x14ac:dyDescent="0.3">
      <c r="A16" t="s">
        <v>13</v>
      </c>
      <c r="E16" s="7">
        <f>E4/D4-1</f>
        <v>0.10000000000000009</v>
      </c>
      <c r="F16" s="8">
        <v>0.1</v>
      </c>
      <c r="G16" s="8">
        <v>0.1</v>
      </c>
      <c r="H16" s="8">
        <v>0.1</v>
      </c>
      <c r="I16" s="8">
        <v>0.1</v>
      </c>
      <c r="J16" s="8">
        <v>0.1</v>
      </c>
    </row>
    <row r="17" spans="1:10" x14ac:dyDescent="0.3">
      <c r="A17" t="s">
        <v>14</v>
      </c>
      <c r="D17" s="7">
        <f>D5/D4</f>
        <v>0.45</v>
      </c>
      <c r="E17" s="7">
        <f>E5/E4</f>
        <v>0.45</v>
      </c>
      <c r="F17" s="8">
        <v>0.45</v>
      </c>
      <c r="G17" s="8">
        <v>0.45</v>
      </c>
      <c r="H17" s="8">
        <v>0.45</v>
      </c>
      <c r="I17" s="8">
        <v>0.45</v>
      </c>
      <c r="J17" s="8">
        <v>0.45</v>
      </c>
    </row>
    <row r="18" spans="1:10" x14ac:dyDescent="0.3">
      <c r="A18" t="s">
        <v>5</v>
      </c>
      <c r="D18" s="5">
        <f>D7</f>
        <v>16500</v>
      </c>
      <c r="E18" s="5">
        <f>E7</f>
        <v>18150</v>
      </c>
      <c r="F18" s="6">
        <v>20000</v>
      </c>
      <c r="G18" s="6">
        <v>20000</v>
      </c>
      <c r="H18" s="6">
        <v>20000</v>
      </c>
      <c r="I18" s="6">
        <v>20000</v>
      </c>
      <c r="J18" s="6">
        <v>20000</v>
      </c>
    </row>
    <row r="19" spans="1:10" x14ac:dyDescent="0.3">
      <c r="A19" t="s">
        <v>15</v>
      </c>
      <c r="D19" s="7">
        <f>D9/D4</f>
        <v>4.3999999999999997E-2</v>
      </c>
      <c r="E19" s="7">
        <f>E9/E4</f>
        <v>4.3999999999999997E-2</v>
      </c>
      <c r="F19" s="8">
        <v>0.05</v>
      </c>
      <c r="G19" s="8">
        <v>0.05</v>
      </c>
      <c r="H19" s="8">
        <v>0.05</v>
      </c>
      <c r="I19" s="8">
        <v>0.05</v>
      </c>
      <c r="J19" s="8">
        <v>0.05</v>
      </c>
    </row>
    <row r="20" spans="1:10" x14ac:dyDescent="0.3">
      <c r="A20" t="s">
        <v>16</v>
      </c>
      <c r="D20" s="5">
        <f>D10</f>
        <v>1000</v>
      </c>
      <c r="E20" s="5">
        <f>E10</f>
        <v>1000</v>
      </c>
      <c r="F20" s="6">
        <v>1000</v>
      </c>
      <c r="G20" s="6">
        <v>1000</v>
      </c>
      <c r="H20" s="6">
        <v>1000</v>
      </c>
      <c r="I20" s="6">
        <v>1000</v>
      </c>
      <c r="J20" s="6">
        <v>1000</v>
      </c>
    </row>
    <row r="21" spans="1:10" x14ac:dyDescent="0.3">
      <c r="A21" t="s">
        <v>17</v>
      </c>
      <c r="D21" s="7">
        <f>D12/D11</f>
        <v>0.3</v>
      </c>
      <c r="E21" s="7">
        <f>E12/E11</f>
        <v>0.3</v>
      </c>
      <c r="F21" s="8">
        <v>0.3</v>
      </c>
      <c r="G21" s="8">
        <v>0.3</v>
      </c>
      <c r="H21" s="8">
        <v>0.3</v>
      </c>
      <c r="I21" s="8">
        <v>0.3</v>
      </c>
      <c r="J21" s="8">
        <v>0.3</v>
      </c>
    </row>
    <row r="23" spans="1:10" x14ac:dyDescent="0.3">
      <c r="A23" s="1" t="s">
        <v>24</v>
      </c>
      <c r="C23" s="23">
        <v>44567</v>
      </c>
      <c r="D23" s="25">
        <v>0</v>
      </c>
      <c r="E23">
        <f t="shared" ref="E23:J23" si="5">+D23+1</f>
        <v>1</v>
      </c>
      <c r="F23">
        <f t="shared" si="5"/>
        <v>2</v>
      </c>
      <c r="G23">
        <f t="shared" si="5"/>
        <v>3</v>
      </c>
      <c r="H23">
        <f t="shared" si="5"/>
        <v>4</v>
      </c>
      <c r="I23">
        <f t="shared" si="5"/>
        <v>5</v>
      </c>
      <c r="J23">
        <f t="shared" si="5"/>
        <v>6</v>
      </c>
    </row>
    <row r="24" spans="1:10" x14ac:dyDescent="0.3">
      <c r="A24" t="s">
        <v>25</v>
      </c>
      <c r="D24" s="24">
        <f t="shared" ref="D24:J24" si="6">EOMONTH($C$23,D23)</f>
        <v>44592</v>
      </c>
      <c r="E24" s="24">
        <f t="shared" si="6"/>
        <v>44620</v>
      </c>
      <c r="F24" s="24">
        <f t="shared" si="6"/>
        <v>44651</v>
      </c>
      <c r="G24" s="24">
        <f t="shared" si="6"/>
        <v>44681</v>
      </c>
      <c r="H24" s="24">
        <f t="shared" si="6"/>
        <v>44712</v>
      </c>
      <c r="I24" s="24">
        <f t="shared" si="6"/>
        <v>44742</v>
      </c>
      <c r="J24" s="24">
        <f t="shared" si="6"/>
        <v>44773</v>
      </c>
    </row>
    <row r="25" spans="1:10" x14ac:dyDescent="0.3">
      <c r="A25" t="s">
        <v>26</v>
      </c>
      <c r="D25" s="24">
        <f>DATE(YEAR($C$23)+D23,12,31)</f>
        <v>44926</v>
      </c>
      <c r="E25" s="24">
        <f t="shared" ref="E25:J25" si="7">DATE(YEAR($C$23)+E23,12,31)</f>
        <v>45291</v>
      </c>
      <c r="F25" s="24">
        <f>DATE(YEAR($C$23)+F23,12,31)</f>
        <v>45657</v>
      </c>
      <c r="G25" s="24">
        <f t="shared" si="7"/>
        <v>46022</v>
      </c>
      <c r="H25" s="24">
        <f t="shared" si="7"/>
        <v>46387</v>
      </c>
      <c r="I25" s="24">
        <f t="shared" si="7"/>
        <v>46752</v>
      </c>
      <c r="J25" s="24">
        <f t="shared" si="7"/>
        <v>47118</v>
      </c>
    </row>
    <row r="27" spans="1:10" x14ac:dyDescent="0.3">
      <c r="A27" t="s">
        <v>27</v>
      </c>
      <c r="D27" s="26">
        <f>YEARFRAC($C$23,D24)</f>
        <v>6.9444444444444448E-2</v>
      </c>
      <c r="E27" s="26">
        <f t="shared" ref="E27:J27" si="8">YEARFRAC($C$23,E24)</f>
        <v>0.14444444444444443</v>
      </c>
      <c r="F27" s="26">
        <f t="shared" si="8"/>
        <v>0.2361111111111111</v>
      </c>
      <c r="G27" s="26">
        <f t="shared" si="8"/>
        <v>0.31666666666666665</v>
      </c>
      <c r="H27" s="26">
        <f t="shared" si="8"/>
        <v>0.40277777777777779</v>
      </c>
      <c r="I27" s="26">
        <f t="shared" si="8"/>
        <v>0.48333333333333334</v>
      </c>
      <c r="J27" s="26">
        <f t="shared" si="8"/>
        <v>0.56944444444444442</v>
      </c>
    </row>
    <row r="28" spans="1:10" x14ac:dyDescent="0.3">
      <c r="A28" t="s">
        <v>28</v>
      </c>
      <c r="D28" s="26">
        <f>YEARFRAC($C$23,D25)</f>
        <v>0.98611111111111116</v>
      </c>
      <c r="E28" s="26">
        <f t="shared" ref="E28:J28" si="9">YEARFRAC($C$23,E25)</f>
        <v>1.9861111111111112</v>
      </c>
      <c r="F28" s="26">
        <f t="shared" si="9"/>
        <v>2.9861111111111112</v>
      </c>
      <c r="G28" s="26">
        <f t="shared" si="9"/>
        <v>3.9861111111111112</v>
      </c>
      <c r="H28" s="26">
        <f t="shared" si="9"/>
        <v>4.9861111111111107</v>
      </c>
      <c r="I28" s="26">
        <f t="shared" si="9"/>
        <v>5.9861111111111107</v>
      </c>
      <c r="J28" s="26">
        <f t="shared" si="9"/>
        <v>6.9861111111111107</v>
      </c>
    </row>
    <row r="29" spans="1:10" x14ac:dyDescent="0.3">
      <c r="A29" t="s">
        <v>34</v>
      </c>
      <c r="D29" s="27" t="str">
        <f>IF(D28&lt;1,"Stub","Full-year")</f>
        <v>Stub</v>
      </c>
      <c r="E29" s="27" t="str">
        <f t="shared" ref="E29:J29" si="10">IF(E28&lt;1,"Stub","Full-year")</f>
        <v>Full-year</v>
      </c>
      <c r="F29" s="27" t="str">
        <f t="shared" si="10"/>
        <v>Full-year</v>
      </c>
      <c r="G29" s="27" t="str">
        <f t="shared" si="10"/>
        <v>Full-year</v>
      </c>
      <c r="H29" s="27" t="str">
        <f t="shared" si="10"/>
        <v>Full-year</v>
      </c>
      <c r="I29" s="27" t="str">
        <f t="shared" si="10"/>
        <v>Full-year</v>
      </c>
      <c r="J29" s="27" t="str">
        <f t="shared" si="10"/>
        <v>Full-year</v>
      </c>
    </row>
    <row r="31" spans="1:10" x14ac:dyDescent="0.3">
      <c r="A31" s="1" t="s">
        <v>29</v>
      </c>
    </row>
    <row r="32" spans="1:10" x14ac:dyDescent="0.3">
      <c r="A32" t="s">
        <v>3</v>
      </c>
      <c r="C32" s="25">
        <v>10</v>
      </c>
      <c r="D32" s="5">
        <f>D5</f>
        <v>67500</v>
      </c>
      <c r="E32" s="5">
        <f t="shared" ref="E32:J32" si="11">E5</f>
        <v>74250</v>
      </c>
      <c r="F32" s="5">
        <f t="shared" si="11"/>
        <v>81675.000000000015</v>
      </c>
      <c r="G32" s="5">
        <f t="shared" si="11"/>
        <v>89842.500000000029</v>
      </c>
      <c r="H32" s="5">
        <f t="shared" si="11"/>
        <v>98826.750000000044</v>
      </c>
      <c r="I32" s="5">
        <f t="shared" si="11"/>
        <v>108709.42500000006</v>
      </c>
      <c r="J32" s="5">
        <f t="shared" si="11"/>
        <v>119580.36750000007</v>
      </c>
    </row>
    <row r="33" spans="1:10" x14ac:dyDescent="0.3">
      <c r="A33" t="s">
        <v>5</v>
      </c>
      <c r="C33" s="25">
        <v>10</v>
      </c>
      <c r="D33" s="5">
        <f>D7</f>
        <v>16500</v>
      </c>
      <c r="E33" s="5">
        <f t="shared" ref="E33:J33" si="12">E7</f>
        <v>18150</v>
      </c>
      <c r="F33" s="5">
        <f t="shared" si="12"/>
        <v>20000</v>
      </c>
      <c r="G33" s="5">
        <f t="shared" si="12"/>
        <v>20000</v>
      </c>
      <c r="H33" s="5">
        <f t="shared" si="12"/>
        <v>20000</v>
      </c>
      <c r="I33" s="5">
        <f t="shared" si="12"/>
        <v>20000</v>
      </c>
      <c r="J33" s="5">
        <f t="shared" si="12"/>
        <v>20000</v>
      </c>
    </row>
    <row r="34" spans="1:10" x14ac:dyDescent="0.3">
      <c r="A34" t="s">
        <v>7</v>
      </c>
      <c r="C34" s="25">
        <v>5</v>
      </c>
      <c r="D34" s="5">
        <f>D9</f>
        <v>6600</v>
      </c>
      <c r="E34" s="5">
        <f t="shared" ref="E34:J34" si="13">E9</f>
        <v>7260</v>
      </c>
      <c r="F34" s="5">
        <f t="shared" si="13"/>
        <v>9075.0000000000018</v>
      </c>
      <c r="G34" s="5">
        <f t="shared" si="13"/>
        <v>9982.5000000000036</v>
      </c>
      <c r="H34" s="5">
        <f t="shared" si="13"/>
        <v>10980.750000000005</v>
      </c>
      <c r="I34" s="5">
        <f t="shared" si="13"/>
        <v>12078.825000000006</v>
      </c>
      <c r="J34" s="5">
        <f t="shared" si="13"/>
        <v>13286.707500000008</v>
      </c>
    </row>
    <row r="35" spans="1:10" x14ac:dyDescent="0.3">
      <c r="A35" t="s">
        <v>8</v>
      </c>
      <c r="C35" s="25">
        <v>5</v>
      </c>
      <c r="D35" s="5">
        <f>D10</f>
        <v>1000</v>
      </c>
      <c r="E35" s="5">
        <f t="shared" ref="E35:J35" si="14">E10</f>
        <v>1000</v>
      </c>
      <c r="F35" s="5">
        <f t="shared" si="14"/>
        <v>1000</v>
      </c>
      <c r="G35" s="5">
        <f t="shared" si="14"/>
        <v>1000</v>
      </c>
      <c r="H35" s="5">
        <f t="shared" si="14"/>
        <v>1000</v>
      </c>
      <c r="I35" s="5">
        <f t="shared" si="14"/>
        <v>1000</v>
      </c>
      <c r="J35" s="5">
        <f t="shared" si="14"/>
        <v>1000</v>
      </c>
    </row>
    <row r="36" spans="1:10" x14ac:dyDescent="0.3">
      <c r="A36" t="s">
        <v>10</v>
      </c>
      <c r="C36" s="25">
        <v>0</v>
      </c>
      <c r="D36" s="5">
        <f>D12</f>
        <v>17520</v>
      </c>
      <c r="E36" s="5">
        <f t="shared" ref="E36:J36" si="15">E12</f>
        <v>19302</v>
      </c>
      <c r="F36" s="5">
        <f t="shared" si="15"/>
        <v>20925.000000000004</v>
      </c>
      <c r="G36" s="5">
        <f t="shared" si="15"/>
        <v>23647.500000000007</v>
      </c>
      <c r="H36" s="5">
        <f t="shared" si="15"/>
        <v>26642.250000000011</v>
      </c>
      <c r="I36" s="5">
        <f t="shared" si="15"/>
        <v>29936.475000000017</v>
      </c>
      <c r="J36" s="5">
        <f t="shared" si="15"/>
        <v>33560.122500000027</v>
      </c>
    </row>
    <row r="37" spans="1:10" x14ac:dyDescent="0.3">
      <c r="A37" t="s">
        <v>30</v>
      </c>
      <c r="C37">
        <f>SUM(C32:C36)</f>
        <v>30</v>
      </c>
      <c r="D37" s="5">
        <f>SUM(D32:D36)</f>
        <v>109120</v>
      </c>
      <c r="E37" s="5">
        <f t="shared" ref="E37:J37" si="16">SUM(E32:E36)</f>
        <v>119962</v>
      </c>
      <c r="F37" s="5">
        <f t="shared" si="16"/>
        <v>132675.00000000003</v>
      </c>
      <c r="G37" s="5">
        <f t="shared" si="16"/>
        <v>144472.50000000003</v>
      </c>
      <c r="H37" s="5">
        <f t="shared" si="16"/>
        <v>157449.75000000006</v>
      </c>
      <c r="I37" s="5">
        <f t="shared" si="16"/>
        <v>171724.72500000006</v>
      </c>
      <c r="J37" s="5">
        <f t="shared" si="16"/>
        <v>187427.1975000001</v>
      </c>
    </row>
    <row r="39" spans="1:10" x14ac:dyDescent="0.3">
      <c r="A39" t="s">
        <v>31</v>
      </c>
      <c r="D39" s="5">
        <f>AVERAGE(D32:D36)</f>
        <v>21824</v>
      </c>
      <c r="E39" s="5">
        <f t="shared" ref="E39:J39" si="17">AVERAGE(E32:E36)</f>
        <v>23992.400000000001</v>
      </c>
      <c r="F39" s="5">
        <f t="shared" si="17"/>
        <v>26535.000000000007</v>
      </c>
      <c r="G39" s="5">
        <f t="shared" si="17"/>
        <v>28894.500000000007</v>
      </c>
      <c r="H39" s="5">
        <f t="shared" si="17"/>
        <v>31489.950000000012</v>
      </c>
      <c r="I39" s="5">
        <f t="shared" si="17"/>
        <v>34344.945000000014</v>
      </c>
      <c r="J39" s="5">
        <f t="shared" si="17"/>
        <v>37485.439500000022</v>
      </c>
    </row>
    <row r="40" spans="1:10" x14ac:dyDescent="0.3">
      <c r="A40" t="s">
        <v>32</v>
      </c>
      <c r="D40" s="5">
        <f t="shared" ref="D40:J40" si="18">SUMPRODUCT(D32:D36,$C$32:$C$36)/$C$37</f>
        <v>29266.666666666668</v>
      </c>
      <c r="E40" s="5">
        <f t="shared" si="18"/>
        <v>32176.666666666668</v>
      </c>
      <c r="F40" s="5">
        <f t="shared" si="18"/>
        <v>35570.833333333343</v>
      </c>
      <c r="G40" s="5">
        <f t="shared" si="18"/>
        <v>38444.583333333343</v>
      </c>
      <c r="H40" s="5">
        <f t="shared" si="18"/>
        <v>41605.70833333335</v>
      </c>
      <c r="I40" s="5">
        <f t="shared" si="18"/>
        <v>45082.945833333353</v>
      </c>
      <c r="J40" s="5">
        <f t="shared" si="18"/>
        <v>48907.907083333361</v>
      </c>
    </row>
    <row r="41" spans="1:10" x14ac:dyDescent="0.3">
      <c r="A41" t="s">
        <v>33</v>
      </c>
      <c r="D41" s="5">
        <f>MEDIAN(D32:D36)</f>
        <v>16500</v>
      </c>
      <c r="E41" s="5">
        <f t="shared" ref="E41:J41" si="19">MEDIAN(E32:E36)</f>
        <v>18150</v>
      </c>
      <c r="F41" s="5">
        <f t="shared" si="19"/>
        <v>20000</v>
      </c>
      <c r="G41" s="5">
        <f t="shared" si="19"/>
        <v>20000</v>
      </c>
      <c r="H41" s="5">
        <f t="shared" si="19"/>
        <v>20000</v>
      </c>
      <c r="I41" s="5">
        <f t="shared" si="19"/>
        <v>20000</v>
      </c>
      <c r="J41" s="5">
        <f t="shared" si="19"/>
        <v>20000</v>
      </c>
    </row>
    <row r="43" spans="1:10" x14ac:dyDescent="0.3">
      <c r="A43" t="s">
        <v>35</v>
      </c>
    </row>
    <row r="44" spans="1:10" x14ac:dyDescent="0.3">
      <c r="A44" t="str">
        <f>"If &lt; "&amp;C44</f>
        <v>If &lt; 150000</v>
      </c>
      <c r="C44" s="6">
        <v>150000</v>
      </c>
      <c r="D44" s="5">
        <f>IF(D37&lt;$C$44,D37,0)</f>
        <v>109120</v>
      </c>
      <c r="E44" s="5">
        <f t="shared" ref="E44:J44" si="20">IF(E37&lt;$C$44,E37,0)</f>
        <v>119962</v>
      </c>
      <c r="F44" s="5">
        <f t="shared" si="20"/>
        <v>132675.00000000003</v>
      </c>
      <c r="G44" s="5">
        <f t="shared" si="20"/>
        <v>144472.50000000003</v>
      </c>
      <c r="H44" s="5">
        <f>IF(H37&lt;$C$44,H37,0)</f>
        <v>0</v>
      </c>
      <c r="I44" s="5">
        <f t="shared" si="20"/>
        <v>0</v>
      </c>
      <c r="J44" s="5">
        <f t="shared" si="20"/>
        <v>0</v>
      </c>
    </row>
    <row r="45" spans="1:10" x14ac:dyDescent="0.3">
      <c r="A45" t="str">
        <f>"If &gt;= "&amp;C45</f>
        <v>If &gt;= 150000</v>
      </c>
      <c r="C45" s="29">
        <f>C44</f>
        <v>150000</v>
      </c>
      <c r="D45" s="5">
        <f>IF(D37&gt;=$C$45,D37,0)</f>
        <v>0</v>
      </c>
      <c r="E45" s="5">
        <f t="shared" ref="E45:J45" si="21">IF(E37&gt;=$C$45,E37,0)</f>
        <v>0</v>
      </c>
      <c r="F45" s="5">
        <f t="shared" si="21"/>
        <v>0</v>
      </c>
      <c r="G45" s="5">
        <f t="shared" si="21"/>
        <v>0</v>
      </c>
      <c r="H45" s="5">
        <f t="shared" si="21"/>
        <v>157449.75000000006</v>
      </c>
      <c r="I45" s="5">
        <f t="shared" si="21"/>
        <v>171724.72500000006</v>
      </c>
      <c r="J45" s="5">
        <f t="shared" si="21"/>
        <v>187427.1975000001</v>
      </c>
    </row>
    <row r="46" spans="1:10" x14ac:dyDescent="0.3">
      <c r="A46" t="s">
        <v>37</v>
      </c>
      <c r="C46" s="6"/>
      <c r="D46" s="5">
        <f>SUM(D44:D45)</f>
        <v>109120</v>
      </c>
      <c r="E46" s="5">
        <f t="shared" ref="E46:J46" si="22">SUM(E44:E45)</f>
        <v>119962</v>
      </c>
      <c r="F46" s="5">
        <f t="shared" si="22"/>
        <v>132675.00000000003</v>
      </c>
      <c r="G46" s="5">
        <f t="shared" si="22"/>
        <v>144472.50000000003</v>
      </c>
      <c r="H46" s="5">
        <f t="shared" si="22"/>
        <v>157449.75000000006</v>
      </c>
      <c r="I46" s="5">
        <f t="shared" si="22"/>
        <v>171724.72500000006</v>
      </c>
      <c r="J46" s="5">
        <f t="shared" si="22"/>
        <v>187427.1975000001</v>
      </c>
    </row>
    <row r="48" spans="1:10" x14ac:dyDescent="0.3">
      <c r="A48" t="s">
        <v>36</v>
      </c>
      <c r="D48" s="28" t="str">
        <f>IF(D46=D37,"Ok","Error")</f>
        <v>Ok</v>
      </c>
      <c r="E48" s="28" t="str">
        <f t="shared" ref="E48:J48" si="23">IF(E46=E37,"Ok","Error")</f>
        <v>Ok</v>
      </c>
      <c r="F48" s="28" t="str">
        <f t="shared" si="23"/>
        <v>Ok</v>
      </c>
      <c r="G48" s="28" t="str">
        <f t="shared" si="23"/>
        <v>Ok</v>
      </c>
      <c r="H48" s="28" t="str">
        <f t="shared" si="23"/>
        <v>Ok</v>
      </c>
      <c r="I48" s="28" t="str">
        <f t="shared" si="23"/>
        <v>Ok</v>
      </c>
      <c r="J48" s="28" t="str">
        <f t="shared" si="23"/>
        <v>Ok</v>
      </c>
    </row>
    <row r="50" spans="1:10" x14ac:dyDescent="0.3">
      <c r="A50" t="s">
        <v>38</v>
      </c>
      <c r="D50" s="5">
        <f>MIN(D32:J36)</f>
        <v>1000</v>
      </c>
      <c r="E50" s="5">
        <f t="shared" ref="E50:J50" si="24">MIN(E32:K36)</f>
        <v>1000</v>
      </c>
      <c r="F50" s="5">
        <f t="shared" si="24"/>
        <v>1000</v>
      </c>
      <c r="G50" s="5">
        <f t="shared" si="24"/>
        <v>1000</v>
      </c>
      <c r="H50" s="5">
        <f t="shared" si="24"/>
        <v>1000</v>
      </c>
      <c r="I50" s="5">
        <f t="shared" si="24"/>
        <v>1000</v>
      </c>
      <c r="J50" s="5">
        <f t="shared" si="24"/>
        <v>1000</v>
      </c>
    </row>
    <row r="51" spans="1:10" x14ac:dyDescent="0.3">
      <c r="A51" t="s">
        <v>39</v>
      </c>
      <c r="D51" s="5">
        <f t="shared" ref="D51:J51" si="25">MAX(D32:D36)</f>
        <v>67500</v>
      </c>
      <c r="E51" s="5">
        <f t="shared" si="25"/>
        <v>74250</v>
      </c>
      <c r="F51" s="5">
        <f t="shared" si="25"/>
        <v>81675.000000000015</v>
      </c>
      <c r="G51" s="5">
        <f t="shared" si="25"/>
        <v>89842.500000000029</v>
      </c>
      <c r="H51" s="5">
        <f t="shared" si="25"/>
        <v>98826.750000000044</v>
      </c>
      <c r="I51" s="5">
        <f t="shared" si="25"/>
        <v>108709.42500000006</v>
      </c>
      <c r="J51" s="5">
        <f t="shared" si="25"/>
        <v>119580.36750000007</v>
      </c>
    </row>
    <row r="53" spans="1:10" x14ac:dyDescent="0.3">
      <c r="A53" t="s">
        <v>40</v>
      </c>
      <c r="B53" s="25">
        <v>1</v>
      </c>
      <c r="C53" s="25">
        <v>2</v>
      </c>
      <c r="D53" s="5">
        <f t="shared" ref="D53:J53" si="26">SMALL(D32:D36,$B$53)</f>
        <v>1000</v>
      </c>
      <c r="E53" s="5">
        <f t="shared" si="26"/>
        <v>1000</v>
      </c>
      <c r="F53" s="5">
        <f t="shared" si="26"/>
        <v>1000</v>
      </c>
      <c r="G53" s="5">
        <f t="shared" si="26"/>
        <v>1000</v>
      </c>
      <c r="H53" s="5">
        <f t="shared" si="26"/>
        <v>1000</v>
      </c>
      <c r="I53" s="5">
        <f t="shared" si="26"/>
        <v>1000</v>
      </c>
      <c r="J53" s="5">
        <f t="shared" si="26"/>
        <v>1000</v>
      </c>
    </row>
    <row r="54" spans="1:10" x14ac:dyDescent="0.3">
      <c r="A54" t="s">
        <v>41</v>
      </c>
      <c r="B54" s="25">
        <v>1</v>
      </c>
      <c r="C54" s="25">
        <v>2</v>
      </c>
      <c r="D54" s="5">
        <f t="shared" ref="D54:J54" si="27">LARGE(D32:D36,$C$54)</f>
        <v>17520</v>
      </c>
      <c r="E54" s="5">
        <f t="shared" si="27"/>
        <v>19302</v>
      </c>
      <c r="F54" s="5">
        <f t="shared" si="27"/>
        <v>20925.000000000004</v>
      </c>
      <c r="G54" s="5">
        <f t="shared" si="27"/>
        <v>23647.500000000007</v>
      </c>
      <c r="H54" s="5">
        <f t="shared" si="27"/>
        <v>26642.250000000011</v>
      </c>
      <c r="I54" s="5">
        <f t="shared" si="27"/>
        <v>29936.475000000017</v>
      </c>
      <c r="J54" s="5">
        <f t="shared" si="27"/>
        <v>33560.122500000027</v>
      </c>
    </row>
    <row r="56" spans="1:10" x14ac:dyDescent="0.3">
      <c r="A56" t="s">
        <v>42</v>
      </c>
      <c r="C56" s="25">
        <v>0</v>
      </c>
      <c r="D56" s="30" t="str">
        <f t="shared" ref="D56:J56" si="28">IFERROR(D54/C56,"na")</f>
        <v>na</v>
      </c>
      <c r="E56" s="30" t="str">
        <f t="shared" si="28"/>
        <v>na</v>
      </c>
      <c r="F56" s="30" t="str">
        <f t="shared" si="28"/>
        <v>na</v>
      </c>
      <c r="G56" s="30" t="str">
        <f t="shared" si="28"/>
        <v>na</v>
      </c>
      <c r="H56" s="30" t="str">
        <f t="shared" si="28"/>
        <v>na</v>
      </c>
      <c r="I56" s="30" t="str">
        <f t="shared" si="28"/>
        <v>na</v>
      </c>
      <c r="J56" s="30" t="str">
        <f t="shared" si="28"/>
        <v>na</v>
      </c>
    </row>
    <row r="58" spans="1:10" x14ac:dyDescent="0.3">
      <c r="A58" t="s">
        <v>43</v>
      </c>
      <c r="D58" s="5">
        <f>IFERROR(D56+D54,0)</f>
        <v>0</v>
      </c>
      <c r="E58" s="5">
        <f t="shared" ref="E58:J58" si="29">IFERROR(E56+E54,0)</f>
        <v>0</v>
      </c>
      <c r="F58" s="5">
        <f t="shared" si="29"/>
        <v>0</v>
      </c>
      <c r="G58" s="5">
        <f t="shared" si="29"/>
        <v>0</v>
      </c>
      <c r="H58" s="5">
        <f t="shared" si="29"/>
        <v>0</v>
      </c>
      <c r="I58" s="5">
        <f t="shared" si="29"/>
        <v>0</v>
      </c>
      <c r="J58" s="5">
        <f t="shared" si="29"/>
        <v>0</v>
      </c>
    </row>
    <row r="60" spans="1:10" x14ac:dyDescent="0.3">
      <c r="A60" t="s">
        <v>43</v>
      </c>
      <c r="D60" s="5">
        <f>D58+D54</f>
        <v>17520</v>
      </c>
      <c r="E60" s="5">
        <f t="shared" ref="E60:J60" si="30">E58+E54</f>
        <v>19302</v>
      </c>
      <c r="F60" s="5">
        <f t="shared" si="30"/>
        <v>20925.000000000004</v>
      </c>
      <c r="G60" s="5">
        <f t="shared" si="30"/>
        <v>23647.500000000007</v>
      </c>
      <c r="H60" s="5">
        <f t="shared" si="30"/>
        <v>26642.250000000011</v>
      </c>
      <c r="I60" s="5">
        <f t="shared" si="30"/>
        <v>29936.475000000017</v>
      </c>
      <c r="J60" s="5">
        <f t="shared" si="30"/>
        <v>33560.122500000027</v>
      </c>
    </row>
    <row r="61" spans="1:10" x14ac:dyDescent="0.3">
      <c r="A61" t="s">
        <v>43</v>
      </c>
      <c r="D61" s="5">
        <f>D60+D50</f>
        <v>18520</v>
      </c>
      <c r="E61" s="5">
        <f t="shared" ref="E61:J61" si="31">E60+E50</f>
        <v>20302</v>
      </c>
      <c r="F61" s="5">
        <f t="shared" si="31"/>
        <v>21925.000000000004</v>
      </c>
      <c r="G61" s="5">
        <f t="shared" si="31"/>
        <v>24647.500000000007</v>
      </c>
      <c r="H61" s="5">
        <f t="shared" si="31"/>
        <v>27642.250000000011</v>
      </c>
      <c r="I61" s="5">
        <f t="shared" si="31"/>
        <v>30936.475000000017</v>
      </c>
      <c r="J61" s="5">
        <f t="shared" si="31"/>
        <v>34560.122500000027</v>
      </c>
    </row>
    <row r="63" spans="1:10" x14ac:dyDescent="0.3">
      <c r="A63" t="s">
        <v>44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3"/>
  <sheetViews>
    <sheetView showGridLines="0" zoomScale="80" zoomScaleNormal="100" workbookViewId="0">
      <pane ySplit="1" topLeftCell="A182" activePane="bottomLeft" state="frozen"/>
      <selection activeCell="D23" sqref="D23"/>
      <selection pane="bottomLeft" activeCell="J196" sqref="J196"/>
    </sheetView>
  </sheetViews>
  <sheetFormatPr defaultRowHeight="14.4" outlineLevelRow="2" x14ac:dyDescent="0.3"/>
  <cols>
    <col min="1" max="1" width="10.77734375" customWidth="1"/>
    <col min="3" max="3" width="10.88671875" bestFit="1" customWidth="1"/>
    <col min="4" max="10" width="12.77734375" customWidth="1"/>
  </cols>
  <sheetData>
    <row r="1" spans="1:10" ht="18" x14ac:dyDescent="0.35">
      <c r="A1" s="2" t="s">
        <v>0</v>
      </c>
      <c r="B1" s="2"/>
      <c r="C1" s="2"/>
      <c r="D1" s="3">
        <v>2020</v>
      </c>
      <c r="E1" s="3">
        <f t="shared" ref="E1:J1" si="0">+D1+1</f>
        <v>2021</v>
      </c>
      <c r="F1" s="4">
        <f t="shared" si="0"/>
        <v>2022</v>
      </c>
      <c r="G1" s="4">
        <f t="shared" si="0"/>
        <v>2023</v>
      </c>
      <c r="H1" s="4">
        <f t="shared" si="0"/>
        <v>2024</v>
      </c>
      <c r="I1" s="4">
        <f t="shared" si="0"/>
        <v>2025</v>
      </c>
      <c r="J1" s="4">
        <f t="shared" si="0"/>
        <v>2026</v>
      </c>
    </row>
    <row r="3" spans="1:10" x14ac:dyDescent="0.3">
      <c r="A3" s="16" t="str">
        <f>"Income Statement "&amp;A1</f>
        <v>Income Statement CZK kc000's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outlineLevel="1" x14ac:dyDescent="0.3">
      <c r="A4" s="1" t="s">
        <v>2</v>
      </c>
      <c r="B4" s="1"/>
      <c r="C4" s="1"/>
      <c r="D4" s="9">
        <v>150000</v>
      </c>
      <c r="E4" s="9">
        <v>165000</v>
      </c>
      <c r="F4" s="10">
        <f>E4*(1+F16)</f>
        <v>181500.00000000003</v>
      </c>
      <c r="G4" s="10">
        <f>F4*(1+G16)</f>
        <v>199650.00000000006</v>
      </c>
      <c r="H4" s="10">
        <f>G4*(1+H16)</f>
        <v>219615.00000000009</v>
      </c>
      <c r="I4" s="10">
        <f>H4*(1+I16)</f>
        <v>241576.50000000012</v>
      </c>
      <c r="J4" s="10">
        <f>I4*(1+J16)</f>
        <v>265734.15000000014</v>
      </c>
    </row>
    <row r="5" spans="1:10" outlineLevel="1" x14ac:dyDescent="0.3">
      <c r="A5" t="s">
        <v>3</v>
      </c>
      <c r="D5" s="6">
        <v>67500</v>
      </c>
      <c r="E5" s="6">
        <v>74250</v>
      </c>
      <c r="F5" s="5">
        <f>F4*F17</f>
        <v>81675.000000000015</v>
      </c>
      <c r="G5" s="5">
        <f>G4*G17</f>
        <v>89842.500000000029</v>
      </c>
      <c r="H5" s="5">
        <f>H4*H17</f>
        <v>98826.750000000044</v>
      </c>
      <c r="I5" s="5">
        <f>I4*I17</f>
        <v>108709.42500000006</v>
      </c>
      <c r="J5" s="5">
        <f>J4*J17</f>
        <v>119580.36750000007</v>
      </c>
    </row>
    <row r="6" spans="1:10" outlineLevel="1" x14ac:dyDescent="0.3">
      <c r="A6" s="11" t="s">
        <v>4</v>
      </c>
      <c r="B6" s="11"/>
      <c r="C6" s="11"/>
      <c r="D6" s="12">
        <f t="shared" ref="D6:J6" si="1">D4-D5</f>
        <v>82500</v>
      </c>
      <c r="E6" s="12">
        <f t="shared" si="1"/>
        <v>90750</v>
      </c>
      <c r="F6" s="12">
        <f>F4-F5</f>
        <v>99825.000000000015</v>
      </c>
      <c r="G6" s="12">
        <f t="shared" si="1"/>
        <v>109807.50000000003</v>
      </c>
      <c r="H6" s="12">
        <f t="shared" si="1"/>
        <v>120788.25000000004</v>
      </c>
      <c r="I6" s="12">
        <f t="shared" si="1"/>
        <v>132867.07500000007</v>
      </c>
      <c r="J6" s="12">
        <f t="shared" si="1"/>
        <v>146153.78250000009</v>
      </c>
    </row>
    <row r="7" spans="1:10" outlineLevel="1" x14ac:dyDescent="0.3">
      <c r="A7" t="s">
        <v>5</v>
      </c>
      <c r="D7" s="6">
        <v>16500</v>
      </c>
      <c r="E7" s="6">
        <v>18150</v>
      </c>
      <c r="F7" s="5">
        <f>F18</f>
        <v>20000</v>
      </c>
      <c r="G7" s="5">
        <f>G18</f>
        <v>20000</v>
      </c>
      <c r="H7" s="5">
        <f>H18</f>
        <v>20000</v>
      </c>
      <c r="I7" s="5">
        <f>I18</f>
        <v>20000</v>
      </c>
      <c r="J7" s="5">
        <f>J18</f>
        <v>20000</v>
      </c>
    </row>
    <row r="8" spans="1:10" outlineLevel="1" x14ac:dyDescent="0.3">
      <c r="A8" s="11" t="s">
        <v>6</v>
      </c>
      <c r="B8" s="11"/>
      <c r="C8" s="11"/>
      <c r="D8" s="12">
        <f t="shared" ref="D8:J8" si="2">D6-D7</f>
        <v>66000</v>
      </c>
      <c r="E8" s="12">
        <f t="shared" si="2"/>
        <v>72600</v>
      </c>
      <c r="F8" s="12">
        <f>F6-F7</f>
        <v>79825.000000000015</v>
      </c>
      <c r="G8" s="12">
        <f t="shared" si="2"/>
        <v>89807.500000000029</v>
      </c>
      <c r="H8" s="12">
        <f t="shared" si="2"/>
        <v>100788.25000000004</v>
      </c>
      <c r="I8" s="12">
        <f t="shared" si="2"/>
        <v>112867.07500000007</v>
      </c>
      <c r="J8" s="12">
        <f t="shared" si="2"/>
        <v>126153.78250000009</v>
      </c>
    </row>
    <row r="9" spans="1:10" outlineLevel="1" x14ac:dyDescent="0.3">
      <c r="A9" t="s">
        <v>7</v>
      </c>
      <c r="D9" s="6">
        <v>6600</v>
      </c>
      <c r="E9" s="6">
        <v>7260</v>
      </c>
      <c r="F9" s="5">
        <f>F4*F19</f>
        <v>9075.0000000000018</v>
      </c>
      <c r="G9" s="5">
        <f>G4*G19</f>
        <v>9982.5000000000036</v>
      </c>
      <c r="H9" s="5">
        <f>H4*H19</f>
        <v>10980.750000000005</v>
      </c>
      <c r="I9" s="5">
        <f>I4*I19</f>
        <v>12078.825000000006</v>
      </c>
      <c r="J9" s="5">
        <f>J4*J19</f>
        <v>13286.707500000008</v>
      </c>
    </row>
    <row r="10" spans="1:10" outlineLevel="1" x14ac:dyDescent="0.3">
      <c r="A10" t="s">
        <v>8</v>
      </c>
      <c r="D10" s="6">
        <v>1000</v>
      </c>
      <c r="E10" s="6">
        <v>1000</v>
      </c>
      <c r="F10" s="5">
        <f>F20</f>
        <v>1000</v>
      </c>
      <c r="G10" s="5">
        <f>G20</f>
        <v>1000</v>
      </c>
      <c r="H10" s="5">
        <f>H20</f>
        <v>1000</v>
      </c>
      <c r="I10" s="5">
        <f>I20</f>
        <v>1000</v>
      </c>
      <c r="J10" s="5">
        <f>J20</f>
        <v>1000</v>
      </c>
    </row>
    <row r="11" spans="1:10" outlineLevel="1" x14ac:dyDescent="0.3">
      <c r="A11" s="11" t="s">
        <v>9</v>
      </c>
      <c r="B11" s="11"/>
      <c r="C11" s="13"/>
      <c r="D11" s="12">
        <f t="shared" ref="D11:J11" si="3">D8-SUM(D9:D10)</f>
        <v>58400</v>
      </c>
      <c r="E11" s="12">
        <f t="shared" si="3"/>
        <v>64340</v>
      </c>
      <c r="F11" s="12">
        <f>F8-SUM(F9:F10)</f>
        <v>69750.000000000015</v>
      </c>
      <c r="G11" s="12">
        <f t="shared" si="3"/>
        <v>78825.000000000029</v>
      </c>
      <c r="H11" s="12">
        <f t="shared" si="3"/>
        <v>88807.500000000044</v>
      </c>
      <c r="I11" s="12">
        <f t="shared" si="3"/>
        <v>99788.250000000058</v>
      </c>
      <c r="J11" s="12">
        <f t="shared" si="3"/>
        <v>111867.07500000008</v>
      </c>
    </row>
    <row r="12" spans="1:10" outlineLevel="1" x14ac:dyDescent="0.3">
      <c r="A12" t="s">
        <v>10</v>
      </c>
      <c r="D12" s="6">
        <v>17520</v>
      </c>
      <c r="E12" s="6">
        <v>19302</v>
      </c>
      <c r="F12" s="5">
        <f>F11*F21</f>
        <v>20925.000000000004</v>
      </c>
      <c r="G12" s="5">
        <f>G11*G21</f>
        <v>23647.500000000007</v>
      </c>
      <c r="H12" s="5">
        <f>H11*H21</f>
        <v>26642.250000000011</v>
      </c>
      <c r="I12" s="5">
        <f>I11*I21</f>
        <v>29936.475000000017</v>
      </c>
      <c r="J12" s="5">
        <f>J11*J21</f>
        <v>33560.122500000027</v>
      </c>
    </row>
    <row r="13" spans="1:10" ht="15" outlineLevel="1" thickBot="1" x14ac:dyDescent="0.35">
      <c r="A13" s="14" t="s">
        <v>11</v>
      </c>
      <c r="B13" s="14"/>
      <c r="C13" s="14"/>
      <c r="D13" s="15">
        <f t="shared" ref="D13:J13" si="4">D11-D12</f>
        <v>40880</v>
      </c>
      <c r="E13" s="15">
        <f t="shared" si="4"/>
        <v>45038</v>
      </c>
      <c r="F13" s="54">
        <f>F11-F12</f>
        <v>48825.000000000015</v>
      </c>
      <c r="G13" s="15">
        <f t="shared" si="4"/>
        <v>55177.500000000022</v>
      </c>
      <c r="H13" s="15">
        <f t="shared" si="4"/>
        <v>62165.250000000029</v>
      </c>
      <c r="I13" s="15">
        <f t="shared" si="4"/>
        <v>69851.775000000038</v>
      </c>
      <c r="J13" s="15">
        <f t="shared" si="4"/>
        <v>78306.952500000058</v>
      </c>
    </row>
    <row r="14" spans="1:10" ht="15" thickTop="1" x14ac:dyDescent="0.3"/>
    <row r="15" spans="1:10" x14ac:dyDescent="0.3">
      <c r="A15" s="16" t="s">
        <v>12</v>
      </c>
      <c r="B15" s="17"/>
      <c r="C15" s="17"/>
      <c r="D15" s="17"/>
      <c r="E15" s="17"/>
      <c r="F15" s="17"/>
      <c r="G15" s="17"/>
      <c r="H15" s="17"/>
      <c r="I15" s="17"/>
      <c r="J15" s="17"/>
    </row>
    <row r="16" spans="1:10" outlineLevel="1" x14ac:dyDescent="0.3">
      <c r="A16" t="s">
        <v>13</v>
      </c>
      <c r="E16" s="7">
        <f>E4/D4-1</f>
        <v>0.10000000000000009</v>
      </c>
      <c r="F16" s="7">
        <f t="shared" ref="F16:J21" si="5">CHOOSE($D$57,F60,F68,F76)</f>
        <v>0.1</v>
      </c>
      <c r="G16" s="7">
        <f t="shared" si="5"/>
        <v>0.1</v>
      </c>
      <c r="H16" s="7">
        <f t="shared" si="5"/>
        <v>0.1</v>
      </c>
      <c r="I16" s="7">
        <f t="shared" si="5"/>
        <v>0.1</v>
      </c>
      <c r="J16" s="7">
        <f t="shared" si="5"/>
        <v>0.1</v>
      </c>
    </row>
    <row r="17" spans="1:10" outlineLevel="1" x14ac:dyDescent="0.3">
      <c r="A17" t="s">
        <v>14</v>
      </c>
      <c r="D17" s="7">
        <f>D5/D4</f>
        <v>0.45</v>
      </c>
      <c r="E17" s="7">
        <f>E5/E4</f>
        <v>0.45</v>
      </c>
      <c r="F17" s="7">
        <f t="shared" si="5"/>
        <v>0.45</v>
      </c>
      <c r="G17" s="7">
        <f t="shared" si="5"/>
        <v>0.45</v>
      </c>
      <c r="H17" s="7">
        <f t="shared" si="5"/>
        <v>0.45</v>
      </c>
      <c r="I17" s="7">
        <f t="shared" si="5"/>
        <v>0.45</v>
      </c>
      <c r="J17" s="7">
        <f t="shared" si="5"/>
        <v>0.45</v>
      </c>
    </row>
    <row r="18" spans="1:10" outlineLevel="1" x14ac:dyDescent="0.3">
      <c r="A18" t="s">
        <v>5</v>
      </c>
      <c r="D18" s="5">
        <f>D7</f>
        <v>16500</v>
      </c>
      <c r="E18" s="5">
        <f>E7</f>
        <v>18150</v>
      </c>
      <c r="F18" s="5">
        <f t="shared" si="5"/>
        <v>20000</v>
      </c>
      <c r="G18" s="5">
        <f t="shared" si="5"/>
        <v>20000</v>
      </c>
      <c r="H18" s="5">
        <f t="shared" si="5"/>
        <v>20000</v>
      </c>
      <c r="I18" s="5">
        <f t="shared" si="5"/>
        <v>20000</v>
      </c>
      <c r="J18" s="5">
        <f t="shared" si="5"/>
        <v>20000</v>
      </c>
    </row>
    <row r="19" spans="1:10" outlineLevel="1" x14ac:dyDescent="0.3">
      <c r="A19" t="s">
        <v>15</v>
      </c>
      <c r="D19" s="7">
        <f>D9/D4</f>
        <v>4.3999999999999997E-2</v>
      </c>
      <c r="E19" s="7">
        <f>E9/E4</f>
        <v>4.3999999999999997E-2</v>
      </c>
      <c r="F19" s="7">
        <f t="shared" si="5"/>
        <v>0.05</v>
      </c>
      <c r="G19" s="7">
        <f t="shared" si="5"/>
        <v>0.05</v>
      </c>
      <c r="H19" s="7">
        <f t="shared" si="5"/>
        <v>0.05</v>
      </c>
      <c r="I19" s="7">
        <f t="shared" si="5"/>
        <v>0.05</v>
      </c>
      <c r="J19" s="7">
        <f t="shared" si="5"/>
        <v>0.05</v>
      </c>
    </row>
    <row r="20" spans="1:10" outlineLevel="1" x14ac:dyDescent="0.3">
      <c r="A20" t="s">
        <v>16</v>
      </c>
      <c r="D20" s="5">
        <f>D10</f>
        <v>1000</v>
      </c>
      <c r="E20" s="5">
        <f>E10</f>
        <v>1000</v>
      </c>
      <c r="F20" s="5">
        <f t="shared" si="5"/>
        <v>1000</v>
      </c>
      <c r="G20" s="5">
        <f t="shared" si="5"/>
        <v>1000</v>
      </c>
      <c r="H20" s="5">
        <f t="shared" si="5"/>
        <v>1000</v>
      </c>
      <c r="I20" s="5">
        <f t="shared" si="5"/>
        <v>1000</v>
      </c>
      <c r="J20" s="5">
        <f t="shared" si="5"/>
        <v>1000</v>
      </c>
    </row>
    <row r="21" spans="1:10" outlineLevel="1" x14ac:dyDescent="0.3">
      <c r="A21" t="s">
        <v>17</v>
      </c>
      <c r="D21" s="7">
        <f>D12/D11</f>
        <v>0.3</v>
      </c>
      <c r="E21" s="7">
        <f>E12/E11</f>
        <v>0.3</v>
      </c>
      <c r="F21" s="7">
        <f t="shared" si="5"/>
        <v>0.3</v>
      </c>
      <c r="G21" s="7">
        <f t="shared" si="5"/>
        <v>0.3</v>
      </c>
      <c r="H21" s="7">
        <f t="shared" si="5"/>
        <v>0.3</v>
      </c>
      <c r="I21" s="7">
        <f t="shared" si="5"/>
        <v>0.3</v>
      </c>
      <c r="J21" s="7">
        <f t="shared" si="5"/>
        <v>0.3</v>
      </c>
    </row>
    <row r="22" spans="1:10" ht="45" x14ac:dyDescent="0.3">
      <c r="J22" s="19" t="s">
        <v>23</v>
      </c>
    </row>
    <row r="23" spans="1:10" x14ac:dyDescent="0.3">
      <c r="A23" s="20" t="s">
        <v>53</v>
      </c>
      <c r="B23" s="17"/>
      <c r="C23" s="17"/>
      <c r="D23" s="22">
        <v>44567</v>
      </c>
      <c r="E23" s="17"/>
      <c r="F23" s="17"/>
      <c r="G23" s="17"/>
      <c r="H23" s="17"/>
      <c r="I23" s="17"/>
      <c r="J23" s="17"/>
    </row>
    <row r="24" spans="1:10" outlineLevel="2" x14ac:dyDescent="0.3">
      <c r="A24" s="1" t="s">
        <v>54</v>
      </c>
      <c r="D24" s="21">
        <f ca="1">TODAY()</f>
        <v>44771</v>
      </c>
    </row>
    <row r="25" spans="1:10" outlineLevel="2" x14ac:dyDescent="0.3">
      <c r="A25" s="18" t="s">
        <v>2</v>
      </c>
      <c r="D25" s="7">
        <f t="shared" ref="D25:J25" si="6">D4/D$4</f>
        <v>1</v>
      </c>
      <c r="E25" s="7">
        <f t="shared" si="6"/>
        <v>1</v>
      </c>
      <c r="F25" s="7">
        <f t="shared" si="6"/>
        <v>1</v>
      </c>
      <c r="G25" s="7">
        <f t="shared" si="6"/>
        <v>1</v>
      </c>
      <c r="H25" s="7">
        <f t="shared" si="6"/>
        <v>1</v>
      </c>
      <c r="I25" s="7">
        <f t="shared" si="6"/>
        <v>1</v>
      </c>
      <c r="J25" s="7">
        <f t="shared" si="6"/>
        <v>1</v>
      </c>
    </row>
    <row r="26" spans="1:10" outlineLevel="2" x14ac:dyDescent="0.3">
      <c r="A26" s="18" t="s">
        <v>3</v>
      </c>
      <c r="D26" s="7">
        <f t="shared" ref="D26:D34" si="7">D5/D$4</f>
        <v>0.45</v>
      </c>
      <c r="E26" s="7">
        <f>E5/E$4</f>
        <v>0.45</v>
      </c>
      <c r="F26" s="7">
        <f t="shared" ref="E26:J34" si="8">F5/F$4</f>
        <v>0.45</v>
      </c>
      <c r="G26" s="7">
        <f t="shared" si="8"/>
        <v>0.45</v>
      </c>
      <c r="H26" s="7">
        <f t="shared" si="8"/>
        <v>0.45</v>
      </c>
      <c r="I26" s="7">
        <f t="shared" si="8"/>
        <v>0.45</v>
      </c>
      <c r="J26" s="7">
        <f t="shared" si="8"/>
        <v>0.45</v>
      </c>
    </row>
    <row r="27" spans="1:10" outlineLevel="2" x14ac:dyDescent="0.3">
      <c r="A27" s="18" t="s">
        <v>4</v>
      </c>
      <c r="D27" s="7">
        <f>D6/D$4</f>
        <v>0.55000000000000004</v>
      </c>
      <c r="E27" s="7">
        <f>E6/E$4</f>
        <v>0.55000000000000004</v>
      </c>
      <c r="F27" s="7">
        <f>F6/F$4</f>
        <v>0.55000000000000004</v>
      </c>
      <c r="G27" s="7">
        <f t="shared" si="8"/>
        <v>0.54999999999999993</v>
      </c>
      <c r="H27" s="7">
        <f t="shared" si="8"/>
        <v>0.54999999999999993</v>
      </c>
      <c r="I27" s="7">
        <f t="shared" si="8"/>
        <v>0.55000000000000004</v>
      </c>
      <c r="J27" s="7">
        <f t="shared" si="8"/>
        <v>0.55000000000000004</v>
      </c>
    </row>
    <row r="28" spans="1:10" outlineLevel="2" x14ac:dyDescent="0.3">
      <c r="A28" s="18" t="s">
        <v>5</v>
      </c>
      <c r="D28" s="7">
        <f t="shared" si="7"/>
        <v>0.11</v>
      </c>
      <c r="E28" s="7">
        <f t="shared" si="8"/>
        <v>0.11</v>
      </c>
      <c r="F28" s="7">
        <f>F7/F$4</f>
        <v>0.11019283746556473</v>
      </c>
      <c r="G28" s="7">
        <f>G7/G$4</f>
        <v>0.100175306786877</v>
      </c>
      <c r="H28" s="7">
        <f t="shared" si="8"/>
        <v>9.1068460715342719E-2</v>
      </c>
      <c r="I28" s="7">
        <f t="shared" si="8"/>
        <v>8.2789509741220652E-2</v>
      </c>
      <c r="J28" s="7">
        <f t="shared" si="8"/>
        <v>7.5263190673836952E-2</v>
      </c>
    </row>
    <row r="29" spans="1:10" outlineLevel="2" x14ac:dyDescent="0.3">
      <c r="A29" s="18" t="s">
        <v>6</v>
      </c>
      <c r="D29" s="7">
        <f>D8/D$4</f>
        <v>0.44</v>
      </c>
      <c r="E29" s="7">
        <f t="shared" si="8"/>
        <v>0.44</v>
      </c>
      <c r="F29" s="7">
        <f t="shared" si="8"/>
        <v>0.43980716253443525</v>
      </c>
      <c r="G29" s="7">
        <f t="shared" si="8"/>
        <v>0.44982469321312296</v>
      </c>
      <c r="H29" s="7">
        <f t="shared" si="8"/>
        <v>0.45893153928465724</v>
      </c>
      <c r="I29" s="7">
        <f t="shared" si="8"/>
        <v>0.46721049025877937</v>
      </c>
      <c r="J29" s="7">
        <f t="shared" si="8"/>
        <v>0.47473680932616308</v>
      </c>
    </row>
    <row r="30" spans="1:10" outlineLevel="2" x14ac:dyDescent="0.3">
      <c r="A30" s="18" t="s">
        <v>7</v>
      </c>
      <c r="D30" s="7">
        <f>D9/D$4</f>
        <v>4.3999999999999997E-2</v>
      </c>
      <c r="E30" s="7">
        <f t="shared" si="8"/>
        <v>4.3999999999999997E-2</v>
      </c>
      <c r="F30" s="7">
        <f t="shared" si="8"/>
        <v>0.05</v>
      </c>
      <c r="G30" s="7">
        <f t="shared" si="8"/>
        <v>0.05</v>
      </c>
      <c r="H30" s="7">
        <f t="shared" si="8"/>
        <v>0.05</v>
      </c>
      <c r="I30" s="7">
        <f t="shared" si="8"/>
        <v>0.05</v>
      </c>
      <c r="J30" s="7">
        <f t="shared" si="8"/>
        <v>0.05</v>
      </c>
    </row>
    <row r="31" spans="1:10" outlineLevel="2" x14ac:dyDescent="0.3">
      <c r="A31" s="18" t="s">
        <v>8</v>
      </c>
      <c r="D31" s="7">
        <f t="shared" si="7"/>
        <v>6.6666666666666671E-3</v>
      </c>
      <c r="E31" s="7">
        <f t="shared" si="8"/>
        <v>6.0606060606060606E-3</v>
      </c>
      <c r="F31" s="7">
        <f t="shared" si="8"/>
        <v>5.5096418732782362E-3</v>
      </c>
      <c r="G31" s="7">
        <f t="shared" si="8"/>
        <v>5.00876533934385E-3</v>
      </c>
      <c r="H31" s="7">
        <f t="shared" si="8"/>
        <v>4.5534230357671358E-3</v>
      </c>
      <c r="I31" s="7">
        <f t="shared" si="8"/>
        <v>4.1394754870610322E-3</v>
      </c>
      <c r="J31" s="7">
        <f t="shared" si="8"/>
        <v>3.7631595336918475E-3</v>
      </c>
    </row>
    <row r="32" spans="1:10" outlineLevel="2" x14ac:dyDescent="0.3">
      <c r="A32" s="18" t="s">
        <v>9</v>
      </c>
      <c r="D32" s="7">
        <f t="shared" si="7"/>
        <v>0.38933333333333331</v>
      </c>
      <c r="E32" s="7">
        <f t="shared" si="8"/>
        <v>0.38993939393939392</v>
      </c>
      <c r="F32" s="7">
        <f t="shared" si="8"/>
        <v>0.38429752066115702</v>
      </c>
      <c r="G32" s="7">
        <f t="shared" si="8"/>
        <v>0.39481592787377917</v>
      </c>
      <c r="H32" s="7">
        <f t="shared" si="8"/>
        <v>0.40437811624889014</v>
      </c>
      <c r="I32" s="7">
        <f t="shared" si="8"/>
        <v>0.41307101477171831</v>
      </c>
      <c r="J32" s="7">
        <f t="shared" si="8"/>
        <v>0.42097364979247126</v>
      </c>
    </row>
    <row r="33" spans="1:10" outlineLevel="2" x14ac:dyDescent="0.3">
      <c r="A33" s="18" t="s">
        <v>10</v>
      </c>
      <c r="D33" s="7">
        <f t="shared" si="7"/>
        <v>0.1168</v>
      </c>
      <c r="E33" s="7">
        <f t="shared" si="8"/>
        <v>0.11698181818181819</v>
      </c>
      <c r="F33" s="7">
        <f t="shared" si="8"/>
        <v>0.11528925619834711</v>
      </c>
      <c r="G33" s="7">
        <f t="shared" si="8"/>
        <v>0.11844477836213374</v>
      </c>
      <c r="H33" s="7">
        <f>H12/H$4</f>
        <v>0.12131343487466703</v>
      </c>
      <c r="I33" s="7">
        <f t="shared" si="8"/>
        <v>0.12392130443151549</v>
      </c>
      <c r="J33" s="7">
        <f t="shared" si="8"/>
        <v>0.12629209493774138</v>
      </c>
    </row>
    <row r="34" spans="1:10" outlineLevel="2" x14ac:dyDescent="0.3">
      <c r="A34" s="18" t="s">
        <v>11</v>
      </c>
      <c r="D34" s="7">
        <f t="shared" si="7"/>
        <v>0.27253333333333335</v>
      </c>
      <c r="E34" s="7">
        <f t="shared" si="8"/>
        <v>0.27295757575757573</v>
      </c>
      <c r="F34" s="7">
        <f t="shared" si="8"/>
        <v>0.26900826446280995</v>
      </c>
      <c r="G34" s="7">
        <f t="shared" si="8"/>
        <v>0.27637114951164543</v>
      </c>
      <c r="H34" s="7">
        <f t="shared" si="8"/>
        <v>0.28306468137422308</v>
      </c>
      <c r="I34" s="7">
        <f t="shared" si="8"/>
        <v>0.28914971034020281</v>
      </c>
      <c r="J34" s="7">
        <f t="shared" si="8"/>
        <v>0.29468155485472985</v>
      </c>
    </row>
    <row r="35" spans="1:10" outlineLevel="2" x14ac:dyDescent="0.3"/>
    <row r="36" spans="1:10" outlineLevel="2" x14ac:dyDescent="0.3">
      <c r="A36" s="1" t="s">
        <v>18</v>
      </c>
      <c r="C36" s="8">
        <v>0.1</v>
      </c>
      <c r="D36" s="1" t="s">
        <v>19</v>
      </c>
    </row>
    <row r="37" spans="1:10" outlineLevel="2" x14ac:dyDescent="0.3">
      <c r="A37" s="18" t="s">
        <v>2</v>
      </c>
      <c r="D37" s="5">
        <f t="shared" ref="D37:J37" si="9">D4*(1+$C$36)</f>
        <v>165000</v>
      </c>
      <c r="E37" s="5">
        <f t="shared" si="9"/>
        <v>181500.00000000003</v>
      </c>
      <c r="F37" s="5">
        <f t="shared" si="9"/>
        <v>199650.00000000006</v>
      </c>
      <c r="G37" s="5">
        <f t="shared" si="9"/>
        <v>219615.00000000009</v>
      </c>
      <c r="H37" s="5">
        <f t="shared" si="9"/>
        <v>241576.50000000012</v>
      </c>
      <c r="I37" s="5">
        <f t="shared" si="9"/>
        <v>265734.15000000014</v>
      </c>
      <c r="J37" s="5">
        <f t="shared" si="9"/>
        <v>292307.56500000018</v>
      </c>
    </row>
    <row r="38" spans="1:10" outlineLevel="2" x14ac:dyDescent="0.3">
      <c r="A38" s="18" t="s">
        <v>3</v>
      </c>
      <c r="D38" s="5">
        <f>D5*(1+$C$36)</f>
        <v>74250</v>
      </c>
      <c r="E38" s="5">
        <f t="shared" ref="E38:J38" si="10">E5*(1+$C$36)</f>
        <v>81675</v>
      </c>
      <c r="F38" s="5">
        <f t="shared" si="10"/>
        <v>89842.500000000029</v>
      </c>
      <c r="G38" s="5">
        <f t="shared" si="10"/>
        <v>98826.750000000044</v>
      </c>
      <c r="H38" s="5">
        <f t="shared" si="10"/>
        <v>108709.42500000006</v>
      </c>
      <c r="I38" s="5">
        <f t="shared" si="10"/>
        <v>119580.36750000008</v>
      </c>
      <c r="J38" s="5">
        <f t="shared" si="10"/>
        <v>131538.40425000008</v>
      </c>
    </row>
    <row r="39" spans="1:10" outlineLevel="2" x14ac:dyDescent="0.3">
      <c r="A39" s="18" t="s">
        <v>4</v>
      </c>
      <c r="D39" s="5">
        <f t="shared" ref="D39:J39" si="11">D6*(1+$C$36)</f>
        <v>90750.000000000015</v>
      </c>
      <c r="E39" s="5">
        <f t="shared" si="11"/>
        <v>99825.000000000015</v>
      </c>
      <c r="F39" s="5">
        <f t="shared" si="11"/>
        <v>109807.50000000003</v>
      </c>
      <c r="G39" s="5">
        <f t="shared" si="11"/>
        <v>120788.25000000004</v>
      </c>
      <c r="H39" s="5">
        <f t="shared" si="11"/>
        <v>132867.07500000007</v>
      </c>
      <c r="I39" s="5">
        <f t="shared" si="11"/>
        <v>146153.78250000009</v>
      </c>
      <c r="J39" s="5">
        <f t="shared" si="11"/>
        <v>160769.1607500001</v>
      </c>
    </row>
    <row r="40" spans="1:10" outlineLevel="2" x14ac:dyDescent="0.3">
      <c r="A40" s="18" t="s">
        <v>5</v>
      </c>
      <c r="D40" s="5">
        <f>D7*(1+$C$36)</f>
        <v>18150</v>
      </c>
      <c r="E40" s="5">
        <f t="shared" ref="E40:J40" si="12">E7*(1+$C$36)</f>
        <v>19965</v>
      </c>
      <c r="F40" s="5">
        <f>F7*(1+$C$36)</f>
        <v>22000</v>
      </c>
      <c r="G40" s="5">
        <f>G7*(1+$C$36)</f>
        <v>22000</v>
      </c>
      <c r="H40" s="5">
        <f t="shared" si="12"/>
        <v>22000</v>
      </c>
      <c r="I40" s="5">
        <f t="shared" si="12"/>
        <v>22000</v>
      </c>
      <c r="J40" s="5">
        <f t="shared" si="12"/>
        <v>22000</v>
      </c>
    </row>
    <row r="41" spans="1:10" outlineLevel="2" x14ac:dyDescent="0.3">
      <c r="A41" s="18" t="s">
        <v>6</v>
      </c>
      <c r="D41" s="5">
        <f t="shared" ref="D41:J41" si="13">D8*(1+$C$36)</f>
        <v>72600</v>
      </c>
      <c r="E41" s="5">
        <f t="shared" si="13"/>
        <v>79860</v>
      </c>
      <c r="F41" s="5">
        <f>F8*(1+$C$36)</f>
        <v>87807.500000000029</v>
      </c>
      <c r="G41" s="5">
        <f t="shared" si="13"/>
        <v>98788.250000000044</v>
      </c>
      <c r="H41" s="5">
        <f t="shared" si="13"/>
        <v>110867.07500000006</v>
      </c>
      <c r="I41" s="5">
        <f t="shared" si="13"/>
        <v>124153.78250000009</v>
      </c>
      <c r="J41" s="5">
        <f t="shared" si="13"/>
        <v>138769.1607500001</v>
      </c>
    </row>
    <row r="42" spans="1:10" outlineLevel="2" x14ac:dyDescent="0.3">
      <c r="A42" s="18" t="s">
        <v>7</v>
      </c>
      <c r="D42" s="5">
        <f t="shared" ref="D42:J42" si="14">D9*(1+$C$36)</f>
        <v>7260.0000000000009</v>
      </c>
      <c r="E42" s="5">
        <f t="shared" si="14"/>
        <v>7986.0000000000009</v>
      </c>
      <c r="F42" s="5">
        <f t="shared" si="14"/>
        <v>9982.5000000000036</v>
      </c>
      <c r="G42" s="5">
        <f t="shared" si="14"/>
        <v>10980.750000000005</v>
      </c>
      <c r="H42" s="5">
        <f t="shared" si="14"/>
        <v>12078.825000000006</v>
      </c>
      <c r="I42" s="5">
        <f t="shared" si="14"/>
        <v>13286.707500000008</v>
      </c>
      <c r="J42" s="5">
        <f t="shared" si="14"/>
        <v>14615.378250000009</v>
      </c>
    </row>
    <row r="43" spans="1:10" outlineLevel="2" x14ac:dyDescent="0.3">
      <c r="A43" s="18" t="s">
        <v>8</v>
      </c>
      <c r="D43" s="5">
        <f t="shared" ref="D43:J43" si="15">D10*(1+$C$36)</f>
        <v>1100</v>
      </c>
      <c r="E43" s="5">
        <f t="shared" si="15"/>
        <v>1100</v>
      </c>
      <c r="F43" s="5">
        <f t="shared" si="15"/>
        <v>1100</v>
      </c>
      <c r="G43" s="5">
        <f t="shared" si="15"/>
        <v>1100</v>
      </c>
      <c r="H43" s="5">
        <f t="shared" si="15"/>
        <v>1100</v>
      </c>
      <c r="I43" s="5">
        <f t="shared" si="15"/>
        <v>1100</v>
      </c>
      <c r="J43" s="5">
        <f t="shared" si="15"/>
        <v>1100</v>
      </c>
    </row>
    <row r="44" spans="1:10" outlineLevel="2" x14ac:dyDescent="0.3">
      <c r="A44" s="18" t="s">
        <v>9</v>
      </c>
      <c r="D44" s="5">
        <f t="shared" ref="D44:J44" si="16">D11*(1+$C$36)</f>
        <v>64240.000000000007</v>
      </c>
      <c r="E44" s="5">
        <f t="shared" si="16"/>
        <v>70774</v>
      </c>
      <c r="F44" s="5">
        <f t="shared" si="16"/>
        <v>76725.000000000029</v>
      </c>
      <c r="G44" s="5">
        <f t="shared" si="16"/>
        <v>86707.500000000044</v>
      </c>
      <c r="H44" s="5">
        <f t="shared" si="16"/>
        <v>97688.250000000058</v>
      </c>
      <c r="I44" s="5">
        <f t="shared" si="16"/>
        <v>109767.07500000007</v>
      </c>
      <c r="J44" s="5">
        <f t="shared" si="16"/>
        <v>123053.7825000001</v>
      </c>
    </row>
    <row r="45" spans="1:10" outlineLevel="2" x14ac:dyDescent="0.3">
      <c r="A45" s="18" t="s">
        <v>10</v>
      </c>
      <c r="D45" s="5">
        <f t="shared" ref="D45:J45" si="17">D12*(1+$C$36)</f>
        <v>19272</v>
      </c>
      <c r="E45" s="5">
        <f t="shared" si="17"/>
        <v>21232.2</v>
      </c>
      <c r="F45" s="5">
        <f t="shared" si="17"/>
        <v>23017.500000000007</v>
      </c>
      <c r="G45" s="5">
        <f t="shared" si="17"/>
        <v>26012.250000000011</v>
      </c>
      <c r="H45" s="5">
        <f t="shared" si="17"/>
        <v>29306.475000000013</v>
      </c>
      <c r="I45" s="5">
        <f t="shared" si="17"/>
        <v>32930.122500000019</v>
      </c>
      <c r="J45" s="5">
        <f t="shared" si="17"/>
        <v>36916.134750000034</v>
      </c>
    </row>
    <row r="46" spans="1:10" outlineLevel="2" x14ac:dyDescent="0.3">
      <c r="A46" s="18" t="s">
        <v>11</v>
      </c>
      <c r="D46" s="5">
        <f t="shared" ref="D46:J46" si="18">D13*(1+$C$36)</f>
        <v>44968</v>
      </c>
      <c r="E46" s="5">
        <f t="shared" si="18"/>
        <v>49541.8</v>
      </c>
      <c r="F46" s="5">
        <f t="shared" si="18"/>
        <v>53707.500000000022</v>
      </c>
      <c r="G46" s="5">
        <f t="shared" si="18"/>
        <v>60695.250000000029</v>
      </c>
      <c r="H46" s="5">
        <f t="shared" si="18"/>
        <v>68381.775000000038</v>
      </c>
      <c r="I46" s="5">
        <f t="shared" si="18"/>
        <v>76836.952500000043</v>
      </c>
      <c r="J46" s="5">
        <f t="shared" si="18"/>
        <v>86137.647750000076</v>
      </c>
    </row>
    <row r="47" spans="1:10" outlineLevel="2" x14ac:dyDescent="0.3">
      <c r="D47" t="s">
        <v>20</v>
      </c>
    </row>
    <row r="48" spans="1:10" outlineLevel="2" x14ac:dyDescent="0.3">
      <c r="A48" t="s">
        <v>6</v>
      </c>
      <c r="D48" s="5">
        <f>Gross_Profit-SG_A</f>
        <v>66000</v>
      </c>
      <c r="E48" s="5">
        <f t="shared" ref="E48:J48" si="19">Gross_Profit-SG_A</f>
        <v>72600</v>
      </c>
      <c r="F48" s="5">
        <f t="shared" si="19"/>
        <v>79825.000000000015</v>
      </c>
      <c r="G48" s="5">
        <f t="shared" si="19"/>
        <v>89807.500000000029</v>
      </c>
      <c r="H48" s="5">
        <f t="shared" si="19"/>
        <v>100788.25000000004</v>
      </c>
      <c r="I48" s="5">
        <f t="shared" si="19"/>
        <v>112867.07500000007</v>
      </c>
      <c r="J48" s="5">
        <f t="shared" si="19"/>
        <v>126153.78250000009</v>
      </c>
    </row>
    <row r="49" spans="1:10" outlineLevel="2" x14ac:dyDescent="0.3"/>
    <row r="50" spans="1:10" outlineLevel="2" x14ac:dyDescent="0.3">
      <c r="A50" t="s">
        <v>21</v>
      </c>
      <c r="D50" s="5">
        <f t="shared" ref="D50:J50" si="20">D48*(1+sensitivity)</f>
        <v>72600</v>
      </c>
      <c r="E50" s="5">
        <f t="shared" si="20"/>
        <v>79860</v>
      </c>
      <c r="F50" s="5">
        <f t="shared" si="20"/>
        <v>87807.500000000029</v>
      </c>
      <c r="G50" s="5">
        <f t="shared" si="20"/>
        <v>98788.250000000044</v>
      </c>
      <c r="H50" s="5">
        <f t="shared" si="20"/>
        <v>110867.07500000006</v>
      </c>
      <c r="I50" s="5">
        <f t="shared" si="20"/>
        <v>124153.78250000009</v>
      </c>
      <c r="J50" s="5">
        <f t="shared" si="20"/>
        <v>138769.1607500001</v>
      </c>
    </row>
    <row r="51" spans="1:10" outlineLevel="2" x14ac:dyDescent="0.3">
      <c r="D51" t="s">
        <v>22</v>
      </c>
    </row>
    <row r="52" spans="1:10" outlineLevel="2" x14ac:dyDescent="0.3"/>
    <row r="53" spans="1:10" outlineLevel="2" x14ac:dyDescent="0.3"/>
    <row r="54" spans="1:10" outlineLevel="2" x14ac:dyDescent="0.3">
      <c r="A54" t="str">
        <f>A48&amp;" in "&amp;J1</f>
        <v>EBITA in 2026</v>
      </c>
      <c r="C54" s="5">
        <f>J48</f>
        <v>126153.78250000009</v>
      </c>
    </row>
    <row r="57" spans="1:10" x14ac:dyDescent="0.3">
      <c r="A57" s="16" t="s">
        <v>45</v>
      </c>
      <c r="B57" s="17"/>
      <c r="C57" s="16" t="s">
        <v>52</v>
      </c>
      <c r="D57" s="31">
        <v>1</v>
      </c>
      <c r="E57" s="17"/>
      <c r="F57" s="17"/>
      <c r="G57" s="17"/>
      <c r="H57" s="17"/>
      <c r="I57" s="17"/>
      <c r="J57" s="17"/>
    </row>
    <row r="58" spans="1:10" outlineLevel="1" x14ac:dyDescent="0.3">
      <c r="D58" s="32">
        <v>1</v>
      </c>
    </row>
    <row r="59" spans="1:10" outlineLevel="1" x14ac:dyDescent="0.3">
      <c r="A59" s="1" t="s">
        <v>46</v>
      </c>
      <c r="C59" t="s">
        <v>51</v>
      </c>
      <c r="D59" s="32">
        <v>2</v>
      </c>
    </row>
    <row r="60" spans="1:10" outlineLevel="1" x14ac:dyDescent="0.3">
      <c r="A60" t="s">
        <v>13</v>
      </c>
      <c r="D60" s="32">
        <v>3</v>
      </c>
      <c r="F60" s="8">
        <v>0.1</v>
      </c>
      <c r="G60" s="8">
        <v>0.1</v>
      </c>
      <c r="H60" s="8">
        <v>0.1</v>
      </c>
      <c r="I60" s="8">
        <v>0.1</v>
      </c>
      <c r="J60" s="8">
        <v>0.1</v>
      </c>
    </row>
    <row r="61" spans="1:10" outlineLevel="1" x14ac:dyDescent="0.3">
      <c r="A61" t="s">
        <v>14</v>
      </c>
      <c r="F61" s="8">
        <v>0.45</v>
      </c>
      <c r="G61" s="8">
        <v>0.45</v>
      </c>
      <c r="H61" s="8">
        <v>0.45</v>
      </c>
      <c r="I61" s="8">
        <v>0.45</v>
      </c>
      <c r="J61" s="8">
        <v>0.45</v>
      </c>
    </row>
    <row r="62" spans="1:10" outlineLevel="1" x14ac:dyDescent="0.3">
      <c r="A62" t="s">
        <v>5</v>
      </c>
      <c r="F62" s="6">
        <v>20000</v>
      </c>
      <c r="G62" s="6">
        <v>20000</v>
      </c>
      <c r="H62" s="6">
        <v>20000</v>
      </c>
      <c r="I62" s="6">
        <v>20000</v>
      </c>
      <c r="J62" s="6">
        <v>20000</v>
      </c>
    </row>
    <row r="63" spans="1:10" outlineLevel="1" x14ac:dyDescent="0.3">
      <c r="A63" t="s">
        <v>15</v>
      </c>
      <c r="F63" s="8">
        <v>0.05</v>
      </c>
      <c r="G63" s="8">
        <v>0.05</v>
      </c>
      <c r="H63" s="8">
        <v>0.05</v>
      </c>
      <c r="I63" s="8">
        <v>0.05</v>
      </c>
      <c r="J63" s="8">
        <v>0.05</v>
      </c>
    </row>
    <row r="64" spans="1:10" outlineLevel="1" x14ac:dyDescent="0.3">
      <c r="A64" t="s">
        <v>16</v>
      </c>
      <c r="F64" s="6">
        <v>1000</v>
      </c>
      <c r="G64" s="6">
        <v>1000</v>
      </c>
      <c r="H64" s="6">
        <v>1000</v>
      </c>
      <c r="I64" s="6">
        <v>1000</v>
      </c>
      <c r="J64" s="6">
        <v>1000</v>
      </c>
    </row>
    <row r="65" spans="1:10" outlineLevel="1" x14ac:dyDescent="0.3">
      <c r="A65" t="s">
        <v>17</v>
      </c>
      <c r="F65" s="8">
        <v>0.3</v>
      </c>
      <c r="G65" s="8">
        <v>0.3</v>
      </c>
      <c r="H65" s="8">
        <v>0.3</v>
      </c>
      <c r="I65" s="8">
        <v>0.3</v>
      </c>
      <c r="J65" s="8">
        <v>0.3</v>
      </c>
    </row>
    <row r="66" spans="1:10" outlineLevel="1" x14ac:dyDescent="0.3"/>
    <row r="67" spans="1:10" outlineLevel="1" x14ac:dyDescent="0.3">
      <c r="A67" s="1" t="s">
        <v>47</v>
      </c>
      <c r="C67" t="s">
        <v>49</v>
      </c>
    </row>
    <row r="68" spans="1:10" outlineLevel="1" x14ac:dyDescent="0.3">
      <c r="A68" t="s">
        <v>13</v>
      </c>
      <c r="F68" s="8">
        <v>-0.1</v>
      </c>
      <c r="G68" s="8">
        <v>-0.1</v>
      </c>
      <c r="H68" s="8">
        <v>-0.1</v>
      </c>
      <c r="I68" s="8">
        <v>-0.1</v>
      </c>
      <c r="J68" s="8">
        <v>-0.1</v>
      </c>
    </row>
    <row r="69" spans="1:10" outlineLevel="1" x14ac:dyDescent="0.3">
      <c r="A69" t="s">
        <v>14</v>
      </c>
      <c r="F69" s="8">
        <v>0.45</v>
      </c>
      <c r="G69" s="8">
        <v>0.45</v>
      </c>
      <c r="H69" s="8">
        <v>0.45</v>
      </c>
      <c r="I69" s="8">
        <v>0.45</v>
      </c>
      <c r="J69" s="8">
        <v>0.45</v>
      </c>
    </row>
    <row r="70" spans="1:10" outlineLevel="1" x14ac:dyDescent="0.3">
      <c r="A70" t="s">
        <v>5</v>
      </c>
      <c r="F70" s="6">
        <v>30000</v>
      </c>
      <c r="G70" s="6">
        <v>30000</v>
      </c>
      <c r="H70" s="6">
        <v>30000</v>
      </c>
      <c r="I70" s="6">
        <v>30000</v>
      </c>
      <c r="J70" s="6">
        <v>30000</v>
      </c>
    </row>
    <row r="71" spans="1:10" outlineLevel="1" x14ac:dyDescent="0.3">
      <c r="A71" t="s">
        <v>15</v>
      </c>
      <c r="F71" s="8">
        <v>0.05</v>
      </c>
      <c r="G71" s="8">
        <v>0.05</v>
      </c>
      <c r="H71" s="8">
        <v>0.05</v>
      </c>
      <c r="I71" s="8">
        <v>0.05</v>
      </c>
      <c r="J71" s="8">
        <v>0.05</v>
      </c>
    </row>
    <row r="72" spans="1:10" outlineLevel="1" x14ac:dyDescent="0.3">
      <c r="A72" t="s">
        <v>16</v>
      </c>
      <c r="F72" s="6">
        <v>1000</v>
      </c>
      <c r="G72" s="6">
        <v>1000</v>
      </c>
      <c r="H72" s="6">
        <v>1000</v>
      </c>
      <c r="I72" s="6">
        <v>1000</v>
      </c>
      <c r="J72" s="6">
        <v>1000</v>
      </c>
    </row>
    <row r="73" spans="1:10" outlineLevel="1" x14ac:dyDescent="0.3">
      <c r="A73" t="s">
        <v>17</v>
      </c>
      <c r="F73" s="8">
        <v>0.3</v>
      </c>
      <c r="G73" s="8">
        <v>0.3</v>
      </c>
      <c r="H73" s="8">
        <v>0.3</v>
      </c>
      <c r="I73" s="8">
        <v>0.3</v>
      </c>
      <c r="J73" s="8">
        <v>0.3</v>
      </c>
    </row>
    <row r="74" spans="1:10" outlineLevel="1" x14ac:dyDescent="0.3"/>
    <row r="75" spans="1:10" outlineLevel="1" x14ac:dyDescent="0.3">
      <c r="A75" s="1" t="s">
        <v>48</v>
      </c>
      <c r="C75" t="s">
        <v>50</v>
      </c>
    </row>
    <row r="76" spans="1:10" outlineLevel="1" x14ac:dyDescent="0.3">
      <c r="A76" t="s">
        <v>13</v>
      </c>
      <c r="F76" s="8">
        <v>0.25</v>
      </c>
      <c r="G76" s="8">
        <v>0.25</v>
      </c>
      <c r="H76" s="8">
        <v>0.25</v>
      </c>
      <c r="I76" s="8">
        <v>0.25</v>
      </c>
      <c r="J76" s="8">
        <v>0.25</v>
      </c>
    </row>
    <row r="77" spans="1:10" outlineLevel="1" x14ac:dyDescent="0.3">
      <c r="A77" t="s">
        <v>14</v>
      </c>
      <c r="F77" s="8">
        <v>0.45</v>
      </c>
      <c r="G77" s="8">
        <v>0.45</v>
      </c>
      <c r="H77" s="8">
        <v>0.45</v>
      </c>
      <c r="I77" s="8">
        <v>0.45</v>
      </c>
      <c r="J77" s="8">
        <v>0.45</v>
      </c>
    </row>
    <row r="78" spans="1:10" outlineLevel="1" x14ac:dyDescent="0.3">
      <c r="A78" t="s">
        <v>5</v>
      </c>
      <c r="F78" s="6">
        <v>20000</v>
      </c>
      <c r="G78" s="6">
        <v>20000</v>
      </c>
      <c r="H78" s="6">
        <v>20000</v>
      </c>
      <c r="I78" s="6">
        <v>20000</v>
      </c>
      <c r="J78" s="6">
        <v>20000</v>
      </c>
    </row>
    <row r="79" spans="1:10" outlineLevel="1" x14ac:dyDescent="0.3">
      <c r="A79" t="s">
        <v>15</v>
      </c>
      <c r="F79" s="8">
        <v>0.05</v>
      </c>
      <c r="G79" s="8">
        <v>0.05</v>
      </c>
      <c r="H79" s="8">
        <v>0.05</v>
      </c>
      <c r="I79" s="8">
        <v>0.05</v>
      </c>
      <c r="J79" s="8">
        <v>0.05</v>
      </c>
    </row>
    <row r="80" spans="1:10" outlineLevel="1" x14ac:dyDescent="0.3">
      <c r="A80" t="s">
        <v>16</v>
      </c>
      <c r="F80" s="6">
        <v>30000</v>
      </c>
      <c r="G80" s="6">
        <v>30000</v>
      </c>
      <c r="H80" s="6">
        <v>30000</v>
      </c>
      <c r="I80" s="6">
        <v>30000</v>
      </c>
      <c r="J80" s="6">
        <v>30000</v>
      </c>
    </row>
    <row r="81" spans="1:10" outlineLevel="1" x14ac:dyDescent="0.3">
      <c r="A81" t="s">
        <v>17</v>
      </c>
      <c r="F81" s="8">
        <v>0.3</v>
      </c>
      <c r="G81" s="8">
        <v>0.3</v>
      </c>
      <c r="H81" s="8">
        <v>0.3</v>
      </c>
      <c r="I81" s="8">
        <v>0.3</v>
      </c>
      <c r="J81" s="8">
        <v>0.3</v>
      </c>
    </row>
    <row r="84" spans="1:10" x14ac:dyDescent="0.3">
      <c r="A84" s="16" t="s">
        <v>55</v>
      </c>
      <c r="B84" s="17"/>
      <c r="C84" s="17"/>
      <c r="D84" s="17"/>
      <c r="E84" s="17"/>
      <c r="F84" s="17"/>
      <c r="G84" s="17"/>
      <c r="H84" s="17"/>
      <c r="I84" s="17"/>
      <c r="J84" s="17"/>
    </row>
    <row r="85" spans="1:10" outlineLevel="1" x14ac:dyDescent="0.3">
      <c r="E85" s="7"/>
      <c r="F85" s="7"/>
      <c r="G85" s="7"/>
      <c r="H85" s="7"/>
      <c r="I85" s="7"/>
      <c r="J85" s="7"/>
    </row>
    <row r="86" spans="1:10" outlineLevel="1" x14ac:dyDescent="0.3">
      <c r="A86" s="1" t="s">
        <v>56</v>
      </c>
      <c r="E86" s="7"/>
      <c r="F86" s="7"/>
      <c r="G86" s="7"/>
      <c r="H86" s="7"/>
      <c r="I86" s="7"/>
      <c r="J86" s="7"/>
    </row>
    <row r="87" spans="1:10" outlineLevel="1" x14ac:dyDescent="0.3">
      <c r="A87" s="39" t="s">
        <v>6</v>
      </c>
      <c r="B87" s="46">
        <v>6</v>
      </c>
      <c r="D87" s="33">
        <f>VLOOKUP(A87,A1:J13,B87,FALSE)</f>
        <v>79825.000000000015</v>
      </c>
      <c r="E87" s="7"/>
      <c r="F87" s="7"/>
      <c r="G87" s="7"/>
      <c r="H87" s="7"/>
      <c r="I87" s="7"/>
      <c r="J87" s="7"/>
    </row>
    <row r="88" spans="1:10" outlineLevel="1" x14ac:dyDescent="0.3">
      <c r="D88" s="5"/>
      <c r="E88" s="5"/>
      <c r="F88" s="5"/>
      <c r="G88" s="5"/>
      <c r="H88" s="5"/>
      <c r="I88" s="5"/>
      <c r="J88" s="5"/>
    </row>
    <row r="89" spans="1:10" outlineLevel="1" x14ac:dyDescent="0.3">
      <c r="A89" s="1" t="s">
        <v>57</v>
      </c>
      <c r="D89" s="5"/>
      <c r="E89" s="5"/>
      <c r="F89" s="5"/>
      <c r="G89" s="5"/>
      <c r="H89" s="5"/>
      <c r="I89" s="5"/>
      <c r="J89" s="5"/>
    </row>
    <row r="90" spans="1:10" outlineLevel="1" x14ac:dyDescent="0.3">
      <c r="A90" s="45">
        <v>2022</v>
      </c>
      <c r="B90" s="46" t="s">
        <v>6</v>
      </c>
      <c r="C90" s="34"/>
      <c r="D90" s="33">
        <f>HLOOKUP(A90,A1:J13,8,FALSE)</f>
        <v>79825.000000000015</v>
      </c>
      <c r="E90" s="7"/>
      <c r="F90" s="7"/>
      <c r="G90" s="7"/>
      <c r="H90" s="7"/>
      <c r="I90" s="7"/>
      <c r="J90" s="7"/>
    </row>
    <row r="91" spans="1:10" outlineLevel="1" x14ac:dyDescent="0.3">
      <c r="D91" s="5"/>
      <c r="E91" s="5"/>
      <c r="F91" s="5"/>
      <c r="G91" s="5"/>
      <c r="H91" s="5"/>
      <c r="I91" s="5"/>
      <c r="J91" s="5"/>
    </row>
    <row r="92" spans="1:10" outlineLevel="1" x14ac:dyDescent="0.3">
      <c r="A92" s="1" t="s">
        <v>58</v>
      </c>
      <c r="D92" s="5"/>
      <c r="E92" s="5"/>
      <c r="F92" s="5"/>
      <c r="G92" s="5"/>
      <c r="H92" s="5"/>
      <c r="I92" s="5"/>
      <c r="J92" s="5"/>
    </row>
    <row r="93" spans="1:10" outlineLevel="1" x14ac:dyDescent="0.3">
      <c r="A93" s="1" t="s">
        <v>59</v>
      </c>
      <c r="B93" s="35" t="s">
        <v>2</v>
      </c>
      <c r="D93" s="10" t="s">
        <v>60</v>
      </c>
      <c r="E93" s="37">
        <f>INDEX($A$1:$J$13, MATCH(B93,$A$1:$A$13,0),MATCH(B94,$A$1:$J$1,0))</f>
        <v>181500.00000000003</v>
      </c>
      <c r="F93" s="5"/>
      <c r="G93" s="5"/>
      <c r="H93" s="5"/>
      <c r="I93" s="5"/>
      <c r="J93" s="5"/>
    </row>
    <row r="94" spans="1:10" outlineLevel="1" x14ac:dyDescent="0.3">
      <c r="A94" s="1" t="s">
        <v>59</v>
      </c>
      <c r="B94" s="36">
        <v>2022</v>
      </c>
      <c r="E94" s="7"/>
      <c r="F94" s="7"/>
      <c r="G94" s="7"/>
      <c r="H94" s="7"/>
      <c r="I94" s="7"/>
      <c r="J94" s="7"/>
    </row>
    <row r="95" spans="1:10" ht="15" outlineLevel="1" x14ac:dyDescent="0.3">
      <c r="J95" s="19"/>
    </row>
    <row r="96" spans="1:10" outlineLevel="1" x14ac:dyDescent="0.3">
      <c r="A96" s="38" t="s">
        <v>61</v>
      </c>
    </row>
    <row r="97" spans="1:10" outlineLevel="1" x14ac:dyDescent="0.3">
      <c r="A97" s="38"/>
      <c r="D97" s="44">
        <v>2022</v>
      </c>
      <c r="E97" s="44">
        <v>2023</v>
      </c>
      <c r="F97" s="44">
        <v>2024</v>
      </c>
    </row>
    <row r="98" spans="1:10" outlineLevel="1" x14ac:dyDescent="0.3">
      <c r="A98" s="43" t="s">
        <v>2</v>
      </c>
      <c r="B98" s="40"/>
      <c r="C98" s="41"/>
      <c r="D98" s="12">
        <f>INDEX($A$1:$J$13,MATCH($A98,$A$1:$A$13,0),MATCH(D$97,$A$1:$J$1,0))</f>
        <v>181500.00000000003</v>
      </c>
      <c r="E98" s="12">
        <f t="shared" ref="E98:F100" si="21">INDEX($A$1:$J$13,MATCH($A98,$A$1:$A$13,0),MATCH(E$97,$A$1:$J$1,0))</f>
        <v>199650.00000000006</v>
      </c>
      <c r="F98" s="12">
        <f t="shared" si="21"/>
        <v>219615.00000000009</v>
      </c>
    </row>
    <row r="99" spans="1:10" outlineLevel="1" x14ac:dyDescent="0.3">
      <c r="A99" s="43" t="s">
        <v>6</v>
      </c>
      <c r="C99" s="42"/>
      <c r="D99" s="33">
        <f>INDEX($A$1:$J$13,MATCH($A99,$A$1:$A$13,0),MATCH(D$97,$A$1:$J$1,0))</f>
        <v>79825.000000000015</v>
      </c>
      <c r="E99" s="33">
        <f t="shared" si="21"/>
        <v>89807.500000000029</v>
      </c>
      <c r="F99" s="33">
        <f t="shared" si="21"/>
        <v>100788.25000000004</v>
      </c>
    </row>
    <row r="100" spans="1:10" outlineLevel="1" x14ac:dyDescent="0.3">
      <c r="A100" s="43" t="s">
        <v>11</v>
      </c>
      <c r="C100" s="42"/>
      <c r="D100" s="33">
        <f>INDEX($A$1:$J$13,MATCH($A100,$A$1:$A$13,0),MATCH(D$97,$A$1:$J$1,0))</f>
        <v>48825.000000000015</v>
      </c>
      <c r="E100" s="33">
        <f t="shared" si="21"/>
        <v>55177.500000000022</v>
      </c>
      <c r="F100" s="33">
        <f t="shared" si="21"/>
        <v>62165.250000000029</v>
      </c>
    </row>
    <row r="101" spans="1:10" outlineLevel="1" x14ac:dyDescent="0.3"/>
    <row r="102" spans="1:10" outlineLevel="1" x14ac:dyDescent="0.3">
      <c r="A102" s="51" t="s">
        <v>62</v>
      </c>
      <c r="B102" s="52"/>
      <c r="C102" s="52"/>
      <c r="D102" s="52"/>
      <c r="E102" s="52"/>
      <c r="F102" s="52"/>
    </row>
    <row r="103" spans="1:10" outlineLevel="1" x14ac:dyDescent="0.3">
      <c r="A103" s="47">
        <f>J46</f>
        <v>86137.647750000076</v>
      </c>
      <c r="B103" s="48">
        <v>-0.2</v>
      </c>
      <c r="C103" s="48">
        <f>+B103+0.1</f>
        <v>-0.1</v>
      </c>
      <c r="D103" s="48">
        <f>+C103+0.1</f>
        <v>0</v>
      </c>
      <c r="E103" s="48">
        <f>+D103+0.1</f>
        <v>0.1</v>
      </c>
      <c r="F103" s="48">
        <f>+E103+0.1</f>
        <v>0.2</v>
      </c>
    </row>
    <row r="104" spans="1:10" outlineLevel="1" x14ac:dyDescent="0.3">
      <c r="A104" s="53">
        <v>125000</v>
      </c>
      <c r="B104" s="50">
        <f t="dataTable" ref="B104:F108" dt2D="1" dtr="1" r1="C36" r2="E4"/>
        <v>44607.85000000002</v>
      </c>
      <c r="C104" s="12">
        <v>50183.831250000017</v>
      </c>
      <c r="D104" s="12">
        <v>55759.812500000022</v>
      </c>
      <c r="E104" s="12">
        <v>61335.793750000026</v>
      </c>
      <c r="F104" s="12">
        <v>66911.775000000023</v>
      </c>
      <c r="H104" s="1" t="s">
        <v>63</v>
      </c>
    </row>
    <row r="105" spans="1:10" outlineLevel="1" x14ac:dyDescent="0.3">
      <c r="A105" s="56">
        <f>+A104+20000</f>
        <v>145000</v>
      </c>
      <c r="B105" s="49">
        <v>53626.706000000006</v>
      </c>
      <c r="C105" s="5">
        <v>60330.044250000006</v>
      </c>
      <c r="D105" s="5">
        <v>67033.382500000007</v>
      </c>
      <c r="E105" s="5">
        <v>73736.720750000008</v>
      </c>
      <c r="F105" s="5">
        <v>80440.059000000008</v>
      </c>
      <c r="H105" t="s">
        <v>64</v>
      </c>
      <c r="J105" s="55">
        <v>-0.745</v>
      </c>
    </row>
    <row r="106" spans="1:10" outlineLevel="1" x14ac:dyDescent="0.3">
      <c r="A106" s="56">
        <f>+A105+20000</f>
        <v>165000</v>
      </c>
      <c r="B106" s="49">
        <v>62645.562000000049</v>
      </c>
      <c r="C106" s="5">
        <v>70476.257250000053</v>
      </c>
      <c r="D106" s="5">
        <v>78306.952500000058</v>
      </c>
      <c r="E106" s="5">
        <v>86137.647750000076</v>
      </c>
      <c r="F106" s="5">
        <v>93968.343000000066</v>
      </c>
    </row>
    <row r="107" spans="1:10" outlineLevel="1" x14ac:dyDescent="0.3">
      <c r="A107" s="56">
        <f>+A106+20000</f>
        <v>185000</v>
      </c>
      <c r="B107" s="49">
        <v>71664.418000000049</v>
      </c>
      <c r="C107" s="5">
        <v>80622.470250000042</v>
      </c>
      <c r="D107" s="5">
        <v>89580.52250000005</v>
      </c>
      <c r="E107" s="5">
        <v>98538.574750000058</v>
      </c>
      <c r="F107" s="5">
        <v>107496.62700000005</v>
      </c>
    </row>
    <row r="108" spans="1:10" outlineLevel="1" x14ac:dyDescent="0.3">
      <c r="A108" s="56">
        <f>+A107+20000</f>
        <v>205000</v>
      </c>
      <c r="B108" s="49">
        <v>80683.274000000049</v>
      </c>
      <c r="C108" s="5">
        <v>90768.68325000006</v>
      </c>
      <c r="D108" s="5">
        <v>100854.09250000006</v>
      </c>
      <c r="E108" s="5">
        <v>110939.50175000007</v>
      </c>
      <c r="F108" s="5">
        <v>121024.91100000007</v>
      </c>
    </row>
    <row r="109" spans="1:10" outlineLevel="1" x14ac:dyDescent="0.3"/>
    <row r="110" spans="1:10" outlineLevel="1" x14ac:dyDescent="0.3"/>
    <row r="111" spans="1:10" outlineLevel="1" x14ac:dyDescent="0.3">
      <c r="A111" s="1" t="s">
        <v>65</v>
      </c>
      <c r="C111" s="1" t="s">
        <v>66</v>
      </c>
      <c r="E111" s="1" t="s">
        <v>67</v>
      </c>
    </row>
    <row r="112" spans="1:10" outlineLevel="1" x14ac:dyDescent="0.3">
      <c r="A112" s="5">
        <f>SUMIF(A104:A108,"&gt;=165000",B104:B108)</f>
        <v>214993.25400000013</v>
      </c>
      <c r="C112">
        <f>COUNTIF(A104:A108,"&gt;=165000")</f>
        <v>3</v>
      </c>
      <c r="E112" s="5">
        <f>IF(AND(B103&lt;0,A104&gt;100000),B104,0)</f>
        <v>44607.85000000002</v>
      </c>
    </row>
    <row r="115" spans="1:10" x14ac:dyDescent="0.3">
      <c r="A115" s="16" t="s">
        <v>68</v>
      </c>
      <c r="B115" s="17"/>
      <c r="C115" s="17"/>
      <c r="D115" s="17"/>
      <c r="E115" s="17"/>
      <c r="F115" s="17"/>
      <c r="G115" s="17"/>
      <c r="H115" s="17"/>
      <c r="I115" s="17"/>
      <c r="J115" s="17"/>
    </row>
    <row r="116" spans="1:10" outlineLevel="1" x14ac:dyDescent="0.3"/>
    <row r="117" spans="1:10" outlineLevel="1" x14ac:dyDescent="0.3">
      <c r="A117" t="s">
        <v>69</v>
      </c>
      <c r="B117" s="57">
        <f ca="1">XIRR(D118:G118,D117:G117)</f>
        <v>0.32970290780067446</v>
      </c>
      <c r="D117" s="21">
        <f ca="1">TODAY()</f>
        <v>44771</v>
      </c>
      <c r="E117" s="21">
        <v>45291</v>
      </c>
      <c r="F117" s="21">
        <v>45306</v>
      </c>
      <c r="G117" s="21">
        <v>45657</v>
      </c>
    </row>
    <row r="118" spans="1:10" outlineLevel="1" x14ac:dyDescent="0.3">
      <c r="D118" s="6">
        <v>-100000</v>
      </c>
      <c r="E118" s="5">
        <f>F13</f>
        <v>48825.000000000015</v>
      </c>
      <c r="F118" s="5">
        <f>G13</f>
        <v>55177.500000000022</v>
      </c>
      <c r="G118" s="5">
        <f>H13</f>
        <v>62165.250000000029</v>
      </c>
    </row>
    <row r="119" spans="1:10" outlineLevel="1" x14ac:dyDescent="0.3"/>
    <row r="120" spans="1:10" outlineLevel="1" x14ac:dyDescent="0.3">
      <c r="A120" t="s">
        <v>70</v>
      </c>
      <c r="B120" s="57">
        <v>0.15</v>
      </c>
      <c r="D120" s="58">
        <f>NPV(B120,D118:G118)</f>
        <v>21785.478182253562</v>
      </c>
    </row>
    <row r="121" spans="1:10" outlineLevel="1" x14ac:dyDescent="0.3">
      <c r="D121" s="58">
        <f ca="1">XNPV(B120,D118:G118,D117:G117)</f>
        <v>29246.891654340521</v>
      </c>
    </row>
    <row r="124" spans="1:10" x14ac:dyDescent="0.3">
      <c r="A124" s="16" t="s">
        <v>71</v>
      </c>
      <c r="B124" s="17"/>
      <c r="C124" s="17"/>
      <c r="D124" s="17"/>
      <c r="E124" s="17"/>
      <c r="F124" s="17"/>
      <c r="G124" s="17"/>
      <c r="H124" s="17"/>
      <c r="I124" s="17"/>
      <c r="J124" s="17"/>
    </row>
    <row r="125" spans="1:10" outlineLevel="2" x14ac:dyDescent="0.3"/>
    <row r="126" spans="1:10" outlineLevel="2" x14ac:dyDescent="0.3">
      <c r="A126" t="s">
        <v>2</v>
      </c>
      <c r="D126" s="5">
        <f>D4</f>
        <v>150000</v>
      </c>
      <c r="E126" s="5">
        <f t="shared" ref="E126:J126" si="22">E4</f>
        <v>165000</v>
      </c>
      <c r="F126" s="5">
        <f t="shared" si="22"/>
        <v>181500.00000000003</v>
      </c>
      <c r="G126" s="5">
        <f t="shared" si="22"/>
        <v>199650.00000000006</v>
      </c>
      <c r="H126" s="5">
        <f t="shared" si="22"/>
        <v>219615.00000000009</v>
      </c>
      <c r="I126" s="5">
        <f t="shared" si="22"/>
        <v>241576.50000000012</v>
      </c>
      <c r="J126" s="5">
        <f t="shared" si="22"/>
        <v>265734.15000000014</v>
      </c>
    </row>
    <row r="127" spans="1:10" outlineLevel="2" x14ac:dyDescent="0.3">
      <c r="A127" t="s">
        <v>72</v>
      </c>
      <c r="D127" s="5">
        <f>-(D12+D10+D9+D7+D5)</f>
        <v>-109120</v>
      </c>
      <c r="E127" s="5">
        <f t="shared" ref="E127:J127" si="23">-(E12+E10+E9+E7+E5)</f>
        <v>-119962</v>
      </c>
      <c r="F127" s="5">
        <f t="shared" si="23"/>
        <v>-132675.00000000003</v>
      </c>
      <c r="G127" s="5">
        <f t="shared" si="23"/>
        <v>-144472.50000000006</v>
      </c>
      <c r="H127" s="5">
        <f t="shared" si="23"/>
        <v>-157449.75000000006</v>
      </c>
      <c r="I127" s="5">
        <f t="shared" si="23"/>
        <v>-171724.72500000009</v>
      </c>
      <c r="J127" s="5">
        <f t="shared" si="23"/>
        <v>-187427.1975000001</v>
      </c>
    </row>
    <row r="128" spans="1:10" outlineLevel="2" x14ac:dyDescent="0.3">
      <c r="A128" t="s">
        <v>73</v>
      </c>
      <c r="D128" s="5">
        <f>SUM(D126:D127)</f>
        <v>40880</v>
      </c>
      <c r="E128" s="5">
        <f t="shared" ref="E128:J128" si="24">SUM(E126:E127)</f>
        <v>45038</v>
      </c>
      <c r="F128" s="5">
        <f t="shared" si="24"/>
        <v>48825</v>
      </c>
      <c r="G128" s="5">
        <f t="shared" si="24"/>
        <v>55177.5</v>
      </c>
      <c r="H128" s="5">
        <f t="shared" si="24"/>
        <v>62165.250000000029</v>
      </c>
      <c r="I128" s="5">
        <f t="shared" si="24"/>
        <v>69851.775000000023</v>
      </c>
      <c r="J128" s="5">
        <f t="shared" si="24"/>
        <v>78306.952500000043</v>
      </c>
    </row>
    <row r="129" spans="1:10" outlineLevel="2" x14ac:dyDescent="0.3"/>
    <row r="130" spans="1:10" outlineLevel="2" x14ac:dyDescent="0.3">
      <c r="D130" s="34" t="s">
        <v>2</v>
      </c>
      <c r="E130" s="34" t="s">
        <v>3</v>
      </c>
      <c r="F130" s="34" t="s">
        <v>5</v>
      </c>
      <c r="G130" s="34" t="s">
        <v>7</v>
      </c>
      <c r="H130" s="34" t="s">
        <v>8</v>
      </c>
      <c r="I130" s="34" t="s">
        <v>10</v>
      </c>
      <c r="J130" s="34" t="s">
        <v>11</v>
      </c>
    </row>
    <row r="131" spans="1:10" outlineLevel="2" x14ac:dyDescent="0.3">
      <c r="A131" s="59">
        <f>F1</f>
        <v>2022</v>
      </c>
      <c r="D131" s="5">
        <f>F4</f>
        <v>181500.00000000003</v>
      </c>
      <c r="E131" s="5">
        <f>-F5</f>
        <v>-81675.000000000015</v>
      </c>
      <c r="F131" s="5">
        <f>-F7</f>
        <v>-20000</v>
      </c>
      <c r="G131" s="5">
        <f>-F9</f>
        <v>-9075.0000000000018</v>
      </c>
      <c r="H131" s="5">
        <f>-F10</f>
        <v>-1000</v>
      </c>
      <c r="I131" s="5">
        <f>-F12</f>
        <v>-20925.000000000004</v>
      </c>
      <c r="J131" s="5">
        <f>SUM(D131:I131)</f>
        <v>48825.000000000015</v>
      </c>
    </row>
    <row r="132" spans="1:10" outlineLevel="2" x14ac:dyDescent="0.3"/>
    <row r="133" spans="1:10" outlineLevel="2" x14ac:dyDescent="0.3"/>
    <row r="134" spans="1:10" outlineLevel="2" x14ac:dyDescent="0.3"/>
    <row r="135" spans="1:10" outlineLevel="2" x14ac:dyDescent="0.3"/>
    <row r="136" spans="1:10" outlineLevel="2" x14ac:dyDescent="0.3"/>
    <row r="137" spans="1:10" outlineLevel="2" x14ac:dyDescent="0.3"/>
    <row r="138" spans="1:10" outlineLevel="2" x14ac:dyDescent="0.3"/>
    <row r="139" spans="1:10" outlineLevel="2" x14ac:dyDescent="0.3"/>
    <row r="140" spans="1:10" outlineLevel="2" x14ac:dyDescent="0.3"/>
    <row r="141" spans="1:10" outlineLevel="2" x14ac:dyDescent="0.3"/>
    <row r="142" spans="1:10" outlineLevel="2" x14ac:dyDescent="0.3"/>
    <row r="143" spans="1:10" outlineLevel="2" x14ac:dyDescent="0.3"/>
    <row r="144" spans="1:10" outlineLevel="2" x14ac:dyDescent="0.3"/>
    <row r="145" outlineLevel="2" x14ac:dyDescent="0.3"/>
    <row r="146" outlineLevel="2" x14ac:dyDescent="0.3"/>
    <row r="147" outlineLevel="2" x14ac:dyDescent="0.3"/>
    <row r="148" outlineLevel="2" x14ac:dyDescent="0.3"/>
    <row r="149" outlineLevel="2" x14ac:dyDescent="0.3"/>
    <row r="150" outlineLevel="1" x14ac:dyDescent="0.3"/>
    <row r="151" outlineLevel="1" x14ac:dyDescent="0.3"/>
    <row r="152" outlineLevel="1" x14ac:dyDescent="0.3"/>
    <row r="153" outlineLevel="1" x14ac:dyDescent="0.3"/>
    <row r="154" outlineLevel="1" x14ac:dyDescent="0.3"/>
    <row r="155" outlineLevel="1" x14ac:dyDescent="0.3"/>
    <row r="156" outlineLevel="1" x14ac:dyDescent="0.3"/>
    <row r="157" outlineLevel="1" x14ac:dyDescent="0.3"/>
    <row r="158" outlineLevel="1" x14ac:dyDescent="0.3"/>
    <row r="159" outlineLevel="1" x14ac:dyDescent="0.3"/>
    <row r="160" outlineLevel="1" x14ac:dyDescent="0.3"/>
    <row r="161" outlineLevel="1" x14ac:dyDescent="0.3"/>
    <row r="162" outlineLevel="1" x14ac:dyDescent="0.3"/>
    <row r="163" outlineLevel="1" x14ac:dyDescent="0.3"/>
    <row r="164" outlineLevel="1" x14ac:dyDescent="0.3"/>
    <row r="165" outlineLevel="1" x14ac:dyDescent="0.3"/>
    <row r="166" outlineLevel="1" x14ac:dyDescent="0.3"/>
    <row r="167" outlineLevel="1" x14ac:dyDescent="0.3"/>
    <row r="168" outlineLevel="1" x14ac:dyDescent="0.3"/>
    <row r="169" outlineLevel="1" x14ac:dyDescent="0.3"/>
    <row r="170" outlineLevel="1" x14ac:dyDescent="0.3"/>
    <row r="171" outlineLevel="1" x14ac:dyDescent="0.3"/>
    <row r="172" outlineLevel="1" x14ac:dyDescent="0.3"/>
    <row r="173" outlineLevel="1" x14ac:dyDescent="0.3"/>
    <row r="174" outlineLevel="1" x14ac:dyDescent="0.3"/>
    <row r="175" outlineLevel="1" x14ac:dyDescent="0.3"/>
    <row r="176" outlineLevel="1" x14ac:dyDescent="0.3"/>
    <row r="177" outlineLevel="1" x14ac:dyDescent="0.3"/>
    <row r="178" outlineLevel="1" x14ac:dyDescent="0.3"/>
    <row r="179" outlineLevel="1" x14ac:dyDescent="0.3"/>
    <row r="180" outlineLevel="1" x14ac:dyDescent="0.3"/>
    <row r="181" outlineLevel="1" x14ac:dyDescent="0.3"/>
    <row r="182" outlineLevel="1" x14ac:dyDescent="0.3"/>
    <row r="183" outlineLevel="1" x14ac:dyDescent="0.3"/>
  </sheetData>
  <conditionalFormatting sqref="D25:J34">
    <cfRule type="cellIs" dxfId="5" priority="5" operator="lessThan">
      <formula>0.1</formula>
    </cfRule>
    <cfRule type="cellIs" dxfId="4" priority="6" operator="lessThan">
      <formula>0.1</formula>
    </cfRule>
  </conditionalFormatting>
  <conditionalFormatting sqref="D34:J34">
    <cfRule type="cellIs" dxfId="3" priority="4" operator="greaterThan">
      <formula>0.28</formula>
    </cfRule>
  </conditionalFormatting>
  <conditionalFormatting sqref="D48">
    <cfRule type="cellIs" dxfId="2" priority="3" operator="greaterThan">
      <formula>90000</formula>
    </cfRule>
  </conditionalFormatting>
  <conditionalFormatting sqref="D48:J48">
    <cfRule type="cellIs" dxfId="1" priority="1" operator="lessThan">
      <formula>90000</formula>
    </cfRule>
    <cfRule type="cellIs" dxfId="0" priority="2" operator="greaterThan">
      <formula>90000</formula>
    </cfRule>
  </conditionalFormatting>
  <dataValidations count="3">
    <dataValidation type="list" allowBlank="1" showInputMessage="1" showErrorMessage="1" sqref="D57">
      <formula1>$D$58:$D$60</formula1>
    </dataValidation>
    <dataValidation type="list" allowBlank="1" showInputMessage="1" showErrorMessage="1" sqref="B93">
      <formula1>$A$4:$A$13</formula1>
    </dataValidation>
    <dataValidation type="list" allowBlank="1" showInputMessage="1" showErrorMessage="1" sqref="B94">
      <formula1>$D$1:$J$1</formula1>
    </dataValidation>
  </dataValidations>
  <pageMargins left="0.7" right="0.7" top="0.75" bottom="0.75" header="0.3" footer="0.3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Basic Financial Analysis</vt:lpstr>
      <vt:lpstr>Advanced Financial Analysis</vt:lpstr>
      <vt:lpstr>Gross_Profit</vt:lpstr>
      <vt:lpstr>sensitivity</vt:lpstr>
      <vt:lpstr>sensitivity_driver</vt:lpstr>
      <vt:lpstr>SG_A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2022-07-29T13:44:43Z</dcterms:modified>
</cp:coreProperties>
</file>