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Diego\Plan de Estudios L0L\Dinámica Vehicular\"/>
    </mc:Choice>
  </mc:AlternateContent>
  <xr:revisionPtr revIDLastSave="0" documentId="13_ncr:1_{4742DC66-41A0-437A-9FED-692487075710}" xr6:coauthVersionLast="47" xr6:coauthVersionMax="47" xr10:uidLastSave="{00000000-0000-0000-0000-000000000000}"/>
  <bookViews>
    <workbookView xWindow="-120" yWindow="-120" windowWidth="29040" windowHeight="16440" tabRatio="790" xr2:uid="{2C6D793A-677C-4805-89CF-8B897A82D101}"/>
  </bookViews>
  <sheets>
    <sheet name="Tire Input + Gráficas" sheetId="9" r:id="rId1"/>
    <sheet name="Coef. del neumático fijo" sheetId="1" r:id="rId2"/>
    <sheet name="Cálculo coef. del neumático" sheetId="5" r:id="rId3"/>
    <sheet name="Resistencia aerodinámica sin Rr" sheetId="6" r:id="rId4"/>
    <sheet name="Resistencia aerodinámica con Rr" sheetId="7" r:id="rId5"/>
    <sheet name="Prestaciones" sheetId="11" r:id="rId6"/>
    <sheet name="Índice dinámico Nissan Sunny" sheetId="13" r:id="rId7"/>
    <sheet name="Suspensiones Nissan Sunny" sheetId="14" r:id="rId8"/>
    <sheet name="Cálculo carga vertical por rued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" i="15" l="1"/>
  <c r="D21" i="15" s="1"/>
  <c r="B21" i="15"/>
  <c r="P25" i="15"/>
  <c r="P22" i="15"/>
  <c r="C14" i="15"/>
  <c r="P6" i="15"/>
  <c r="P5" i="15"/>
  <c r="P3" i="15"/>
  <c r="P7" i="15" s="1"/>
  <c r="P2" i="15"/>
  <c r="D16" i="15"/>
  <c r="C16" i="15"/>
  <c r="C12" i="15"/>
  <c r="F24" i="13"/>
  <c r="F25" i="13"/>
  <c r="F23" i="13"/>
  <c r="F22" i="13"/>
  <c r="G26" i="13"/>
  <c r="C18" i="15"/>
  <c r="D18" i="15" s="1"/>
  <c r="D10" i="15"/>
  <c r="C10" i="15"/>
  <c r="C4" i="15"/>
  <c r="C2" i="15"/>
  <c r="C16" i="14"/>
  <c r="E15" i="13" l="1"/>
  <c r="M15" i="13" s="1"/>
  <c r="I19" i="13"/>
  <c r="G19" i="13"/>
  <c r="F18" i="13"/>
  <c r="M18" i="13" s="1"/>
  <c r="D18" i="13"/>
  <c r="O18" i="13" s="1"/>
  <c r="F17" i="13"/>
  <c r="D17" i="13"/>
  <c r="G17" i="13" s="1"/>
  <c r="D16" i="13"/>
  <c r="P16" i="13" s="1"/>
  <c r="D11" i="13"/>
  <c r="N11" i="13" s="1"/>
  <c r="E9" i="13"/>
  <c r="M9" i="13" s="1"/>
  <c r="F11" i="13"/>
  <c r="F10" i="13"/>
  <c r="F9" i="13"/>
  <c r="D9" i="13"/>
  <c r="P9" i="13" s="1"/>
  <c r="E8" i="13"/>
  <c r="H8" i="13" s="1"/>
  <c r="E7" i="13"/>
  <c r="H7" i="13" s="1"/>
  <c r="E24" i="13"/>
  <c r="M24" i="13" s="1"/>
  <c r="E25" i="13"/>
  <c r="O25" i="13" s="1"/>
  <c r="E23" i="13"/>
  <c r="O23" i="13" s="1"/>
  <c r="E22" i="13"/>
  <c r="N23" i="13"/>
  <c r="P23" i="13"/>
  <c r="N24" i="13"/>
  <c r="O24" i="13"/>
  <c r="P24" i="13"/>
  <c r="M25" i="13"/>
  <c r="N25" i="13"/>
  <c r="P25" i="13"/>
  <c r="P22" i="13"/>
  <c r="O22" i="13"/>
  <c r="N22" i="13"/>
  <c r="M22" i="13"/>
  <c r="M6" i="13"/>
  <c r="M12" i="13"/>
  <c r="M13" i="13"/>
  <c r="M14" i="13"/>
  <c r="M19" i="13"/>
  <c r="M5" i="13"/>
  <c r="N6" i="13"/>
  <c r="N7" i="13"/>
  <c r="N8" i="13"/>
  <c r="N10" i="13"/>
  <c r="N12" i="13"/>
  <c r="N13" i="13"/>
  <c r="N14" i="13"/>
  <c r="N15" i="13"/>
  <c r="N16" i="13"/>
  <c r="O6" i="13"/>
  <c r="O7" i="13"/>
  <c r="O12" i="13"/>
  <c r="O13" i="13"/>
  <c r="O14" i="13"/>
  <c r="O15" i="13"/>
  <c r="O19" i="13"/>
  <c r="H24" i="13"/>
  <c r="I24" i="13"/>
  <c r="H22" i="13"/>
  <c r="I22" i="13"/>
  <c r="G24" i="13"/>
  <c r="G22" i="13"/>
  <c r="P6" i="13"/>
  <c r="P7" i="13"/>
  <c r="P8" i="13"/>
  <c r="P10" i="13"/>
  <c r="P11" i="13"/>
  <c r="P12" i="13"/>
  <c r="P13" i="13"/>
  <c r="P14" i="13"/>
  <c r="P15" i="13"/>
  <c r="C20" i="13"/>
  <c r="E36" i="13" s="1"/>
  <c r="G6" i="13"/>
  <c r="H6" i="13"/>
  <c r="I6" i="13"/>
  <c r="G7" i="13"/>
  <c r="I7" i="13"/>
  <c r="G8" i="13"/>
  <c r="I8" i="13"/>
  <c r="I9" i="13"/>
  <c r="G10" i="13"/>
  <c r="I10" i="13"/>
  <c r="G11" i="13"/>
  <c r="I11" i="13"/>
  <c r="G12" i="13"/>
  <c r="H12" i="13"/>
  <c r="I12" i="13"/>
  <c r="G13" i="13"/>
  <c r="H13" i="13"/>
  <c r="I13" i="13"/>
  <c r="G14" i="13"/>
  <c r="H14" i="13"/>
  <c r="I14" i="13"/>
  <c r="G15" i="13"/>
  <c r="H15" i="13"/>
  <c r="I15" i="13"/>
  <c r="G16" i="13"/>
  <c r="I16" i="13"/>
  <c r="I17" i="13"/>
  <c r="G18" i="13"/>
  <c r="H18" i="13"/>
  <c r="I18" i="13"/>
  <c r="H19" i="13"/>
  <c r="H5" i="13"/>
  <c r="I5" i="13"/>
  <c r="E10" i="13" l="1"/>
  <c r="E11" i="13"/>
  <c r="M11" i="13" s="1"/>
  <c r="M23" i="13"/>
  <c r="E16" i="13"/>
  <c r="P19" i="13"/>
  <c r="N19" i="13"/>
  <c r="N18" i="13"/>
  <c r="P18" i="13"/>
  <c r="P17" i="13"/>
  <c r="N17" i="13"/>
  <c r="H9" i="13"/>
  <c r="O9" i="13"/>
  <c r="G9" i="13"/>
  <c r="N9" i="13"/>
  <c r="O8" i="13"/>
  <c r="M8" i="13"/>
  <c r="M7" i="13"/>
  <c r="O10" i="13" l="1"/>
  <c r="H10" i="13"/>
  <c r="M10" i="13"/>
  <c r="O16" i="13"/>
  <c r="M16" i="13"/>
  <c r="H16" i="13"/>
  <c r="E17" i="13"/>
  <c r="O11" i="13"/>
  <c r="H11" i="13"/>
  <c r="C23" i="13"/>
  <c r="H17" i="13" l="1"/>
  <c r="M17" i="13"/>
  <c r="M28" i="13" s="1"/>
  <c r="G36" i="13" s="1"/>
  <c r="O17" i="13"/>
  <c r="C25" i="13"/>
  <c r="I23" i="13"/>
  <c r="H23" i="13"/>
  <c r="G23" i="13"/>
  <c r="C26" i="13"/>
  <c r="I26" i="13" l="1"/>
  <c r="G25" i="13"/>
  <c r="I25" i="13"/>
  <c r="I28" i="13" s="1"/>
  <c r="H25" i="13"/>
  <c r="H28" i="13" s="1"/>
  <c r="C28" i="13"/>
  <c r="F36" i="13" s="1"/>
  <c r="AA4" i="11"/>
  <c r="AA7" i="11"/>
  <c r="AA8" i="11"/>
  <c r="AE3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3" i="11"/>
  <c r="AG44" i="11"/>
  <c r="AG45" i="11"/>
  <c r="AG46" i="11"/>
  <c r="AG47" i="11"/>
  <c r="AG48" i="11"/>
  <c r="AG49" i="11"/>
  <c r="AG50" i="11"/>
  <c r="AG51" i="11"/>
  <c r="AG52" i="11"/>
  <c r="AG53" i="11"/>
  <c r="AG54" i="11"/>
  <c r="AG55" i="11"/>
  <c r="AG56" i="11"/>
  <c r="AG57" i="11"/>
  <c r="AG58" i="11"/>
  <c r="AG59" i="11"/>
  <c r="AG60" i="11"/>
  <c r="AG61" i="11"/>
  <c r="AG62" i="11"/>
  <c r="AG63" i="11"/>
  <c r="AG64" i="11"/>
  <c r="AG65" i="11"/>
  <c r="AG66" i="11"/>
  <c r="AG67" i="11"/>
  <c r="AG68" i="11"/>
  <c r="AG69" i="11"/>
  <c r="AG70" i="11"/>
  <c r="AG71" i="11"/>
  <c r="AG72" i="11"/>
  <c r="AG73" i="11"/>
  <c r="AG74" i="11"/>
  <c r="AG75" i="11"/>
  <c r="AG76" i="11"/>
  <c r="AG77" i="11"/>
  <c r="AG78" i="11"/>
  <c r="AG79" i="11"/>
  <c r="AG80" i="11"/>
  <c r="AG81" i="11"/>
  <c r="AG82" i="11"/>
  <c r="AG83" i="11"/>
  <c r="AG84" i="11"/>
  <c r="AG85" i="11"/>
  <c r="AG86" i="11"/>
  <c r="AG87" i="11"/>
  <c r="AG88" i="11"/>
  <c r="AG89" i="11"/>
  <c r="AG90" i="11"/>
  <c r="AG91" i="11"/>
  <c r="AG5" i="11"/>
  <c r="AG6" i="11"/>
  <c r="AG3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5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89" i="11"/>
  <c r="AB90" i="11"/>
  <c r="AB91" i="11"/>
  <c r="AB92" i="11"/>
  <c r="AB9" i="11"/>
  <c r="AB8" i="11"/>
  <c r="AB7" i="11"/>
  <c r="AB6" i="11"/>
  <c r="AB5" i="11"/>
  <c r="AB4" i="11"/>
  <c r="AB3" i="11"/>
  <c r="I31" i="7"/>
  <c r="J31" i="7"/>
  <c r="K31" i="7"/>
  <c r="N31" i="7" s="1"/>
  <c r="O31" i="7" s="1"/>
  <c r="P31" i="7" s="1"/>
  <c r="L31" i="7"/>
  <c r="M31" i="7"/>
  <c r="I32" i="7"/>
  <c r="J32" i="7"/>
  <c r="K32" i="7"/>
  <c r="N32" i="7" s="1"/>
  <c r="O32" i="7" s="1"/>
  <c r="P32" i="7" s="1"/>
  <c r="L32" i="7"/>
  <c r="M32" i="7"/>
  <c r="I33" i="7"/>
  <c r="J33" i="7"/>
  <c r="K33" i="7"/>
  <c r="L33" i="7"/>
  <c r="N33" i="7" s="1"/>
  <c r="O33" i="7" s="1"/>
  <c r="P33" i="7" s="1"/>
  <c r="M33" i="7"/>
  <c r="I34" i="7"/>
  <c r="J34" i="7"/>
  <c r="K34" i="7"/>
  <c r="N34" i="7" s="1"/>
  <c r="O34" i="7" s="1"/>
  <c r="P34" i="7" s="1"/>
  <c r="L34" i="7"/>
  <c r="M34" i="7"/>
  <c r="I35" i="7"/>
  <c r="J35" i="7"/>
  <c r="K35" i="7"/>
  <c r="N35" i="7" s="1"/>
  <c r="O35" i="7" s="1"/>
  <c r="P35" i="7" s="1"/>
  <c r="L35" i="7"/>
  <c r="M35" i="7"/>
  <c r="I36" i="7"/>
  <c r="J36" i="7"/>
  <c r="K36" i="7"/>
  <c r="L36" i="7"/>
  <c r="N36" i="7" s="1"/>
  <c r="O36" i="7" s="1"/>
  <c r="P36" i="7" s="1"/>
  <c r="M36" i="7"/>
  <c r="I37" i="7"/>
  <c r="J37" i="7"/>
  <c r="K37" i="7"/>
  <c r="N37" i="7" s="1"/>
  <c r="O37" i="7" s="1"/>
  <c r="P37" i="7" s="1"/>
  <c r="L37" i="7"/>
  <c r="M37" i="7"/>
  <c r="I38" i="7"/>
  <c r="J38" i="7"/>
  <c r="K38" i="7"/>
  <c r="N38" i="7" s="1"/>
  <c r="O38" i="7" s="1"/>
  <c r="P38" i="7" s="1"/>
  <c r="L38" i="7"/>
  <c r="M38" i="7"/>
  <c r="I39" i="7"/>
  <c r="J39" i="7"/>
  <c r="K39" i="7"/>
  <c r="L39" i="7"/>
  <c r="N39" i="7" s="1"/>
  <c r="O39" i="7" s="1"/>
  <c r="P39" i="7" s="1"/>
  <c r="M39" i="7"/>
  <c r="I40" i="7"/>
  <c r="J40" i="7"/>
  <c r="K40" i="7"/>
  <c r="N40" i="7" s="1"/>
  <c r="O40" i="7" s="1"/>
  <c r="P40" i="7" s="1"/>
  <c r="L40" i="7"/>
  <c r="M40" i="7"/>
  <c r="I41" i="7"/>
  <c r="J41" i="7"/>
  <c r="K41" i="7"/>
  <c r="N41" i="7" s="1"/>
  <c r="O41" i="7" s="1"/>
  <c r="P41" i="7" s="1"/>
  <c r="L41" i="7"/>
  <c r="M41" i="7"/>
  <c r="I42" i="7"/>
  <c r="J42" i="7"/>
  <c r="K42" i="7"/>
  <c r="L42" i="7"/>
  <c r="N42" i="7" s="1"/>
  <c r="O42" i="7" s="1"/>
  <c r="P42" i="7" s="1"/>
  <c r="M42" i="7"/>
  <c r="I43" i="7"/>
  <c r="J43" i="7"/>
  <c r="K43" i="7"/>
  <c r="N43" i="7" s="1"/>
  <c r="O43" i="7" s="1"/>
  <c r="P43" i="7" s="1"/>
  <c r="L43" i="7"/>
  <c r="M43" i="7"/>
  <c r="I44" i="7"/>
  <c r="J44" i="7"/>
  <c r="K44" i="7"/>
  <c r="N44" i="7" s="1"/>
  <c r="O44" i="7" s="1"/>
  <c r="P44" i="7" s="1"/>
  <c r="L44" i="7"/>
  <c r="M44" i="7"/>
  <c r="I45" i="7"/>
  <c r="J45" i="7"/>
  <c r="K45" i="7"/>
  <c r="L45" i="7"/>
  <c r="M45" i="7"/>
  <c r="N45" i="7"/>
  <c r="O45" i="7"/>
  <c r="P45" i="7" s="1"/>
  <c r="I46" i="7"/>
  <c r="J46" i="7"/>
  <c r="K46" i="7"/>
  <c r="N46" i="7" s="1"/>
  <c r="O46" i="7" s="1"/>
  <c r="P46" i="7" s="1"/>
  <c r="L46" i="7"/>
  <c r="M46" i="7"/>
  <c r="I47" i="7"/>
  <c r="J47" i="7"/>
  <c r="K47" i="7"/>
  <c r="N47" i="7" s="1"/>
  <c r="O47" i="7" s="1"/>
  <c r="P47" i="7" s="1"/>
  <c r="L47" i="7"/>
  <c r="M47" i="7"/>
  <c r="I48" i="7"/>
  <c r="J48" i="7"/>
  <c r="K48" i="7"/>
  <c r="L48" i="7"/>
  <c r="M48" i="7"/>
  <c r="N48" i="7"/>
  <c r="O48" i="7"/>
  <c r="P48" i="7" s="1"/>
  <c r="I49" i="7"/>
  <c r="J49" i="7"/>
  <c r="K49" i="7"/>
  <c r="N49" i="7" s="1"/>
  <c r="O49" i="7" s="1"/>
  <c r="P49" i="7" s="1"/>
  <c r="L49" i="7"/>
  <c r="M49" i="7"/>
  <c r="I50" i="7"/>
  <c r="J50" i="7"/>
  <c r="K50" i="7"/>
  <c r="N50" i="7" s="1"/>
  <c r="O50" i="7" s="1"/>
  <c r="P50" i="7" s="1"/>
  <c r="L50" i="7"/>
  <c r="M50" i="7"/>
  <c r="I51" i="7"/>
  <c r="O51" i="7" s="1"/>
  <c r="P51" i="7" s="1"/>
  <c r="J51" i="7"/>
  <c r="K51" i="7"/>
  <c r="L51" i="7"/>
  <c r="M51" i="7"/>
  <c r="N51" i="7"/>
  <c r="I52" i="7"/>
  <c r="J52" i="7"/>
  <c r="K52" i="7"/>
  <c r="N52" i="7" s="1"/>
  <c r="O52" i="7" s="1"/>
  <c r="P52" i="7" s="1"/>
  <c r="L52" i="7"/>
  <c r="M52" i="7"/>
  <c r="I53" i="7"/>
  <c r="J53" i="7"/>
  <c r="K53" i="7"/>
  <c r="N53" i="7" s="1"/>
  <c r="O53" i="7" s="1"/>
  <c r="P53" i="7" s="1"/>
  <c r="L53" i="7"/>
  <c r="M53" i="7"/>
  <c r="I54" i="7"/>
  <c r="O54" i="7" s="1"/>
  <c r="P54" i="7" s="1"/>
  <c r="J54" i="7"/>
  <c r="K54" i="7"/>
  <c r="L54" i="7"/>
  <c r="M54" i="7"/>
  <c r="N54" i="7"/>
  <c r="I55" i="7"/>
  <c r="J55" i="7"/>
  <c r="K55" i="7"/>
  <c r="N55" i="7" s="1"/>
  <c r="O55" i="7" s="1"/>
  <c r="P55" i="7" s="1"/>
  <c r="L55" i="7"/>
  <c r="M55" i="7"/>
  <c r="I56" i="7"/>
  <c r="J56" i="7"/>
  <c r="K56" i="7"/>
  <c r="N56" i="7" s="1"/>
  <c r="O56" i="7" s="1"/>
  <c r="P56" i="7" s="1"/>
  <c r="L56" i="7"/>
  <c r="M56" i="7"/>
  <c r="I57" i="7"/>
  <c r="J57" i="7"/>
  <c r="K57" i="7"/>
  <c r="L57" i="7"/>
  <c r="M57" i="7"/>
  <c r="N57" i="7"/>
  <c r="O57" i="7"/>
  <c r="P57" i="7" s="1"/>
  <c r="I58" i="7"/>
  <c r="J58" i="7"/>
  <c r="K58" i="7"/>
  <c r="N58" i="7" s="1"/>
  <c r="O58" i="7" s="1"/>
  <c r="P58" i="7" s="1"/>
  <c r="L58" i="7"/>
  <c r="M58" i="7"/>
  <c r="I59" i="7"/>
  <c r="J59" i="7"/>
  <c r="K59" i="7"/>
  <c r="N59" i="7" s="1"/>
  <c r="O59" i="7" s="1"/>
  <c r="P59" i="7" s="1"/>
  <c r="L59" i="7"/>
  <c r="M59" i="7"/>
  <c r="I60" i="7"/>
  <c r="J60" i="7"/>
  <c r="K60" i="7"/>
  <c r="L60" i="7"/>
  <c r="M60" i="7"/>
  <c r="N60" i="7"/>
  <c r="O60" i="7"/>
  <c r="P60" i="7" s="1"/>
  <c r="I61" i="7"/>
  <c r="J61" i="7"/>
  <c r="K61" i="7"/>
  <c r="N61" i="7" s="1"/>
  <c r="O61" i="7" s="1"/>
  <c r="P61" i="7" s="1"/>
  <c r="L61" i="7"/>
  <c r="M61" i="7"/>
  <c r="I62" i="7"/>
  <c r="J62" i="7"/>
  <c r="K62" i="7"/>
  <c r="N62" i="7" s="1"/>
  <c r="O62" i="7" s="1"/>
  <c r="P62" i="7" s="1"/>
  <c r="L62" i="7"/>
  <c r="M62" i="7"/>
  <c r="I63" i="7"/>
  <c r="O63" i="7" s="1"/>
  <c r="P63" i="7" s="1"/>
  <c r="J63" i="7"/>
  <c r="K63" i="7"/>
  <c r="L63" i="7"/>
  <c r="M63" i="7"/>
  <c r="N63" i="7" s="1"/>
  <c r="I64" i="7"/>
  <c r="J64" i="7"/>
  <c r="K64" i="7"/>
  <c r="N64" i="7" s="1"/>
  <c r="O64" i="7" s="1"/>
  <c r="P64" i="7" s="1"/>
  <c r="L64" i="7"/>
  <c r="M64" i="7"/>
  <c r="I65" i="7"/>
  <c r="J65" i="7"/>
  <c r="K65" i="7"/>
  <c r="N65" i="7" s="1"/>
  <c r="O65" i="7" s="1"/>
  <c r="P65" i="7" s="1"/>
  <c r="L65" i="7"/>
  <c r="M65" i="7"/>
  <c r="I66" i="7"/>
  <c r="J66" i="7"/>
  <c r="K66" i="7"/>
  <c r="L66" i="7"/>
  <c r="M66" i="7"/>
  <c r="N66" i="7" s="1"/>
  <c r="I67" i="7"/>
  <c r="J67" i="7"/>
  <c r="K67" i="7"/>
  <c r="N67" i="7" s="1"/>
  <c r="O67" i="7" s="1"/>
  <c r="P67" i="7" s="1"/>
  <c r="L67" i="7"/>
  <c r="M67" i="7"/>
  <c r="I68" i="7"/>
  <c r="J68" i="7"/>
  <c r="K68" i="7"/>
  <c r="N68" i="7" s="1"/>
  <c r="O68" i="7" s="1"/>
  <c r="P68" i="7" s="1"/>
  <c r="L68" i="7"/>
  <c r="M68" i="7"/>
  <c r="I69" i="7"/>
  <c r="O69" i="7" s="1"/>
  <c r="P69" i="7" s="1"/>
  <c r="J69" i="7"/>
  <c r="K69" i="7"/>
  <c r="L69" i="7"/>
  <c r="M69" i="7"/>
  <c r="N69" i="7" s="1"/>
  <c r="I70" i="7"/>
  <c r="J70" i="7"/>
  <c r="K70" i="7"/>
  <c r="N70" i="7" s="1"/>
  <c r="O70" i="7" s="1"/>
  <c r="P70" i="7" s="1"/>
  <c r="L70" i="7"/>
  <c r="M70" i="7"/>
  <c r="I71" i="7"/>
  <c r="J71" i="7"/>
  <c r="K71" i="7"/>
  <c r="N71" i="7" s="1"/>
  <c r="O71" i="7" s="1"/>
  <c r="P71" i="7" s="1"/>
  <c r="L71" i="7"/>
  <c r="M71" i="7"/>
  <c r="I72" i="7"/>
  <c r="J72" i="7"/>
  <c r="K72" i="7"/>
  <c r="L72" i="7"/>
  <c r="M72" i="7"/>
  <c r="N72" i="7" s="1"/>
  <c r="O72" i="7" s="1"/>
  <c r="P72" i="7" s="1"/>
  <c r="I73" i="7"/>
  <c r="J73" i="7"/>
  <c r="K73" i="7"/>
  <c r="N73" i="7" s="1"/>
  <c r="O73" i="7" s="1"/>
  <c r="P73" i="7" s="1"/>
  <c r="L73" i="7"/>
  <c r="M73" i="7"/>
  <c r="I74" i="7"/>
  <c r="J74" i="7"/>
  <c r="K74" i="7"/>
  <c r="N74" i="7" s="1"/>
  <c r="O74" i="7" s="1"/>
  <c r="P74" i="7" s="1"/>
  <c r="L74" i="7"/>
  <c r="M74" i="7"/>
  <c r="I75" i="7"/>
  <c r="J75" i="7"/>
  <c r="K75" i="7"/>
  <c r="L75" i="7"/>
  <c r="M75" i="7"/>
  <c r="N75" i="7" s="1"/>
  <c r="O75" i="7" s="1"/>
  <c r="P75" i="7" s="1"/>
  <c r="I76" i="7"/>
  <c r="J76" i="7"/>
  <c r="K76" i="7"/>
  <c r="N76" i="7" s="1"/>
  <c r="O76" i="7" s="1"/>
  <c r="P76" i="7" s="1"/>
  <c r="L76" i="7"/>
  <c r="M76" i="7"/>
  <c r="I77" i="7"/>
  <c r="J77" i="7"/>
  <c r="K77" i="7"/>
  <c r="N77" i="7" s="1"/>
  <c r="O77" i="7" s="1"/>
  <c r="P77" i="7" s="1"/>
  <c r="L77" i="7"/>
  <c r="M77" i="7"/>
  <c r="I78" i="7"/>
  <c r="J78" i="7"/>
  <c r="K78" i="7"/>
  <c r="L78" i="7"/>
  <c r="M78" i="7"/>
  <c r="N78" i="7" s="1"/>
  <c r="O78" i="7" s="1"/>
  <c r="P78" i="7" s="1"/>
  <c r="I79" i="7"/>
  <c r="J79" i="7"/>
  <c r="K79" i="7"/>
  <c r="N79" i="7" s="1"/>
  <c r="O79" i="7" s="1"/>
  <c r="P79" i="7" s="1"/>
  <c r="L79" i="7"/>
  <c r="M79" i="7"/>
  <c r="I80" i="7"/>
  <c r="J80" i="7"/>
  <c r="K80" i="7"/>
  <c r="N80" i="7" s="1"/>
  <c r="O80" i="7" s="1"/>
  <c r="P80" i="7" s="1"/>
  <c r="L80" i="7"/>
  <c r="M80" i="7"/>
  <c r="I81" i="7"/>
  <c r="J81" i="7"/>
  <c r="K81" i="7"/>
  <c r="L81" i="7"/>
  <c r="M81" i="7"/>
  <c r="N81" i="7" s="1"/>
  <c r="O81" i="7" s="1"/>
  <c r="P81" i="7" s="1"/>
  <c r="I82" i="7"/>
  <c r="J82" i="7"/>
  <c r="K82" i="7"/>
  <c r="N82" i="7" s="1"/>
  <c r="O82" i="7" s="1"/>
  <c r="P82" i="7" s="1"/>
  <c r="L82" i="7"/>
  <c r="M82" i="7"/>
  <c r="I83" i="7"/>
  <c r="J83" i="7"/>
  <c r="K83" i="7"/>
  <c r="N83" i="7" s="1"/>
  <c r="O83" i="7" s="1"/>
  <c r="P83" i="7" s="1"/>
  <c r="L83" i="7"/>
  <c r="M83" i="7"/>
  <c r="I84" i="7"/>
  <c r="J84" i="7"/>
  <c r="K84" i="7"/>
  <c r="L84" i="7"/>
  <c r="M84" i="7"/>
  <c r="N84" i="7" s="1"/>
  <c r="I85" i="7"/>
  <c r="J85" i="7"/>
  <c r="K85" i="7"/>
  <c r="N85" i="7" s="1"/>
  <c r="O85" i="7" s="1"/>
  <c r="P85" i="7" s="1"/>
  <c r="L85" i="7"/>
  <c r="M85" i="7"/>
  <c r="I86" i="7"/>
  <c r="J86" i="7"/>
  <c r="K86" i="7"/>
  <c r="N86" i="7" s="1"/>
  <c r="O86" i="7" s="1"/>
  <c r="P86" i="7" s="1"/>
  <c r="L86" i="7"/>
  <c r="M86" i="7"/>
  <c r="I87" i="7"/>
  <c r="J87" i="7"/>
  <c r="K87" i="7"/>
  <c r="L87" i="7"/>
  <c r="M87" i="7"/>
  <c r="N87" i="7" s="1"/>
  <c r="O87" i="7" s="1"/>
  <c r="P87" i="7" s="1"/>
  <c r="I88" i="7"/>
  <c r="J88" i="7"/>
  <c r="K88" i="7"/>
  <c r="N88" i="7" s="1"/>
  <c r="O88" i="7" s="1"/>
  <c r="P88" i="7" s="1"/>
  <c r="L88" i="7"/>
  <c r="M88" i="7"/>
  <c r="I89" i="7"/>
  <c r="J89" i="7"/>
  <c r="K89" i="7"/>
  <c r="N89" i="7" s="1"/>
  <c r="O89" i="7" s="1"/>
  <c r="P89" i="7" s="1"/>
  <c r="L89" i="7"/>
  <c r="M89" i="7"/>
  <c r="I90" i="7"/>
  <c r="J90" i="7"/>
  <c r="K90" i="7"/>
  <c r="L90" i="7"/>
  <c r="M90" i="7"/>
  <c r="N90" i="7" s="1"/>
  <c r="O90" i="7" s="1"/>
  <c r="P90" i="7" s="1"/>
  <c r="I91" i="7"/>
  <c r="J91" i="7"/>
  <c r="K91" i="7"/>
  <c r="N91" i="7" s="1"/>
  <c r="O91" i="7" s="1"/>
  <c r="P91" i="7" s="1"/>
  <c r="L91" i="7"/>
  <c r="M91" i="7"/>
  <c r="I92" i="7"/>
  <c r="J92" i="7"/>
  <c r="K92" i="7"/>
  <c r="N92" i="7" s="1"/>
  <c r="O92" i="7" s="1"/>
  <c r="P92" i="7" s="1"/>
  <c r="L92" i="7"/>
  <c r="M92" i="7"/>
  <c r="I93" i="7"/>
  <c r="J93" i="7"/>
  <c r="K93" i="7"/>
  <c r="L93" i="7"/>
  <c r="M93" i="7"/>
  <c r="N93" i="7" s="1"/>
  <c r="O93" i="7" s="1"/>
  <c r="P93" i="7" s="1"/>
  <c r="I94" i="7"/>
  <c r="J94" i="7"/>
  <c r="K94" i="7"/>
  <c r="N94" i="7" s="1"/>
  <c r="O94" i="7" s="1"/>
  <c r="P94" i="7" s="1"/>
  <c r="L94" i="7"/>
  <c r="M94" i="7"/>
  <c r="I95" i="7"/>
  <c r="J95" i="7"/>
  <c r="K95" i="7"/>
  <c r="N95" i="7" s="1"/>
  <c r="O95" i="7" s="1"/>
  <c r="P95" i="7" s="1"/>
  <c r="L95" i="7"/>
  <c r="M95" i="7"/>
  <c r="I96" i="7"/>
  <c r="J96" i="7"/>
  <c r="K96" i="7"/>
  <c r="L96" i="7"/>
  <c r="M96" i="7"/>
  <c r="N96" i="7" s="1"/>
  <c r="I97" i="7"/>
  <c r="J97" i="7"/>
  <c r="K97" i="7"/>
  <c r="N97" i="7" s="1"/>
  <c r="O97" i="7" s="1"/>
  <c r="P97" i="7" s="1"/>
  <c r="L97" i="7"/>
  <c r="M97" i="7"/>
  <c r="I98" i="7"/>
  <c r="J98" i="7"/>
  <c r="K98" i="7"/>
  <c r="N98" i="7" s="1"/>
  <c r="O98" i="7" s="1"/>
  <c r="P98" i="7" s="1"/>
  <c r="L98" i="7"/>
  <c r="M98" i="7"/>
  <c r="I99" i="7"/>
  <c r="J99" i="7"/>
  <c r="K99" i="7"/>
  <c r="L99" i="7"/>
  <c r="M99" i="7"/>
  <c r="N99" i="7" s="1"/>
  <c r="O99" i="7" s="1"/>
  <c r="P99" i="7" s="1"/>
  <c r="I100" i="7"/>
  <c r="J100" i="7"/>
  <c r="K100" i="7"/>
  <c r="N100" i="7" s="1"/>
  <c r="O100" i="7" s="1"/>
  <c r="P100" i="7" s="1"/>
  <c r="L100" i="7"/>
  <c r="M100" i="7"/>
  <c r="I101" i="7"/>
  <c r="J101" i="7"/>
  <c r="K101" i="7"/>
  <c r="N101" i="7" s="1"/>
  <c r="O101" i="7" s="1"/>
  <c r="P101" i="7" s="1"/>
  <c r="L101" i="7"/>
  <c r="M101" i="7"/>
  <c r="I102" i="7"/>
  <c r="J102" i="7"/>
  <c r="K102" i="7"/>
  <c r="L102" i="7"/>
  <c r="M102" i="7"/>
  <c r="N102" i="7" s="1"/>
  <c r="O102" i="7" s="1"/>
  <c r="P102" i="7" s="1"/>
  <c r="I103" i="7"/>
  <c r="J103" i="7"/>
  <c r="K103" i="7"/>
  <c r="N103" i="7" s="1"/>
  <c r="O103" i="7" s="1"/>
  <c r="P103" i="7" s="1"/>
  <c r="L103" i="7"/>
  <c r="M103" i="7"/>
  <c r="I104" i="7"/>
  <c r="J104" i="7"/>
  <c r="K104" i="7"/>
  <c r="N104" i="7" s="1"/>
  <c r="O104" i="7" s="1"/>
  <c r="P104" i="7" s="1"/>
  <c r="L104" i="7"/>
  <c r="M104" i="7"/>
  <c r="I105" i="7"/>
  <c r="O105" i="7" s="1"/>
  <c r="P105" i="7" s="1"/>
  <c r="J105" i="7"/>
  <c r="K105" i="7"/>
  <c r="L105" i="7"/>
  <c r="M105" i="7"/>
  <c r="N105" i="7" s="1"/>
  <c r="I106" i="7"/>
  <c r="J106" i="7"/>
  <c r="K106" i="7"/>
  <c r="N106" i="7" s="1"/>
  <c r="O106" i="7" s="1"/>
  <c r="P106" i="7" s="1"/>
  <c r="L106" i="7"/>
  <c r="M106" i="7"/>
  <c r="I107" i="7"/>
  <c r="J107" i="7"/>
  <c r="K107" i="7"/>
  <c r="N107" i="7" s="1"/>
  <c r="O107" i="7" s="1"/>
  <c r="P107" i="7" s="1"/>
  <c r="L107" i="7"/>
  <c r="M107" i="7"/>
  <c r="I108" i="7"/>
  <c r="J108" i="7"/>
  <c r="K108" i="7"/>
  <c r="L108" i="7"/>
  <c r="M108" i="7"/>
  <c r="N108" i="7" s="1"/>
  <c r="I109" i="7"/>
  <c r="J109" i="7"/>
  <c r="K109" i="7"/>
  <c r="N109" i="7" s="1"/>
  <c r="O109" i="7" s="1"/>
  <c r="P109" i="7" s="1"/>
  <c r="L109" i="7"/>
  <c r="M109" i="7"/>
  <c r="I110" i="7"/>
  <c r="J110" i="7"/>
  <c r="K110" i="7"/>
  <c r="N110" i="7" s="1"/>
  <c r="O110" i="7" s="1"/>
  <c r="P110" i="7" s="1"/>
  <c r="L110" i="7"/>
  <c r="M110" i="7"/>
  <c r="I111" i="7"/>
  <c r="J111" i="7"/>
  <c r="K111" i="7"/>
  <c r="L111" i="7"/>
  <c r="M111" i="7"/>
  <c r="N111" i="7" s="1"/>
  <c r="O111" i="7" s="1"/>
  <c r="P111" i="7" s="1"/>
  <c r="I112" i="7"/>
  <c r="J112" i="7"/>
  <c r="K112" i="7"/>
  <c r="N112" i="7" s="1"/>
  <c r="O112" i="7" s="1"/>
  <c r="P112" i="7" s="1"/>
  <c r="L112" i="7"/>
  <c r="M112" i="7"/>
  <c r="I113" i="7"/>
  <c r="J113" i="7"/>
  <c r="K113" i="7"/>
  <c r="N113" i="7" s="1"/>
  <c r="O113" i="7" s="1"/>
  <c r="P113" i="7" s="1"/>
  <c r="L113" i="7"/>
  <c r="M113" i="7"/>
  <c r="I114" i="7"/>
  <c r="J114" i="7"/>
  <c r="K114" i="7"/>
  <c r="L114" i="7"/>
  <c r="M114" i="7"/>
  <c r="N114" i="7" s="1"/>
  <c r="O114" i="7" s="1"/>
  <c r="P114" i="7" s="1"/>
  <c r="I115" i="7"/>
  <c r="J115" i="7"/>
  <c r="K115" i="7"/>
  <c r="N115" i="7" s="1"/>
  <c r="O115" i="7" s="1"/>
  <c r="P115" i="7" s="1"/>
  <c r="L115" i="7"/>
  <c r="M115" i="7"/>
  <c r="I116" i="7"/>
  <c r="J116" i="7"/>
  <c r="K116" i="7"/>
  <c r="N116" i="7" s="1"/>
  <c r="O116" i="7" s="1"/>
  <c r="P116" i="7" s="1"/>
  <c r="L116" i="7"/>
  <c r="M116" i="7"/>
  <c r="I117" i="7"/>
  <c r="J117" i="7"/>
  <c r="K117" i="7"/>
  <c r="L117" i="7"/>
  <c r="M117" i="7"/>
  <c r="N117" i="7" s="1"/>
  <c r="O117" i="7" s="1"/>
  <c r="P117" i="7" s="1"/>
  <c r="I118" i="7"/>
  <c r="J118" i="7"/>
  <c r="K118" i="7"/>
  <c r="N118" i="7" s="1"/>
  <c r="O118" i="7" s="1"/>
  <c r="P118" i="7" s="1"/>
  <c r="L118" i="7"/>
  <c r="M118" i="7"/>
  <c r="I119" i="7"/>
  <c r="J119" i="7"/>
  <c r="K119" i="7"/>
  <c r="N119" i="7" s="1"/>
  <c r="O119" i="7" s="1"/>
  <c r="P119" i="7" s="1"/>
  <c r="L119" i="7"/>
  <c r="M119" i="7"/>
  <c r="I120" i="7"/>
  <c r="J120" i="7"/>
  <c r="K120" i="7"/>
  <c r="L120" i="7"/>
  <c r="M120" i="7"/>
  <c r="N120" i="7" s="1"/>
  <c r="O120" i="7" s="1"/>
  <c r="P120" i="7" s="1"/>
  <c r="I121" i="7"/>
  <c r="J121" i="7"/>
  <c r="K121" i="7"/>
  <c r="N121" i="7" s="1"/>
  <c r="O121" i="7" s="1"/>
  <c r="P121" i="7" s="1"/>
  <c r="L121" i="7"/>
  <c r="M121" i="7"/>
  <c r="I122" i="7"/>
  <c r="J122" i="7"/>
  <c r="K122" i="7"/>
  <c r="N122" i="7" s="1"/>
  <c r="O122" i="7" s="1"/>
  <c r="P122" i="7" s="1"/>
  <c r="L122" i="7"/>
  <c r="M122" i="7"/>
  <c r="I123" i="7"/>
  <c r="J123" i="7"/>
  <c r="K123" i="7"/>
  <c r="L123" i="7"/>
  <c r="M123" i="7"/>
  <c r="N123" i="7" s="1"/>
  <c r="O123" i="7" s="1"/>
  <c r="P123" i="7" s="1"/>
  <c r="I124" i="7"/>
  <c r="J124" i="7"/>
  <c r="K124" i="7"/>
  <c r="N124" i="7" s="1"/>
  <c r="O124" i="7" s="1"/>
  <c r="P124" i="7" s="1"/>
  <c r="L124" i="7"/>
  <c r="M124" i="7"/>
  <c r="I125" i="7"/>
  <c r="J125" i="7"/>
  <c r="K125" i="7"/>
  <c r="N125" i="7" s="1"/>
  <c r="O125" i="7" s="1"/>
  <c r="P125" i="7" s="1"/>
  <c r="L125" i="7"/>
  <c r="M125" i="7"/>
  <c r="I126" i="7"/>
  <c r="J126" i="7"/>
  <c r="K126" i="7"/>
  <c r="L126" i="7"/>
  <c r="M126" i="7"/>
  <c r="N126" i="7" s="1"/>
  <c r="I127" i="7"/>
  <c r="J127" i="7"/>
  <c r="K127" i="7"/>
  <c r="N127" i="7" s="1"/>
  <c r="O127" i="7" s="1"/>
  <c r="P127" i="7" s="1"/>
  <c r="L127" i="7"/>
  <c r="M127" i="7"/>
  <c r="I128" i="7"/>
  <c r="J128" i="7"/>
  <c r="K128" i="7"/>
  <c r="N128" i="7" s="1"/>
  <c r="O128" i="7" s="1"/>
  <c r="P128" i="7" s="1"/>
  <c r="L128" i="7"/>
  <c r="M128" i="7"/>
  <c r="I129" i="7"/>
  <c r="O129" i="7" s="1"/>
  <c r="P129" i="7" s="1"/>
  <c r="J129" i="7"/>
  <c r="K129" i="7"/>
  <c r="L129" i="7"/>
  <c r="M129" i="7"/>
  <c r="N129" i="7" s="1"/>
  <c r="I130" i="7"/>
  <c r="J130" i="7"/>
  <c r="K130" i="7"/>
  <c r="N130" i="7" s="1"/>
  <c r="O130" i="7" s="1"/>
  <c r="P130" i="7" s="1"/>
  <c r="L130" i="7"/>
  <c r="M130" i="7"/>
  <c r="I131" i="7"/>
  <c r="J131" i="7"/>
  <c r="K131" i="7"/>
  <c r="N131" i="7" s="1"/>
  <c r="O131" i="7" s="1"/>
  <c r="P131" i="7" s="1"/>
  <c r="L131" i="7"/>
  <c r="M131" i="7"/>
  <c r="I132" i="7"/>
  <c r="J132" i="7"/>
  <c r="K132" i="7"/>
  <c r="L132" i="7"/>
  <c r="M132" i="7"/>
  <c r="N132" i="7" s="1"/>
  <c r="I133" i="7"/>
  <c r="J133" i="7"/>
  <c r="K133" i="7"/>
  <c r="N133" i="7" s="1"/>
  <c r="O133" i="7" s="1"/>
  <c r="P133" i="7" s="1"/>
  <c r="L133" i="7"/>
  <c r="M133" i="7"/>
  <c r="I134" i="7"/>
  <c r="J134" i="7"/>
  <c r="K134" i="7"/>
  <c r="N134" i="7" s="1"/>
  <c r="O134" i="7" s="1"/>
  <c r="P134" i="7" s="1"/>
  <c r="L134" i="7"/>
  <c r="M134" i="7"/>
  <c r="I135" i="7"/>
  <c r="O135" i="7" s="1"/>
  <c r="P135" i="7" s="1"/>
  <c r="J135" i="7"/>
  <c r="K135" i="7"/>
  <c r="L135" i="7"/>
  <c r="M135" i="7"/>
  <c r="N135" i="7" s="1"/>
  <c r="I136" i="7"/>
  <c r="J136" i="7"/>
  <c r="K136" i="7"/>
  <c r="N136" i="7" s="1"/>
  <c r="O136" i="7" s="1"/>
  <c r="P136" i="7" s="1"/>
  <c r="L136" i="7"/>
  <c r="M136" i="7"/>
  <c r="I137" i="7"/>
  <c r="J137" i="7"/>
  <c r="K137" i="7"/>
  <c r="N137" i="7" s="1"/>
  <c r="O137" i="7" s="1"/>
  <c r="P137" i="7" s="1"/>
  <c r="L137" i="7"/>
  <c r="M137" i="7"/>
  <c r="I138" i="7"/>
  <c r="J138" i="7"/>
  <c r="K138" i="7"/>
  <c r="L138" i="7"/>
  <c r="M138" i="7"/>
  <c r="N138" i="7" s="1"/>
  <c r="O138" i="7" s="1"/>
  <c r="P138" i="7" s="1"/>
  <c r="I139" i="7"/>
  <c r="J139" i="7"/>
  <c r="K139" i="7"/>
  <c r="N139" i="7" s="1"/>
  <c r="O139" i="7" s="1"/>
  <c r="P139" i="7" s="1"/>
  <c r="L139" i="7"/>
  <c r="M139" i="7"/>
  <c r="I140" i="7"/>
  <c r="J140" i="7"/>
  <c r="K140" i="7"/>
  <c r="N140" i="7" s="1"/>
  <c r="O140" i="7" s="1"/>
  <c r="P140" i="7" s="1"/>
  <c r="L140" i="7"/>
  <c r="M140" i="7"/>
  <c r="I141" i="7"/>
  <c r="J141" i="7"/>
  <c r="K141" i="7"/>
  <c r="L141" i="7"/>
  <c r="M141" i="7"/>
  <c r="N141" i="7" s="1"/>
  <c r="O141" i="7" s="1"/>
  <c r="P141" i="7" s="1"/>
  <c r="I142" i="7"/>
  <c r="J142" i="7"/>
  <c r="K142" i="7"/>
  <c r="N142" i="7" s="1"/>
  <c r="O142" i="7" s="1"/>
  <c r="P142" i="7" s="1"/>
  <c r="L142" i="7"/>
  <c r="M142" i="7"/>
  <c r="I143" i="7"/>
  <c r="J143" i="7"/>
  <c r="K143" i="7"/>
  <c r="N143" i="7" s="1"/>
  <c r="O143" i="7" s="1"/>
  <c r="P143" i="7" s="1"/>
  <c r="L143" i="7"/>
  <c r="M143" i="7"/>
  <c r="L28" i="7"/>
  <c r="L24" i="7"/>
  <c r="C7" i="6"/>
  <c r="I25" i="7"/>
  <c r="J25" i="7"/>
  <c r="K25" i="7"/>
  <c r="M25" i="7"/>
  <c r="I26" i="7"/>
  <c r="J26" i="7"/>
  <c r="K26" i="7"/>
  <c r="M26" i="7"/>
  <c r="I27" i="7"/>
  <c r="J27" i="7"/>
  <c r="K27" i="7"/>
  <c r="M27" i="7"/>
  <c r="I28" i="7"/>
  <c r="J28" i="7"/>
  <c r="K28" i="7"/>
  <c r="M28" i="7"/>
  <c r="I29" i="7"/>
  <c r="J29" i="7"/>
  <c r="K29" i="7"/>
  <c r="L29" i="7"/>
  <c r="M29" i="7"/>
  <c r="I30" i="7"/>
  <c r="J30" i="7"/>
  <c r="K30" i="7"/>
  <c r="M30" i="7"/>
  <c r="B128" i="6"/>
  <c r="C128" i="6" s="1"/>
  <c r="B127" i="6"/>
  <c r="C127" i="6" s="1"/>
  <c r="B126" i="6"/>
  <c r="C126" i="6" s="1"/>
  <c r="B125" i="6"/>
  <c r="C125" i="6" s="1"/>
  <c r="B124" i="6"/>
  <c r="C124" i="6" s="1"/>
  <c r="B123" i="6"/>
  <c r="B122" i="6"/>
  <c r="C122" i="6" s="1"/>
  <c r="B121" i="6"/>
  <c r="C121" i="6" s="1"/>
  <c r="C120" i="6"/>
  <c r="B120" i="6"/>
  <c r="B119" i="6"/>
  <c r="C119" i="6" s="1"/>
  <c r="B118" i="6"/>
  <c r="C118" i="6" s="1"/>
  <c r="B117" i="6"/>
  <c r="B116" i="6"/>
  <c r="C116" i="6" s="1"/>
  <c r="B115" i="6"/>
  <c r="C115" i="6" s="1"/>
  <c r="B114" i="6"/>
  <c r="B113" i="6"/>
  <c r="C113" i="6" s="1"/>
  <c r="B112" i="6"/>
  <c r="C112" i="6" s="1"/>
  <c r="C111" i="6"/>
  <c r="B111" i="6"/>
  <c r="B110" i="6"/>
  <c r="C110" i="6" s="1"/>
  <c r="B109" i="6"/>
  <c r="C109" i="6" s="1"/>
  <c r="B108" i="6"/>
  <c r="B107" i="6"/>
  <c r="C107" i="6" s="1"/>
  <c r="B106" i="6"/>
  <c r="C106" i="6" s="1"/>
  <c r="B105" i="6"/>
  <c r="C105" i="6" s="1"/>
  <c r="B104" i="6"/>
  <c r="C104" i="6" s="1"/>
  <c r="B103" i="6"/>
  <c r="C103" i="6" s="1"/>
  <c r="C102" i="6"/>
  <c r="B102" i="6"/>
  <c r="B101" i="6"/>
  <c r="C101" i="6" s="1"/>
  <c r="B100" i="6"/>
  <c r="C100" i="6" s="1"/>
  <c r="B99" i="6"/>
  <c r="B98" i="6"/>
  <c r="C98" i="6" s="1"/>
  <c r="B97" i="6"/>
  <c r="C97" i="6" s="1"/>
  <c r="B96" i="6"/>
  <c r="B95" i="6"/>
  <c r="C95" i="6" s="1"/>
  <c r="B94" i="6"/>
  <c r="C94" i="6" s="1"/>
  <c r="C93" i="6"/>
  <c r="B93" i="6"/>
  <c r="B92" i="6"/>
  <c r="C92" i="6" s="1"/>
  <c r="B91" i="6"/>
  <c r="C91" i="6" s="1"/>
  <c r="B90" i="6"/>
  <c r="B89" i="6"/>
  <c r="C89" i="6" s="1"/>
  <c r="B88" i="6"/>
  <c r="C88" i="6" s="1"/>
  <c r="B87" i="6"/>
  <c r="B86" i="6"/>
  <c r="C86" i="6" s="1"/>
  <c r="B85" i="6"/>
  <c r="C85" i="6" s="1"/>
  <c r="C84" i="6"/>
  <c r="B84" i="6"/>
  <c r="B83" i="6"/>
  <c r="C83" i="6" s="1"/>
  <c r="B82" i="6"/>
  <c r="C82" i="6" s="1"/>
  <c r="B81" i="6"/>
  <c r="C81" i="6" s="1"/>
  <c r="B80" i="6"/>
  <c r="C80" i="6" s="1"/>
  <c r="B79" i="6"/>
  <c r="C79" i="6" s="1"/>
  <c r="B78" i="6"/>
  <c r="B77" i="6"/>
  <c r="C77" i="6" s="1"/>
  <c r="B76" i="6"/>
  <c r="C76" i="6" s="1"/>
  <c r="C75" i="6"/>
  <c r="B75" i="6"/>
  <c r="B74" i="6"/>
  <c r="C74" i="6" s="1"/>
  <c r="B73" i="6"/>
  <c r="C73" i="6" s="1"/>
  <c r="B72" i="6"/>
  <c r="B71" i="6"/>
  <c r="C71" i="6" s="1"/>
  <c r="B70" i="6"/>
  <c r="C70" i="6" s="1"/>
  <c r="B69" i="6"/>
  <c r="C69" i="6" s="1"/>
  <c r="B68" i="6"/>
  <c r="C68" i="6" s="1"/>
  <c r="B67" i="6"/>
  <c r="C67" i="6" s="1"/>
  <c r="C66" i="6"/>
  <c r="B66" i="6"/>
  <c r="B65" i="6"/>
  <c r="C65" i="6" s="1"/>
  <c r="B64" i="6"/>
  <c r="C64" i="6" s="1"/>
  <c r="B63" i="6"/>
  <c r="B62" i="6"/>
  <c r="C62" i="6" s="1"/>
  <c r="B61" i="6"/>
  <c r="C61" i="6" s="1"/>
  <c r="B60" i="6"/>
  <c r="B59" i="6"/>
  <c r="C59" i="6" s="1"/>
  <c r="B58" i="6"/>
  <c r="C58" i="6" s="1"/>
  <c r="C57" i="6"/>
  <c r="B57" i="6"/>
  <c r="I23" i="7"/>
  <c r="J23" i="7"/>
  <c r="K23" i="7"/>
  <c r="M23" i="7"/>
  <c r="I24" i="7"/>
  <c r="J24" i="7"/>
  <c r="K24" i="7"/>
  <c r="M24" i="7"/>
  <c r="I22" i="7"/>
  <c r="G51" i="11"/>
  <c r="B51" i="11"/>
  <c r="G49" i="11"/>
  <c r="D49" i="11"/>
  <c r="G48" i="11"/>
  <c r="E48" i="11"/>
  <c r="B48" i="11"/>
  <c r="F47" i="11"/>
  <c r="B47" i="11"/>
  <c r="G46" i="11"/>
  <c r="B45" i="11"/>
  <c r="B44" i="11"/>
  <c r="G42" i="11"/>
  <c r="E42" i="11"/>
  <c r="B42" i="11"/>
  <c r="G41" i="11"/>
  <c r="F41" i="11"/>
  <c r="B41" i="11"/>
  <c r="G40" i="11"/>
  <c r="B40" i="11"/>
  <c r="D39" i="11"/>
  <c r="B39" i="11"/>
  <c r="G37" i="11"/>
  <c r="F37" i="11"/>
  <c r="D37" i="11"/>
  <c r="B37" i="11"/>
  <c r="G36" i="11"/>
  <c r="E36" i="11"/>
  <c r="B36" i="11"/>
  <c r="K19" i="11"/>
  <c r="G45" i="11" s="1"/>
  <c r="J19" i="11"/>
  <c r="F52" i="11" s="1"/>
  <c r="I19" i="11"/>
  <c r="E50" i="11" s="1"/>
  <c r="H19" i="11"/>
  <c r="D48" i="11" s="1"/>
  <c r="G19" i="11"/>
  <c r="F19" i="11"/>
  <c r="S8" i="11"/>
  <c r="R6" i="11"/>
  <c r="S6" i="11" s="1"/>
  <c r="S9" i="11" s="1"/>
  <c r="F2" i="11"/>
  <c r="F2" i="11" a="1"/>
  <c r="I21" i="7"/>
  <c r="C19" i="7"/>
  <c r="C17" i="7"/>
  <c r="D8" i="7"/>
  <c r="C6" i="7"/>
  <c r="D4" i="7"/>
  <c r="B56" i="6"/>
  <c r="C56" i="6" s="1"/>
  <c r="B55" i="6"/>
  <c r="B54" i="6"/>
  <c r="C54" i="6" s="1"/>
  <c r="B53" i="6"/>
  <c r="B52" i="6"/>
  <c r="B51" i="6"/>
  <c r="C51" i="6" s="1"/>
  <c r="B50" i="6"/>
  <c r="C50" i="6" s="1"/>
  <c r="B49" i="6"/>
  <c r="B48" i="6"/>
  <c r="C48" i="6" s="1"/>
  <c r="B47" i="6"/>
  <c r="B46" i="6"/>
  <c r="B45" i="6"/>
  <c r="C45" i="6" s="1"/>
  <c r="B44" i="6"/>
  <c r="C44" i="6" s="1"/>
  <c r="B43" i="6"/>
  <c r="B42" i="6"/>
  <c r="C42" i="6" s="1"/>
  <c r="B41" i="6"/>
  <c r="C40" i="6"/>
  <c r="B40" i="6"/>
  <c r="B39" i="6"/>
  <c r="C39" i="6" s="1"/>
  <c r="B38" i="6"/>
  <c r="B37" i="6"/>
  <c r="B36" i="6"/>
  <c r="C36" i="6" s="1"/>
  <c r="B35" i="6"/>
  <c r="B34" i="6"/>
  <c r="C34" i="6" s="1"/>
  <c r="B33" i="6"/>
  <c r="C33" i="6" s="1"/>
  <c r="B32" i="6"/>
  <c r="C32" i="6" s="1"/>
  <c r="B31" i="6"/>
  <c r="B30" i="6"/>
  <c r="C30" i="6" s="1"/>
  <c r="B29" i="6"/>
  <c r="C29" i="6" s="1"/>
  <c r="B28" i="6"/>
  <c r="B27" i="6"/>
  <c r="C27" i="6" s="1"/>
  <c r="B26" i="6"/>
  <c r="B25" i="6"/>
  <c r="B24" i="6"/>
  <c r="C24" i="6" s="1"/>
  <c r="B23" i="6"/>
  <c r="B22" i="6"/>
  <c r="B21" i="6"/>
  <c r="C21" i="6" s="1"/>
  <c r="B20" i="6"/>
  <c r="C20" i="6" s="1"/>
  <c r="B19" i="6"/>
  <c r="C19" i="6" s="1"/>
  <c r="B18" i="6"/>
  <c r="C18" i="6" s="1"/>
  <c r="B17" i="6"/>
  <c r="C17" i="6" s="1"/>
  <c r="B16" i="6"/>
  <c r="B15" i="6"/>
  <c r="C15" i="6" s="1"/>
  <c r="B14" i="6"/>
  <c r="B13" i="6"/>
  <c r="C13" i="6" s="1"/>
  <c r="B12" i="6"/>
  <c r="L27" i="7" s="1"/>
  <c r="N27" i="7" s="1"/>
  <c r="O27" i="7" s="1"/>
  <c r="P27" i="7" s="1"/>
  <c r="B11" i="6"/>
  <c r="L26" i="7" s="1"/>
  <c r="B10" i="6"/>
  <c r="L25" i="7" s="1"/>
  <c r="B9" i="6"/>
  <c r="C9" i="6" s="1"/>
  <c r="B8" i="6"/>
  <c r="L23" i="7" s="1"/>
  <c r="N23" i="7" s="1"/>
  <c r="O23" i="7" s="1"/>
  <c r="P23" i="7" s="1"/>
  <c r="B7" i="6"/>
  <c r="B6" i="6"/>
  <c r="C6" i="6" s="1"/>
  <c r="D3" i="6"/>
  <c r="C34" i="5"/>
  <c r="C33" i="5"/>
  <c r="G31" i="5" s="1"/>
  <c r="D31" i="5"/>
  <c r="D28" i="5"/>
  <c r="G25" i="5"/>
  <c r="D25" i="5"/>
  <c r="AM54" i="1"/>
  <c r="AL54" i="1"/>
  <c r="AK54" i="1"/>
  <c r="AG54" i="1"/>
  <c r="AF54" i="1"/>
  <c r="AE54" i="1"/>
  <c r="AA54" i="1"/>
  <c r="Z54" i="1"/>
  <c r="Y54" i="1"/>
  <c r="U54" i="1"/>
  <c r="T54" i="1"/>
  <c r="S54" i="1"/>
  <c r="AM53" i="1"/>
  <c r="AL53" i="1"/>
  <c r="AK53" i="1"/>
  <c r="AG53" i="1"/>
  <c r="AF53" i="1"/>
  <c r="AE53" i="1"/>
  <c r="AA53" i="1"/>
  <c r="Z53" i="1"/>
  <c r="Y53" i="1"/>
  <c r="U53" i="1"/>
  <c r="T53" i="1"/>
  <c r="S53" i="1"/>
  <c r="AM52" i="1"/>
  <c r="AL52" i="1"/>
  <c r="AK52" i="1"/>
  <c r="AG52" i="1"/>
  <c r="AF52" i="1"/>
  <c r="AE52" i="1"/>
  <c r="AA52" i="1"/>
  <c r="Z52" i="1"/>
  <c r="Y52" i="1"/>
  <c r="U52" i="1"/>
  <c r="T52" i="1"/>
  <c r="S52" i="1"/>
  <c r="AM51" i="1"/>
  <c r="AL51" i="1"/>
  <c r="AK51" i="1"/>
  <c r="AG51" i="1"/>
  <c r="AF51" i="1"/>
  <c r="AE51" i="1"/>
  <c r="AA51" i="1"/>
  <c r="Z51" i="1"/>
  <c r="Y51" i="1"/>
  <c r="U51" i="1"/>
  <c r="T51" i="1"/>
  <c r="S51" i="1"/>
  <c r="AM50" i="1"/>
  <c r="AL50" i="1"/>
  <c r="AK50" i="1"/>
  <c r="AG50" i="1"/>
  <c r="AF50" i="1"/>
  <c r="AE50" i="1"/>
  <c r="AA50" i="1"/>
  <c r="Z50" i="1"/>
  <c r="Y50" i="1"/>
  <c r="U50" i="1"/>
  <c r="T50" i="1"/>
  <c r="S50" i="1"/>
  <c r="AM49" i="1"/>
  <c r="AL49" i="1"/>
  <c r="AK49" i="1"/>
  <c r="AG49" i="1"/>
  <c r="AF49" i="1"/>
  <c r="AE49" i="1"/>
  <c r="AA49" i="1"/>
  <c r="Z49" i="1"/>
  <c r="Y49" i="1"/>
  <c r="U49" i="1"/>
  <c r="T49" i="1"/>
  <c r="S49" i="1"/>
  <c r="AM48" i="1"/>
  <c r="AL48" i="1"/>
  <c r="AK48" i="1"/>
  <c r="AG48" i="1"/>
  <c r="AF48" i="1"/>
  <c r="AE48" i="1"/>
  <c r="AA48" i="1"/>
  <c r="Z48" i="1"/>
  <c r="Y48" i="1"/>
  <c r="U48" i="1"/>
  <c r="T48" i="1"/>
  <c r="S48" i="1"/>
  <c r="AM47" i="1"/>
  <c r="AL47" i="1"/>
  <c r="AK47" i="1"/>
  <c r="AG47" i="1"/>
  <c r="AF47" i="1"/>
  <c r="AE47" i="1"/>
  <c r="AA47" i="1"/>
  <c r="Z47" i="1"/>
  <c r="Y47" i="1"/>
  <c r="U47" i="1"/>
  <c r="T47" i="1"/>
  <c r="S47" i="1"/>
  <c r="AM46" i="1"/>
  <c r="AL46" i="1"/>
  <c r="AK46" i="1"/>
  <c r="AG46" i="1"/>
  <c r="AF46" i="1"/>
  <c r="AE46" i="1"/>
  <c r="AA46" i="1"/>
  <c r="Z46" i="1"/>
  <c r="Y46" i="1"/>
  <c r="U46" i="1"/>
  <c r="T46" i="1"/>
  <c r="S46" i="1"/>
  <c r="AM45" i="1"/>
  <c r="AL45" i="1"/>
  <c r="AK45" i="1"/>
  <c r="AG45" i="1"/>
  <c r="AF45" i="1"/>
  <c r="AE45" i="1"/>
  <c r="AA45" i="1"/>
  <c r="Z45" i="1"/>
  <c r="Y45" i="1"/>
  <c r="U45" i="1"/>
  <c r="T45" i="1"/>
  <c r="S45" i="1"/>
  <c r="AM44" i="1"/>
  <c r="AL44" i="1"/>
  <c r="AK44" i="1"/>
  <c r="AG44" i="1"/>
  <c r="AF44" i="1"/>
  <c r="AE44" i="1"/>
  <c r="AA44" i="1"/>
  <c r="Z44" i="1"/>
  <c r="Y44" i="1"/>
  <c r="U44" i="1"/>
  <c r="T44" i="1"/>
  <c r="S44" i="1"/>
  <c r="AM43" i="1"/>
  <c r="AL43" i="1"/>
  <c r="AK43" i="1"/>
  <c r="AG43" i="1"/>
  <c r="AF43" i="1"/>
  <c r="AE43" i="1"/>
  <c r="AA43" i="1"/>
  <c r="Z43" i="1"/>
  <c r="Y43" i="1"/>
  <c r="U43" i="1"/>
  <c r="T43" i="1"/>
  <c r="S43" i="1"/>
  <c r="AM42" i="1"/>
  <c r="AL42" i="1"/>
  <c r="AK42" i="1"/>
  <c r="AG42" i="1"/>
  <c r="AF42" i="1"/>
  <c r="AE42" i="1"/>
  <c r="AA42" i="1"/>
  <c r="Z42" i="1"/>
  <c r="Y42" i="1"/>
  <c r="U42" i="1"/>
  <c r="T42" i="1"/>
  <c r="S42" i="1"/>
  <c r="AM41" i="1"/>
  <c r="AL41" i="1"/>
  <c r="AK41" i="1"/>
  <c r="AG41" i="1"/>
  <c r="AF41" i="1"/>
  <c r="AE41" i="1"/>
  <c r="AA41" i="1"/>
  <c r="Z41" i="1"/>
  <c r="Y41" i="1"/>
  <c r="U41" i="1"/>
  <c r="T41" i="1"/>
  <c r="S41" i="1"/>
  <c r="AM40" i="1"/>
  <c r="AL40" i="1"/>
  <c r="AK40" i="1"/>
  <c r="AG40" i="1"/>
  <c r="AF40" i="1"/>
  <c r="AE40" i="1"/>
  <c r="AA40" i="1"/>
  <c r="Z40" i="1"/>
  <c r="Y40" i="1"/>
  <c r="U40" i="1"/>
  <c r="T40" i="1"/>
  <c r="S40" i="1"/>
  <c r="AM39" i="1"/>
  <c r="AL39" i="1"/>
  <c r="AK39" i="1"/>
  <c r="AG39" i="1"/>
  <c r="AF39" i="1"/>
  <c r="AE39" i="1"/>
  <c r="AA39" i="1"/>
  <c r="Z39" i="1"/>
  <c r="Y39" i="1"/>
  <c r="U39" i="1"/>
  <c r="T39" i="1"/>
  <c r="S39" i="1"/>
  <c r="AM38" i="1"/>
  <c r="AL38" i="1"/>
  <c r="AK38" i="1"/>
  <c r="AG38" i="1"/>
  <c r="AF38" i="1"/>
  <c r="AE38" i="1"/>
  <c r="AA38" i="1"/>
  <c r="Z38" i="1"/>
  <c r="Y38" i="1"/>
  <c r="U38" i="1"/>
  <c r="T38" i="1"/>
  <c r="S38" i="1"/>
  <c r="AM37" i="1"/>
  <c r="AL37" i="1"/>
  <c r="AK37" i="1"/>
  <c r="AG37" i="1"/>
  <c r="AF37" i="1"/>
  <c r="AE37" i="1"/>
  <c r="AA37" i="1"/>
  <c r="Z37" i="1"/>
  <c r="Y37" i="1"/>
  <c r="U37" i="1"/>
  <c r="T37" i="1"/>
  <c r="S37" i="1"/>
  <c r="AM36" i="1"/>
  <c r="AL36" i="1"/>
  <c r="AK36" i="1"/>
  <c r="AG36" i="1"/>
  <c r="AF36" i="1"/>
  <c r="AE36" i="1"/>
  <c r="AA36" i="1"/>
  <c r="Z36" i="1"/>
  <c r="Y36" i="1"/>
  <c r="U36" i="1"/>
  <c r="T36" i="1"/>
  <c r="S36" i="1"/>
  <c r="AM35" i="1"/>
  <c r="AL35" i="1"/>
  <c r="AK35" i="1"/>
  <c r="AG35" i="1"/>
  <c r="AF35" i="1"/>
  <c r="AE35" i="1"/>
  <c r="AA35" i="1"/>
  <c r="Z35" i="1"/>
  <c r="Y35" i="1"/>
  <c r="U35" i="1"/>
  <c r="T35" i="1"/>
  <c r="S35" i="1"/>
  <c r="AM34" i="1"/>
  <c r="AL34" i="1"/>
  <c r="AK34" i="1"/>
  <c r="AG34" i="1"/>
  <c r="AF34" i="1"/>
  <c r="AE34" i="1"/>
  <c r="AA34" i="1"/>
  <c r="Z34" i="1"/>
  <c r="Y34" i="1"/>
  <c r="U34" i="1"/>
  <c r="T34" i="1"/>
  <c r="S34" i="1"/>
  <c r="AM33" i="1"/>
  <c r="AL33" i="1"/>
  <c r="AK33" i="1"/>
  <c r="AG33" i="1"/>
  <c r="AF33" i="1"/>
  <c r="AE33" i="1"/>
  <c r="AA33" i="1"/>
  <c r="Z33" i="1"/>
  <c r="Y33" i="1"/>
  <c r="U33" i="1"/>
  <c r="T33" i="1"/>
  <c r="S33" i="1"/>
  <c r="AM32" i="1"/>
  <c r="AL32" i="1"/>
  <c r="AK32" i="1"/>
  <c r="AG32" i="1"/>
  <c r="AF32" i="1"/>
  <c r="AE32" i="1"/>
  <c r="AA32" i="1"/>
  <c r="Z32" i="1"/>
  <c r="Y32" i="1"/>
  <c r="U32" i="1"/>
  <c r="T32" i="1"/>
  <c r="S32" i="1"/>
  <c r="AM31" i="1"/>
  <c r="AL31" i="1"/>
  <c r="AK31" i="1"/>
  <c r="AG31" i="1"/>
  <c r="AF31" i="1"/>
  <c r="AE31" i="1"/>
  <c r="AA31" i="1"/>
  <c r="Z31" i="1"/>
  <c r="Y31" i="1"/>
  <c r="U31" i="1"/>
  <c r="T31" i="1"/>
  <c r="S31" i="1"/>
  <c r="AM30" i="1"/>
  <c r="AL30" i="1"/>
  <c r="AK30" i="1"/>
  <c r="AG30" i="1"/>
  <c r="AF30" i="1"/>
  <c r="AE30" i="1"/>
  <c r="AA30" i="1"/>
  <c r="Z30" i="1"/>
  <c r="Y30" i="1"/>
  <c r="U30" i="1"/>
  <c r="T30" i="1"/>
  <c r="S30" i="1"/>
  <c r="AM29" i="1"/>
  <c r="AL29" i="1"/>
  <c r="AK29" i="1"/>
  <c r="AG29" i="1"/>
  <c r="AF29" i="1"/>
  <c r="AE29" i="1"/>
  <c r="AA29" i="1"/>
  <c r="Z29" i="1"/>
  <c r="Y29" i="1"/>
  <c r="U29" i="1"/>
  <c r="T29" i="1"/>
  <c r="S29" i="1"/>
  <c r="AM28" i="1"/>
  <c r="AL28" i="1"/>
  <c r="AK28" i="1"/>
  <c r="AG28" i="1"/>
  <c r="AF28" i="1"/>
  <c r="AE28" i="1"/>
  <c r="AA28" i="1"/>
  <c r="Z28" i="1"/>
  <c r="Y28" i="1"/>
  <c r="U28" i="1"/>
  <c r="T28" i="1"/>
  <c r="S28" i="1"/>
  <c r="AM27" i="1"/>
  <c r="AL27" i="1"/>
  <c r="AK27" i="1"/>
  <c r="AG27" i="1"/>
  <c r="AF27" i="1"/>
  <c r="AE27" i="1"/>
  <c r="AA27" i="1"/>
  <c r="Z27" i="1"/>
  <c r="Y27" i="1"/>
  <c r="U27" i="1"/>
  <c r="T27" i="1"/>
  <c r="S27" i="1"/>
  <c r="AM26" i="1"/>
  <c r="AL26" i="1"/>
  <c r="AK26" i="1"/>
  <c r="AG26" i="1"/>
  <c r="AF26" i="1"/>
  <c r="AE26" i="1"/>
  <c r="AA26" i="1"/>
  <c r="Z26" i="1"/>
  <c r="Y26" i="1"/>
  <c r="U26" i="1"/>
  <c r="T26" i="1"/>
  <c r="S26" i="1"/>
  <c r="AM25" i="1"/>
  <c r="AL25" i="1"/>
  <c r="AK25" i="1"/>
  <c r="AG25" i="1"/>
  <c r="AF25" i="1"/>
  <c r="AE25" i="1"/>
  <c r="AA25" i="1"/>
  <c r="Z25" i="1"/>
  <c r="Y25" i="1"/>
  <c r="U25" i="1"/>
  <c r="T25" i="1"/>
  <c r="S25" i="1"/>
  <c r="AM24" i="1"/>
  <c r="AL24" i="1"/>
  <c r="AK24" i="1"/>
  <c r="AG24" i="1"/>
  <c r="AF24" i="1"/>
  <c r="AE24" i="1"/>
  <c r="AA24" i="1"/>
  <c r="Z24" i="1"/>
  <c r="Y24" i="1"/>
  <c r="U24" i="1"/>
  <c r="T24" i="1"/>
  <c r="S24" i="1"/>
  <c r="AM23" i="1"/>
  <c r="AL23" i="1"/>
  <c r="AK23" i="1"/>
  <c r="AG23" i="1"/>
  <c r="AF23" i="1"/>
  <c r="AE23" i="1"/>
  <c r="AA23" i="1"/>
  <c r="Z23" i="1"/>
  <c r="Y23" i="1"/>
  <c r="U23" i="1"/>
  <c r="T23" i="1"/>
  <c r="S23" i="1"/>
  <c r="AM22" i="1"/>
  <c r="AL22" i="1"/>
  <c r="AK22" i="1"/>
  <c r="AG22" i="1"/>
  <c r="AF22" i="1"/>
  <c r="AE22" i="1"/>
  <c r="AA22" i="1"/>
  <c r="Z22" i="1"/>
  <c r="Y22" i="1"/>
  <c r="U22" i="1"/>
  <c r="T22" i="1"/>
  <c r="S22" i="1"/>
  <c r="AM21" i="1"/>
  <c r="AL21" i="1"/>
  <c r="AK21" i="1"/>
  <c r="AG21" i="1"/>
  <c r="AF21" i="1"/>
  <c r="AE21" i="1"/>
  <c r="AA21" i="1"/>
  <c r="Z21" i="1"/>
  <c r="Y21" i="1"/>
  <c r="U21" i="1"/>
  <c r="T21" i="1"/>
  <c r="S21" i="1"/>
  <c r="AM20" i="1"/>
  <c r="AL20" i="1"/>
  <c r="AK20" i="1"/>
  <c r="AG20" i="1"/>
  <c r="AF20" i="1"/>
  <c r="AE20" i="1"/>
  <c r="AA20" i="1"/>
  <c r="Z20" i="1"/>
  <c r="Y20" i="1"/>
  <c r="U20" i="1"/>
  <c r="T20" i="1"/>
  <c r="S20" i="1"/>
  <c r="AM19" i="1"/>
  <c r="AL19" i="1"/>
  <c r="AK19" i="1"/>
  <c r="AG19" i="1"/>
  <c r="AF19" i="1"/>
  <c r="AE19" i="1"/>
  <c r="AA19" i="1"/>
  <c r="Z19" i="1"/>
  <c r="Y19" i="1"/>
  <c r="U19" i="1"/>
  <c r="T19" i="1"/>
  <c r="S19" i="1"/>
  <c r="AM18" i="1"/>
  <c r="AL18" i="1"/>
  <c r="AK18" i="1"/>
  <c r="AG18" i="1"/>
  <c r="AF18" i="1"/>
  <c r="AE18" i="1"/>
  <c r="AA18" i="1"/>
  <c r="Z18" i="1"/>
  <c r="Y18" i="1"/>
  <c r="U18" i="1"/>
  <c r="T18" i="1"/>
  <c r="S18" i="1"/>
  <c r="AM17" i="1"/>
  <c r="AL17" i="1"/>
  <c r="AK17" i="1"/>
  <c r="AG17" i="1"/>
  <c r="AF17" i="1"/>
  <c r="AE17" i="1"/>
  <c r="AA17" i="1"/>
  <c r="Z17" i="1"/>
  <c r="Y17" i="1"/>
  <c r="U17" i="1"/>
  <c r="T17" i="1"/>
  <c r="S17" i="1"/>
  <c r="AM16" i="1"/>
  <c r="AL16" i="1"/>
  <c r="AK16" i="1"/>
  <c r="AG16" i="1"/>
  <c r="AF16" i="1"/>
  <c r="AE16" i="1"/>
  <c r="AA16" i="1"/>
  <c r="Z16" i="1"/>
  <c r="Y16" i="1"/>
  <c r="U16" i="1"/>
  <c r="T16" i="1"/>
  <c r="S16" i="1"/>
  <c r="AM15" i="1"/>
  <c r="AL15" i="1"/>
  <c r="AK15" i="1"/>
  <c r="AG15" i="1"/>
  <c r="AF15" i="1"/>
  <c r="AE15" i="1"/>
  <c r="AA15" i="1"/>
  <c r="Z15" i="1"/>
  <c r="Y15" i="1"/>
  <c r="U15" i="1"/>
  <c r="T15" i="1"/>
  <c r="S15" i="1"/>
  <c r="AM14" i="1"/>
  <c r="AL14" i="1"/>
  <c r="AK14" i="1"/>
  <c r="AG14" i="1"/>
  <c r="AF14" i="1"/>
  <c r="AE14" i="1"/>
  <c r="AA14" i="1"/>
  <c r="Z14" i="1"/>
  <c r="Y14" i="1"/>
  <c r="U14" i="1"/>
  <c r="T14" i="1"/>
  <c r="S14" i="1"/>
  <c r="AM13" i="1"/>
  <c r="AL13" i="1"/>
  <c r="AK13" i="1"/>
  <c r="AG13" i="1"/>
  <c r="AF13" i="1"/>
  <c r="AE13" i="1"/>
  <c r="AA13" i="1"/>
  <c r="Z13" i="1"/>
  <c r="Y13" i="1"/>
  <c r="U13" i="1"/>
  <c r="T13" i="1"/>
  <c r="S13" i="1"/>
  <c r="AM12" i="1"/>
  <c r="AL12" i="1"/>
  <c r="AK12" i="1"/>
  <c r="AG12" i="1"/>
  <c r="AF12" i="1"/>
  <c r="AE12" i="1"/>
  <c r="AA12" i="1"/>
  <c r="Z12" i="1"/>
  <c r="Y12" i="1"/>
  <c r="U12" i="1"/>
  <c r="T12" i="1"/>
  <c r="S12" i="1"/>
  <c r="AM11" i="1"/>
  <c r="AL11" i="1"/>
  <c r="AK11" i="1"/>
  <c r="AG11" i="1"/>
  <c r="AF11" i="1"/>
  <c r="AE11" i="1"/>
  <c r="AA11" i="1"/>
  <c r="Z11" i="1"/>
  <c r="Y11" i="1"/>
  <c r="U11" i="1"/>
  <c r="T11" i="1"/>
  <c r="S11" i="1"/>
  <c r="AM10" i="1"/>
  <c r="AL10" i="1"/>
  <c r="AK10" i="1"/>
  <c r="AG10" i="1"/>
  <c r="AF10" i="1"/>
  <c r="AE10" i="1"/>
  <c r="AA10" i="1"/>
  <c r="Z10" i="1"/>
  <c r="Y10" i="1"/>
  <c r="U10" i="1"/>
  <c r="T10" i="1"/>
  <c r="S10" i="1"/>
  <c r="AM9" i="1"/>
  <c r="AL9" i="1"/>
  <c r="AK9" i="1"/>
  <c r="AG9" i="1"/>
  <c r="AF9" i="1"/>
  <c r="AE9" i="1"/>
  <c r="AA9" i="1"/>
  <c r="Z9" i="1"/>
  <c r="Y9" i="1"/>
  <c r="U9" i="1"/>
  <c r="T9" i="1"/>
  <c r="S9" i="1"/>
  <c r="AM8" i="1"/>
  <c r="AL8" i="1"/>
  <c r="AK8" i="1"/>
  <c r="AG8" i="1"/>
  <c r="AF8" i="1"/>
  <c r="AE8" i="1"/>
  <c r="AA8" i="1"/>
  <c r="Z8" i="1"/>
  <c r="Y8" i="1"/>
  <c r="U8" i="1"/>
  <c r="T8" i="1"/>
  <c r="S8" i="1"/>
  <c r="AM7" i="1"/>
  <c r="AL7" i="1"/>
  <c r="AK7" i="1"/>
  <c r="AG7" i="1"/>
  <c r="AF7" i="1"/>
  <c r="AE7" i="1"/>
  <c r="AA7" i="1"/>
  <c r="Z7" i="1"/>
  <c r="Y7" i="1"/>
  <c r="U7" i="1"/>
  <c r="T7" i="1"/>
  <c r="S7" i="1"/>
  <c r="AM6" i="1"/>
  <c r="AL6" i="1"/>
  <c r="AK6" i="1"/>
  <c r="AG6" i="1"/>
  <c r="AF6" i="1"/>
  <c r="AE6" i="1"/>
  <c r="AA6" i="1"/>
  <c r="Z6" i="1"/>
  <c r="Y6" i="1"/>
  <c r="U6" i="1"/>
  <c r="T6" i="1"/>
  <c r="S6" i="1"/>
  <c r="AM5" i="1"/>
  <c r="AL5" i="1"/>
  <c r="AK5" i="1"/>
  <c r="AG5" i="1"/>
  <c r="AF5" i="1"/>
  <c r="AE5" i="1"/>
  <c r="AA5" i="1"/>
  <c r="Z5" i="1"/>
  <c r="Y5" i="1"/>
  <c r="U5" i="1"/>
  <c r="T5" i="1"/>
  <c r="S5" i="1"/>
  <c r="AM4" i="1"/>
  <c r="AL4" i="1"/>
  <c r="AK4" i="1"/>
  <c r="AG4" i="1"/>
  <c r="AF4" i="1"/>
  <c r="AE4" i="1"/>
  <c r="AA4" i="1"/>
  <c r="Z4" i="1"/>
  <c r="Y4" i="1"/>
  <c r="U4" i="1"/>
  <c r="T4" i="1"/>
  <c r="S4" i="1"/>
  <c r="I32" i="13" l="1"/>
  <c r="N36" i="13" s="1"/>
  <c r="C3" i="15" s="1"/>
  <c r="M32" i="13"/>
  <c r="H26" i="13"/>
  <c r="L15" i="13"/>
  <c r="L32" i="13"/>
  <c r="K14" i="13" s="1"/>
  <c r="H32" i="13"/>
  <c r="I28" i="5"/>
  <c r="C28" i="5"/>
  <c r="G28" i="5"/>
  <c r="H31" i="5"/>
  <c r="F25" i="5"/>
  <c r="H28" i="5"/>
  <c r="I31" i="5"/>
  <c r="I25" i="5"/>
  <c r="J28" i="5"/>
  <c r="E28" i="5" s="1"/>
  <c r="E31" i="5"/>
  <c r="J25" i="5"/>
  <c r="E25" i="5" s="1"/>
  <c r="F31" i="5"/>
  <c r="F28" i="5"/>
  <c r="S10" i="11"/>
  <c r="S14" i="11"/>
  <c r="C51" i="11"/>
  <c r="C45" i="11"/>
  <c r="C48" i="11"/>
  <c r="C47" i="11"/>
  <c r="C42" i="11"/>
  <c r="C36" i="11"/>
  <c r="C41" i="11"/>
  <c r="C46" i="11"/>
  <c r="C44" i="11"/>
  <c r="C40" i="11"/>
  <c r="C52" i="11"/>
  <c r="C43" i="11"/>
  <c r="C39" i="11"/>
  <c r="C49" i="11"/>
  <c r="C37" i="11"/>
  <c r="C38" i="11"/>
  <c r="C50" i="11"/>
  <c r="N11" i="11"/>
  <c r="O11" i="11" s="1"/>
  <c r="N9" i="11"/>
  <c r="O9" i="11" s="1"/>
  <c r="N4" i="11"/>
  <c r="O4" i="11" s="1"/>
  <c r="N18" i="11"/>
  <c r="O18" i="11" s="1"/>
  <c r="N15" i="11"/>
  <c r="O15" i="11" s="1"/>
  <c r="N13" i="11"/>
  <c r="O13" i="11" s="1"/>
  <c r="N17" i="11"/>
  <c r="O17" i="11" s="1"/>
  <c r="N10" i="11"/>
  <c r="O10" i="11" s="1"/>
  <c r="N8" i="11"/>
  <c r="O8" i="11" s="1"/>
  <c r="N6" i="11"/>
  <c r="O6" i="11" s="1"/>
  <c r="N3" i="11"/>
  <c r="O3" i="11" s="1"/>
  <c r="N19" i="11"/>
  <c r="O19" i="11" s="1"/>
  <c r="N16" i="11"/>
  <c r="O16" i="11" s="1"/>
  <c r="N7" i="11"/>
  <c r="O7" i="11" s="1"/>
  <c r="N5" i="11"/>
  <c r="O5" i="11" s="1"/>
  <c r="N12" i="11"/>
  <c r="O12" i="11" s="1"/>
  <c r="N14" i="11"/>
  <c r="O14" i="11" s="1"/>
  <c r="S12" i="11"/>
  <c r="B52" i="11"/>
  <c r="B46" i="11"/>
  <c r="B49" i="11"/>
  <c r="B43" i="11"/>
  <c r="D36" i="11"/>
  <c r="B38" i="11"/>
  <c r="G39" i="11"/>
  <c r="F40" i="11"/>
  <c r="E41" i="11"/>
  <c r="D42" i="11"/>
  <c r="F46" i="11"/>
  <c r="E47" i="11"/>
  <c r="B50" i="11"/>
  <c r="D50" i="11"/>
  <c r="D44" i="11"/>
  <c r="D47" i="11"/>
  <c r="F36" i="11"/>
  <c r="E37" i="11"/>
  <c r="D38" i="11"/>
  <c r="F42" i="11"/>
  <c r="F49" i="11"/>
  <c r="D51" i="11"/>
  <c r="E49" i="11"/>
  <c r="E43" i="11"/>
  <c r="E52" i="11"/>
  <c r="E46" i="11"/>
  <c r="E38" i="11"/>
  <c r="D43" i="11"/>
  <c r="F50" i="11"/>
  <c r="E51" i="11"/>
  <c r="D52" i="11"/>
  <c r="F38" i="11"/>
  <c r="E39" i="11"/>
  <c r="D40" i="11"/>
  <c r="F43" i="11"/>
  <c r="E44" i="11"/>
  <c r="D45" i="11"/>
  <c r="F48" i="11"/>
  <c r="F51" i="11"/>
  <c r="F45" i="11"/>
  <c r="G47" i="11"/>
  <c r="G50" i="11"/>
  <c r="G44" i="11"/>
  <c r="G38" i="11"/>
  <c r="F39" i="11"/>
  <c r="E40" i="11"/>
  <c r="D41" i="11"/>
  <c r="G43" i="11"/>
  <c r="F44" i="11"/>
  <c r="E45" i="11"/>
  <c r="D46" i="11"/>
  <c r="G52" i="11"/>
  <c r="O132" i="7"/>
  <c r="P132" i="7" s="1"/>
  <c r="O126" i="7"/>
  <c r="P126" i="7" s="1"/>
  <c r="O108" i="7"/>
  <c r="P108" i="7" s="1"/>
  <c r="O96" i="7"/>
  <c r="P96" i="7" s="1"/>
  <c r="O84" i="7"/>
  <c r="P84" i="7" s="1"/>
  <c r="O66" i="7"/>
  <c r="P66" i="7" s="1"/>
  <c r="C63" i="6"/>
  <c r="C72" i="6"/>
  <c r="C90" i="6"/>
  <c r="C99" i="6"/>
  <c r="C108" i="6"/>
  <c r="C117" i="6"/>
  <c r="N28" i="7"/>
  <c r="O28" i="7" s="1"/>
  <c r="P28" i="7" s="1"/>
  <c r="C60" i="6"/>
  <c r="C78" i="6"/>
  <c r="C87" i="6"/>
  <c r="C96" i="6"/>
  <c r="C114" i="6"/>
  <c r="C123" i="6"/>
  <c r="L30" i="7"/>
  <c r="N30" i="7" s="1"/>
  <c r="N29" i="7"/>
  <c r="O29" i="7" s="1"/>
  <c r="P29" i="7" s="1"/>
  <c r="N25" i="7"/>
  <c r="O25" i="7" s="1"/>
  <c r="P25" i="7" s="1"/>
  <c r="N26" i="7"/>
  <c r="O26" i="7" s="1"/>
  <c r="P26" i="7" s="1"/>
  <c r="L21" i="7"/>
  <c r="O30" i="7"/>
  <c r="P30" i="7" s="1"/>
  <c r="C22" i="6"/>
  <c r="C31" i="6"/>
  <c r="C49" i="6"/>
  <c r="C10" i="6"/>
  <c r="C28" i="6"/>
  <c r="C37" i="6"/>
  <c r="C46" i="6"/>
  <c r="C55" i="6"/>
  <c r="L22" i="7"/>
  <c r="N24" i="7"/>
  <c r="O24" i="7" s="1"/>
  <c r="P24" i="7" s="1"/>
  <c r="C16" i="6"/>
  <c r="C25" i="6"/>
  <c r="C43" i="6"/>
  <c r="C52" i="6"/>
  <c r="C11" i="6"/>
  <c r="C23" i="6"/>
  <c r="C35" i="6"/>
  <c r="C53" i="6"/>
  <c r="C14" i="6"/>
  <c r="C38" i="6"/>
  <c r="C41" i="6"/>
  <c r="C47" i="6"/>
  <c r="C8" i="6"/>
  <c r="C26" i="6"/>
  <c r="C12" i="6"/>
  <c r="M22" i="7"/>
  <c r="K22" i="7"/>
  <c r="J22" i="7"/>
  <c r="I3" i="7"/>
  <c r="I5" i="7"/>
  <c r="M21" i="7"/>
  <c r="I7" i="7"/>
  <c r="U30" i="11" s="1"/>
  <c r="C18" i="7"/>
  <c r="I8" i="7"/>
  <c r="J21" i="7"/>
  <c r="I4" i="7"/>
  <c r="I9" i="7"/>
  <c r="K21" i="7"/>
  <c r="K15" i="13" l="1"/>
  <c r="K10" i="13"/>
  <c r="L7" i="13"/>
  <c r="K9" i="13"/>
  <c r="L13" i="13"/>
  <c r="K7" i="13"/>
  <c r="K8" i="13"/>
  <c r="K6" i="13"/>
  <c r="K16" i="13"/>
  <c r="K13" i="13"/>
  <c r="L11" i="13"/>
  <c r="L6" i="13"/>
  <c r="L10" i="13"/>
  <c r="L5" i="13"/>
  <c r="L18" i="13"/>
  <c r="L19" i="13"/>
  <c r="L14" i="13"/>
  <c r="L23" i="13"/>
  <c r="L25" i="13"/>
  <c r="L22" i="13"/>
  <c r="L24" i="13"/>
  <c r="L8" i="13"/>
  <c r="L17" i="13"/>
  <c r="L16" i="13"/>
  <c r="L9" i="13"/>
  <c r="L12" i="13"/>
  <c r="K18" i="13"/>
  <c r="K11" i="13"/>
  <c r="K17" i="13"/>
  <c r="K12" i="13"/>
  <c r="K19" i="13"/>
  <c r="K5" i="13"/>
  <c r="K23" i="13"/>
  <c r="K24" i="13"/>
  <c r="K22" i="13"/>
  <c r="K25" i="13"/>
  <c r="C25" i="5"/>
  <c r="C31" i="5"/>
  <c r="T32" i="5"/>
  <c r="T27" i="5"/>
  <c r="T25" i="5"/>
  <c r="T31" i="5"/>
  <c r="T53" i="5"/>
  <c r="T51" i="5"/>
  <c r="T49" i="5"/>
  <c r="T47" i="5"/>
  <c r="T45" i="5"/>
  <c r="T43" i="5"/>
  <c r="T41" i="5"/>
  <c r="T39" i="5"/>
  <c r="T37" i="5"/>
  <c r="T35" i="5"/>
  <c r="T30" i="5"/>
  <c r="T28" i="5"/>
  <c r="T23" i="5"/>
  <c r="T21" i="5"/>
  <c r="T19" i="5"/>
  <c r="T17" i="5"/>
  <c r="T15" i="5"/>
  <c r="T13" i="5"/>
  <c r="T11" i="5"/>
  <c r="T9" i="5"/>
  <c r="T7" i="5"/>
  <c r="T5" i="5"/>
  <c r="T3" i="5"/>
  <c r="T33" i="5"/>
  <c r="T26" i="5"/>
  <c r="T52" i="5"/>
  <c r="T50" i="5"/>
  <c r="T48" i="5"/>
  <c r="T46" i="5"/>
  <c r="T44" i="5"/>
  <c r="T42" i="5"/>
  <c r="T40" i="5"/>
  <c r="T38" i="5"/>
  <c r="T36" i="5"/>
  <c r="T34" i="5"/>
  <c r="T29" i="5"/>
  <c r="T24" i="5"/>
  <c r="T22" i="5"/>
  <c r="T20" i="5"/>
  <c r="T18" i="5"/>
  <c r="T16" i="5"/>
  <c r="T14" i="5"/>
  <c r="T12" i="5"/>
  <c r="T10" i="5"/>
  <c r="T8" i="5"/>
  <c r="T6" i="5"/>
  <c r="T4" i="5"/>
  <c r="V33" i="5"/>
  <c r="V31" i="5"/>
  <c r="V26" i="5"/>
  <c r="V52" i="5"/>
  <c r="V50" i="5"/>
  <c r="V48" i="5"/>
  <c r="V46" i="5"/>
  <c r="V44" i="5"/>
  <c r="V42" i="5"/>
  <c r="V40" i="5"/>
  <c r="V38" i="5"/>
  <c r="V36" i="5"/>
  <c r="V34" i="5"/>
  <c r="V29" i="5"/>
  <c r="V24" i="5"/>
  <c r="V22" i="5"/>
  <c r="V20" i="5"/>
  <c r="V18" i="5"/>
  <c r="V16" i="5"/>
  <c r="V14" i="5"/>
  <c r="V12" i="5"/>
  <c r="V10" i="5"/>
  <c r="V8" i="5"/>
  <c r="V6" i="5"/>
  <c r="V4" i="5"/>
  <c r="V32" i="5"/>
  <c r="V27" i="5"/>
  <c r="V25" i="5"/>
  <c r="V53" i="5"/>
  <c r="V51" i="5"/>
  <c r="V49" i="5"/>
  <c r="V47" i="5"/>
  <c r="V45" i="5"/>
  <c r="V43" i="5"/>
  <c r="V41" i="5"/>
  <c r="V39" i="5"/>
  <c r="V37" i="5"/>
  <c r="V35" i="5"/>
  <c r="V30" i="5"/>
  <c r="V28" i="5"/>
  <c r="V23" i="5"/>
  <c r="V21" i="5"/>
  <c r="V19" i="5"/>
  <c r="V17" i="5"/>
  <c r="V15" i="5"/>
  <c r="V13" i="5"/>
  <c r="V11" i="5"/>
  <c r="V9" i="5"/>
  <c r="V7" i="5"/>
  <c r="V5" i="5"/>
  <c r="V3" i="5"/>
  <c r="U53" i="5"/>
  <c r="U51" i="5"/>
  <c r="U49" i="5"/>
  <c r="U47" i="5"/>
  <c r="U45" i="5"/>
  <c r="U43" i="5"/>
  <c r="U41" i="5"/>
  <c r="U39" i="5"/>
  <c r="U37" i="5"/>
  <c r="U35" i="5"/>
  <c r="U30" i="5"/>
  <c r="U28" i="5"/>
  <c r="U23" i="5"/>
  <c r="U21" i="5"/>
  <c r="U19" i="5"/>
  <c r="U17" i="5"/>
  <c r="U15" i="5"/>
  <c r="U13" i="5"/>
  <c r="U11" i="5"/>
  <c r="U9" i="5"/>
  <c r="U7" i="5"/>
  <c r="U5" i="5"/>
  <c r="U3" i="5"/>
  <c r="U20" i="5"/>
  <c r="U14" i="5"/>
  <c r="U6" i="5"/>
  <c r="U33" i="5"/>
  <c r="U24" i="5"/>
  <c r="U22" i="5"/>
  <c r="U18" i="5"/>
  <c r="U16" i="5"/>
  <c r="U8" i="5"/>
  <c r="U4" i="5"/>
  <c r="U31" i="5"/>
  <c r="U26" i="5"/>
  <c r="U10" i="5"/>
  <c r="U52" i="5"/>
  <c r="U50" i="5"/>
  <c r="U48" i="5"/>
  <c r="U46" i="5"/>
  <c r="U44" i="5"/>
  <c r="U42" i="5"/>
  <c r="U40" i="5"/>
  <c r="U38" i="5"/>
  <c r="U36" i="5"/>
  <c r="U34" i="5"/>
  <c r="U32" i="5"/>
  <c r="U27" i="5"/>
  <c r="U25" i="5"/>
  <c r="U29" i="5"/>
  <c r="U12" i="5"/>
  <c r="R45" i="11"/>
  <c r="W45" i="11"/>
  <c r="T45" i="11"/>
  <c r="U51" i="11"/>
  <c r="T51" i="11"/>
  <c r="R51" i="11"/>
  <c r="U38" i="11"/>
  <c r="T38" i="11"/>
  <c r="R38" i="11"/>
  <c r="V37" i="11"/>
  <c r="U37" i="11"/>
  <c r="S37" i="11"/>
  <c r="S40" i="11"/>
  <c r="R40" i="11"/>
  <c r="V40" i="11"/>
  <c r="T43" i="11"/>
  <c r="S43" i="11"/>
  <c r="V43" i="11"/>
  <c r="U42" i="11"/>
  <c r="T42" i="11"/>
  <c r="R42" i="11"/>
  <c r="AA17" i="11"/>
  <c r="AC17" i="11" s="1"/>
  <c r="AD17" i="11" s="1"/>
  <c r="AE17" i="11" s="1"/>
  <c r="AC4" i="11"/>
  <c r="AD4" i="11" s="1"/>
  <c r="AE4" i="11" s="1"/>
  <c r="AG4" i="11" s="1"/>
  <c r="AH4" i="11" s="1"/>
  <c r="AH5" i="11" s="1"/>
  <c r="AH6" i="11" s="1"/>
  <c r="AA3" i="11"/>
  <c r="AC3" i="11" s="1"/>
  <c r="AD3" i="11" s="1"/>
  <c r="AF3" i="11" s="1"/>
  <c r="AC8" i="11"/>
  <c r="AD8" i="11" s="1"/>
  <c r="AE8" i="11" s="1"/>
  <c r="AG8" i="11" s="1"/>
  <c r="AA5" i="11"/>
  <c r="AC5" i="11" s="1"/>
  <c r="AD5" i="11" s="1"/>
  <c r="AE5" i="11" s="1"/>
  <c r="AC7" i="11"/>
  <c r="AD7" i="11" s="1"/>
  <c r="AE7" i="11" s="1"/>
  <c r="AG7" i="11" s="1"/>
  <c r="AA6" i="11"/>
  <c r="AC6" i="11" s="1"/>
  <c r="AD6" i="11" s="1"/>
  <c r="AE6" i="11" s="1"/>
  <c r="R49" i="11"/>
  <c r="W49" i="11"/>
  <c r="V49" i="11"/>
  <c r="W50" i="11"/>
  <c r="V50" i="11"/>
  <c r="U50" i="11"/>
  <c r="W44" i="11"/>
  <c r="S44" i="11"/>
  <c r="R44" i="11"/>
  <c r="U52" i="11"/>
  <c r="T52" i="11"/>
  <c r="S52" i="11"/>
  <c r="U46" i="11"/>
  <c r="W46" i="11"/>
  <c r="V46" i="11"/>
  <c r="S13" i="11"/>
  <c r="W47" i="11"/>
  <c r="T47" i="11"/>
  <c r="V47" i="11"/>
  <c r="S47" i="11"/>
  <c r="S36" i="11"/>
  <c r="R36" i="11"/>
  <c r="W36" i="11"/>
  <c r="U36" i="11"/>
  <c r="V48" i="11"/>
  <c r="S48" i="11"/>
  <c r="W48" i="11"/>
  <c r="R48" i="11"/>
  <c r="V39" i="11"/>
  <c r="U39" i="11"/>
  <c r="T39" i="11"/>
  <c r="R39" i="11"/>
  <c r="T41" i="11"/>
  <c r="S41" i="11"/>
  <c r="AA22" i="11" s="1"/>
  <c r="AC22" i="11" s="1"/>
  <c r="AD22" i="11" s="1"/>
  <c r="AE22" i="11" s="1"/>
  <c r="R41" i="11"/>
  <c r="V41" i="11"/>
  <c r="N22" i="7"/>
  <c r="O22" i="7" s="1"/>
  <c r="P22" i="7" s="1"/>
  <c r="N21" i="7"/>
  <c r="AA16" i="11"/>
  <c r="AC16" i="11" s="1"/>
  <c r="AD16" i="11" s="1"/>
  <c r="AE16" i="11" s="1"/>
  <c r="AA11" i="11"/>
  <c r="AC11" i="11" s="1"/>
  <c r="AD11" i="11" s="1"/>
  <c r="AE11" i="11" s="1"/>
  <c r="AA20" i="11"/>
  <c r="AC20" i="11" s="1"/>
  <c r="AD20" i="11" s="1"/>
  <c r="AE20" i="11" s="1"/>
  <c r="AA10" i="11"/>
  <c r="AC10" i="11" s="1"/>
  <c r="AD10" i="11" s="1"/>
  <c r="AE10" i="11" s="1"/>
  <c r="AA13" i="11"/>
  <c r="AC13" i="11" s="1"/>
  <c r="AD13" i="11" s="1"/>
  <c r="AE13" i="11" s="1"/>
  <c r="AA15" i="11"/>
  <c r="AC15" i="11" s="1"/>
  <c r="AD15" i="11" s="1"/>
  <c r="AE15" i="11" s="1"/>
  <c r="AA19" i="11"/>
  <c r="AC19" i="11" s="1"/>
  <c r="AD19" i="11" s="1"/>
  <c r="AE19" i="11" s="1"/>
  <c r="AA21" i="11"/>
  <c r="AC21" i="11" s="1"/>
  <c r="AD21" i="11" s="1"/>
  <c r="AE21" i="11" s="1"/>
  <c r="AA14" i="11"/>
  <c r="AC14" i="11" s="1"/>
  <c r="AD14" i="11" s="1"/>
  <c r="AE14" i="11" s="1"/>
  <c r="AA12" i="11"/>
  <c r="AC12" i="11" s="1"/>
  <c r="AD12" i="11" s="1"/>
  <c r="AE12" i="11" s="1"/>
  <c r="AA9" i="11"/>
  <c r="AC9" i="11" s="1"/>
  <c r="AD9" i="11" s="1"/>
  <c r="AE9" i="11" s="1"/>
  <c r="AA18" i="11"/>
  <c r="AC18" i="11" s="1"/>
  <c r="AD18" i="11" s="1"/>
  <c r="AE18" i="11" s="1"/>
  <c r="AH7" i="11" l="1"/>
  <c r="AH8" i="11" s="1"/>
  <c r="AH9" i="11" s="1"/>
  <c r="AH10" i="11" s="1"/>
  <c r="AH11" i="11" s="1"/>
  <c r="AH12" i="11" s="1"/>
  <c r="AH13" i="11" s="1"/>
  <c r="AH14" i="11" s="1"/>
  <c r="AH15" i="11" s="1"/>
  <c r="AH16" i="11" s="1"/>
  <c r="AH17" i="11" s="1"/>
  <c r="AH18" i="11" s="1"/>
  <c r="AH19" i="11" s="1"/>
  <c r="AH20" i="11" s="1"/>
  <c r="AH21" i="11" s="1"/>
  <c r="AH22" i="11" s="1"/>
  <c r="AH23" i="11" s="1"/>
  <c r="AH24" i="11" s="1"/>
  <c r="AH25" i="11" s="1"/>
  <c r="AH26" i="11" s="1"/>
  <c r="AH27" i="11" s="1"/>
  <c r="AH28" i="11" s="1"/>
  <c r="AH29" i="11" s="1"/>
  <c r="AH30" i="11" s="1"/>
  <c r="AH31" i="11" s="1"/>
  <c r="AH32" i="11" s="1"/>
  <c r="AH33" i="11" s="1"/>
  <c r="AH34" i="11" s="1"/>
  <c r="AH35" i="11" s="1"/>
  <c r="AH36" i="11" s="1"/>
  <c r="AH37" i="11" s="1"/>
  <c r="AH38" i="11" s="1"/>
  <c r="AH39" i="11" s="1"/>
  <c r="AH40" i="11" s="1"/>
  <c r="AH41" i="11" s="1"/>
  <c r="AH42" i="11" s="1"/>
  <c r="AH43" i="11" s="1"/>
  <c r="AH44" i="11" s="1"/>
  <c r="AH45" i="11" s="1"/>
  <c r="AH46" i="11" s="1"/>
  <c r="AH47" i="11" s="1"/>
  <c r="AH48" i="11" s="1"/>
  <c r="AH49" i="11" s="1"/>
  <c r="AH50" i="11" s="1"/>
  <c r="AH51" i="11" s="1"/>
  <c r="AH52" i="11" s="1"/>
  <c r="AH53" i="11" s="1"/>
  <c r="AH54" i="11" s="1"/>
  <c r="AH55" i="11" s="1"/>
  <c r="AH56" i="11" s="1"/>
  <c r="AH57" i="11" s="1"/>
  <c r="AH58" i="11" s="1"/>
  <c r="AH59" i="11" s="1"/>
  <c r="AH60" i="11" s="1"/>
  <c r="AH61" i="11" s="1"/>
  <c r="AH62" i="11" s="1"/>
  <c r="AH63" i="11" s="1"/>
  <c r="AH64" i="11" s="1"/>
  <c r="AH65" i="11" s="1"/>
  <c r="AH66" i="11" s="1"/>
  <c r="AH67" i="11" s="1"/>
  <c r="AH68" i="11" s="1"/>
  <c r="AH69" i="11" s="1"/>
  <c r="AH70" i="11" s="1"/>
  <c r="AH71" i="11" s="1"/>
  <c r="AH72" i="11" s="1"/>
  <c r="AH73" i="11" s="1"/>
  <c r="AH74" i="11" s="1"/>
  <c r="AH75" i="11" s="1"/>
  <c r="AH76" i="11" s="1"/>
  <c r="AH77" i="11" s="1"/>
  <c r="AH78" i="11" s="1"/>
  <c r="AH79" i="11" s="1"/>
  <c r="AH80" i="11" s="1"/>
  <c r="AH81" i="11" s="1"/>
  <c r="AH82" i="11" s="1"/>
  <c r="AH83" i="11" s="1"/>
  <c r="AH84" i="11" s="1"/>
  <c r="AH85" i="11" s="1"/>
  <c r="AH86" i="11" s="1"/>
  <c r="AH87" i="11" s="1"/>
  <c r="AH88" i="11" s="1"/>
  <c r="AH89" i="11" s="1"/>
  <c r="AH90" i="11" s="1"/>
  <c r="AH91" i="11" s="1"/>
  <c r="AH92" i="11" s="1"/>
  <c r="AF4" i="11"/>
  <c r="AF5" i="11" s="1"/>
  <c r="AF6" i="11" s="1"/>
  <c r="AF7" i="11" s="1"/>
  <c r="AF8" i="11" s="1"/>
  <c r="AF9" i="11" s="1"/>
  <c r="AF10" i="11" s="1"/>
  <c r="AF11" i="11" s="1"/>
  <c r="AF12" i="11" s="1"/>
  <c r="AF13" i="11" s="1"/>
  <c r="AF14" i="11" s="1"/>
  <c r="AF15" i="11" s="1"/>
  <c r="AF16" i="11" s="1"/>
  <c r="AF17" i="11" s="1"/>
  <c r="AF18" i="11" s="1"/>
  <c r="AF19" i="11" s="1"/>
  <c r="AF20" i="11" s="1"/>
  <c r="AF21" i="11" s="1"/>
  <c r="AF22" i="11" s="1"/>
  <c r="AA81" i="11"/>
  <c r="AC81" i="11" s="1"/>
  <c r="AD81" i="11" s="1"/>
  <c r="AE81" i="11" s="1"/>
  <c r="AA44" i="11"/>
  <c r="AC44" i="11" s="1"/>
  <c r="AD44" i="11" s="1"/>
  <c r="AE44" i="11" s="1"/>
  <c r="AA36" i="11"/>
  <c r="AC36" i="11" s="1"/>
  <c r="AD36" i="11" s="1"/>
  <c r="AE36" i="11" s="1"/>
  <c r="AA35" i="11"/>
  <c r="AC35" i="11" s="1"/>
  <c r="AD35" i="11" s="1"/>
  <c r="AE35" i="11" s="1"/>
  <c r="AA51" i="11"/>
  <c r="AC51" i="11" s="1"/>
  <c r="AD51" i="11" s="1"/>
  <c r="AE51" i="11" s="1"/>
  <c r="AA26" i="11"/>
  <c r="AC26" i="11" s="1"/>
  <c r="AD26" i="11" s="1"/>
  <c r="AE26" i="11" s="1"/>
  <c r="AA38" i="11"/>
  <c r="AC38" i="11" s="1"/>
  <c r="AD38" i="11" s="1"/>
  <c r="AE38" i="11" s="1"/>
  <c r="AA34" i="11"/>
  <c r="AC34" i="11" s="1"/>
  <c r="AD34" i="11" s="1"/>
  <c r="AE34" i="11" s="1"/>
  <c r="J52" i="11"/>
  <c r="K51" i="11"/>
  <c r="L50" i="11"/>
  <c r="M49" i="11"/>
  <c r="N48" i="11"/>
  <c r="AA88" i="11" s="1"/>
  <c r="AC88" i="11" s="1"/>
  <c r="AD88" i="11" s="1"/>
  <c r="AE88" i="11" s="1"/>
  <c r="O47" i="11"/>
  <c r="J46" i="11"/>
  <c r="K45" i="11"/>
  <c r="L44" i="11"/>
  <c r="M43" i="11"/>
  <c r="N42" i="11"/>
  <c r="M52" i="11"/>
  <c r="N51" i="11"/>
  <c r="O50" i="11"/>
  <c r="J49" i="11"/>
  <c r="K48" i="11"/>
  <c r="L47" i="11"/>
  <c r="AA48" i="11" s="1"/>
  <c r="AC48" i="11" s="1"/>
  <c r="AD48" i="11" s="1"/>
  <c r="AE48" i="11" s="1"/>
  <c r="M46" i="11"/>
  <c r="N45" i="11"/>
  <c r="AA76" i="11" s="1"/>
  <c r="AC76" i="11" s="1"/>
  <c r="AD76" i="11" s="1"/>
  <c r="AE76" i="11" s="1"/>
  <c r="O44" i="11"/>
  <c r="J43" i="11"/>
  <c r="J51" i="11"/>
  <c r="K50" i="11"/>
  <c r="L49" i="11"/>
  <c r="M48" i="11"/>
  <c r="N47" i="11"/>
  <c r="O46" i="11"/>
  <c r="K42" i="11"/>
  <c r="L41" i="11"/>
  <c r="M40" i="11"/>
  <c r="N39" i="11"/>
  <c r="O38" i="11"/>
  <c r="J37" i="11"/>
  <c r="K36" i="11"/>
  <c r="J36" i="11"/>
  <c r="J50" i="11"/>
  <c r="K49" i="11"/>
  <c r="L48" i="11"/>
  <c r="M47" i="11"/>
  <c r="N46" i="11"/>
  <c r="O45" i="11"/>
  <c r="J42" i="11"/>
  <c r="K41" i="11"/>
  <c r="L40" i="11"/>
  <c r="M39" i="11"/>
  <c r="N38" i="11"/>
  <c r="O37" i="11"/>
  <c r="O52" i="11"/>
  <c r="J48" i="11"/>
  <c r="K47" i="11"/>
  <c r="L46" i="11"/>
  <c r="M45" i="11"/>
  <c r="N44" i="11"/>
  <c r="O43" i="11"/>
  <c r="J41" i="11"/>
  <c r="K40" i="11"/>
  <c r="L39" i="11"/>
  <c r="M38" i="11"/>
  <c r="N37" i="11"/>
  <c r="O36" i="11"/>
  <c r="N52" i="11"/>
  <c r="O51" i="11"/>
  <c r="J47" i="11"/>
  <c r="K46" i="11"/>
  <c r="L45" i="11"/>
  <c r="M44" i="11"/>
  <c r="N43" i="11"/>
  <c r="O42" i="11"/>
  <c r="O41" i="11"/>
  <c r="J40" i="11"/>
  <c r="K39" i="11"/>
  <c r="L38" i="11"/>
  <c r="M37" i="11"/>
  <c r="N36" i="11"/>
  <c r="K52" i="11"/>
  <c r="L51" i="11"/>
  <c r="M50" i="11"/>
  <c r="N49" i="11"/>
  <c r="O48" i="11"/>
  <c r="J44" i="11"/>
  <c r="K43" i="11"/>
  <c r="AA27" i="11" s="1"/>
  <c r="AC27" i="11" s="1"/>
  <c r="AD27" i="11" s="1"/>
  <c r="AE27" i="11" s="1"/>
  <c r="L42" i="11"/>
  <c r="M41" i="11"/>
  <c r="N40" i="11"/>
  <c r="O39" i="11"/>
  <c r="J38" i="11"/>
  <c r="K37" i="11"/>
  <c r="L36" i="11"/>
  <c r="O49" i="11"/>
  <c r="J39" i="11"/>
  <c r="M51" i="11"/>
  <c r="J45" i="11"/>
  <c r="L43" i="11"/>
  <c r="AA37" i="11" s="1"/>
  <c r="AC37" i="11" s="1"/>
  <c r="AD37" i="11" s="1"/>
  <c r="AE37" i="11" s="1"/>
  <c r="O40" i="11"/>
  <c r="L37" i="11"/>
  <c r="M36" i="11"/>
  <c r="N41" i="11"/>
  <c r="M42" i="11"/>
  <c r="N50" i="11"/>
  <c r="K44" i="11"/>
  <c r="K38" i="11"/>
  <c r="L52" i="11"/>
  <c r="R46" i="11"/>
  <c r="R52" i="11"/>
  <c r="T44" i="11"/>
  <c r="T50" i="11"/>
  <c r="U49" i="11"/>
  <c r="S42" i="11"/>
  <c r="U41" i="11"/>
  <c r="W39" i="11"/>
  <c r="T48" i="11"/>
  <c r="T36" i="11"/>
  <c r="R47" i="11"/>
  <c r="T46" i="11"/>
  <c r="AA49" i="11" s="1"/>
  <c r="AC49" i="11" s="1"/>
  <c r="AD49" i="11" s="1"/>
  <c r="AE49" i="11" s="1"/>
  <c r="V52" i="11"/>
  <c r="V44" i="11"/>
  <c r="R50" i="11"/>
  <c r="S49" i="11"/>
  <c r="V42" i="11"/>
  <c r="U43" i="11"/>
  <c r="U40" i="11"/>
  <c r="R37" i="11"/>
  <c r="W38" i="11"/>
  <c r="S51" i="11"/>
  <c r="S45" i="11"/>
  <c r="W41" i="11"/>
  <c r="S39" i="11"/>
  <c r="U48" i="11"/>
  <c r="V36" i="11"/>
  <c r="U47" i="11"/>
  <c r="S46" i="11"/>
  <c r="AA33" i="11" s="1"/>
  <c r="AC33" i="11" s="1"/>
  <c r="AD33" i="11" s="1"/>
  <c r="AE33" i="11" s="1"/>
  <c r="W52" i="11"/>
  <c r="U44" i="11"/>
  <c r="AA56" i="11" s="1"/>
  <c r="AC56" i="11" s="1"/>
  <c r="AD56" i="11" s="1"/>
  <c r="AE56" i="11" s="1"/>
  <c r="S50" i="11"/>
  <c r="T49" i="11"/>
  <c r="AA55" i="11" s="1"/>
  <c r="AC55" i="11" s="1"/>
  <c r="AD55" i="11" s="1"/>
  <c r="AE55" i="11" s="1"/>
  <c r="W42" i="11"/>
  <c r="W43" i="11"/>
  <c r="W40" i="11"/>
  <c r="T37" i="11"/>
  <c r="S38" i="11"/>
  <c r="W51" i="11"/>
  <c r="U45" i="11"/>
  <c r="AA82" i="11"/>
  <c r="AC82" i="11" s="1"/>
  <c r="AD82" i="11" s="1"/>
  <c r="AE82" i="11" s="1"/>
  <c r="AA85" i="11"/>
  <c r="AC85" i="11" s="1"/>
  <c r="AD85" i="11" s="1"/>
  <c r="AE85" i="11" s="1"/>
  <c r="AA84" i="11"/>
  <c r="AC84" i="11" s="1"/>
  <c r="AD84" i="11" s="1"/>
  <c r="AE84" i="11" s="1"/>
  <c r="AA83" i="11"/>
  <c r="AC83" i="11" s="1"/>
  <c r="AD83" i="11" s="1"/>
  <c r="AE83" i="11" s="1"/>
  <c r="AA87" i="11"/>
  <c r="AC87" i="11" s="1"/>
  <c r="AD87" i="11" s="1"/>
  <c r="AE87" i="11" s="1"/>
  <c r="AA86" i="11"/>
  <c r="AC86" i="11" s="1"/>
  <c r="AD86" i="11" s="1"/>
  <c r="AE86" i="11" s="1"/>
  <c r="AA28" i="11"/>
  <c r="AC28" i="11" s="1"/>
  <c r="AD28" i="11" s="1"/>
  <c r="AE28" i="11" s="1"/>
  <c r="AA90" i="11"/>
  <c r="AC90" i="11" s="1"/>
  <c r="AD90" i="11" s="1"/>
  <c r="AE90" i="11" s="1"/>
  <c r="AA91" i="11"/>
  <c r="AC91" i="11" s="1"/>
  <c r="AD91" i="11" s="1"/>
  <c r="AE91" i="11" s="1"/>
  <c r="AA92" i="11"/>
  <c r="AC92" i="11" s="1"/>
  <c r="AD92" i="11" s="1"/>
  <c r="AA89" i="11"/>
  <c r="AC89" i="11" s="1"/>
  <c r="AD89" i="11" s="1"/>
  <c r="AE89" i="11" s="1"/>
  <c r="AA64" i="11"/>
  <c r="AC64" i="11" s="1"/>
  <c r="AD64" i="11" s="1"/>
  <c r="AE64" i="11" s="1"/>
  <c r="AA61" i="11"/>
  <c r="AC61" i="11" s="1"/>
  <c r="AD61" i="11" s="1"/>
  <c r="AE61" i="11" s="1"/>
  <c r="AA65" i="11"/>
  <c r="AC65" i="11" s="1"/>
  <c r="AD65" i="11" s="1"/>
  <c r="AE65" i="11" s="1"/>
  <c r="AA63" i="11"/>
  <c r="AC63" i="11" s="1"/>
  <c r="AD63" i="11" s="1"/>
  <c r="AE63" i="11" s="1"/>
  <c r="AA62" i="11"/>
  <c r="AC62" i="11" s="1"/>
  <c r="AD62" i="11" s="1"/>
  <c r="AE62" i="11" s="1"/>
  <c r="R43" i="11"/>
  <c r="T40" i="11"/>
  <c r="W37" i="11"/>
  <c r="V38" i="11"/>
  <c r="V51" i="11"/>
  <c r="V45" i="11"/>
  <c r="AA75" i="11" s="1"/>
  <c r="AC75" i="11" s="1"/>
  <c r="AD75" i="11" s="1"/>
  <c r="AE75" i="11" s="1"/>
  <c r="O21" i="7"/>
  <c r="P21" i="7" s="1"/>
  <c r="AA41" i="11" l="1"/>
  <c r="AC41" i="11" s="1"/>
  <c r="AD41" i="11" s="1"/>
  <c r="AE41" i="11" s="1"/>
  <c r="AA40" i="11"/>
  <c r="AC40" i="11" s="1"/>
  <c r="AD40" i="11" s="1"/>
  <c r="AE40" i="11" s="1"/>
  <c r="AA39" i="11"/>
  <c r="AC39" i="11" s="1"/>
  <c r="AD39" i="11" s="1"/>
  <c r="AE39" i="11" s="1"/>
  <c r="AA70" i="11"/>
  <c r="AC70" i="11" s="1"/>
  <c r="AD70" i="11" s="1"/>
  <c r="AE70" i="11" s="1"/>
  <c r="AA73" i="11"/>
  <c r="AC73" i="11" s="1"/>
  <c r="AD73" i="11" s="1"/>
  <c r="AE73" i="11" s="1"/>
  <c r="AA74" i="11"/>
  <c r="AC74" i="11" s="1"/>
  <c r="AD74" i="11" s="1"/>
  <c r="AE74" i="11" s="1"/>
  <c r="AA72" i="11"/>
  <c r="AC72" i="11" s="1"/>
  <c r="AD72" i="11" s="1"/>
  <c r="AE72" i="11" s="1"/>
  <c r="AA71" i="11"/>
  <c r="AC71" i="11" s="1"/>
  <c r="AD71" i="11" s="1"/>
  <c r="AE71" i="11" s="1"/>
  <c r="AA77" i="11"/>
  <c r="AC77" i="11" s="1"/>
  <c r="AD77" i="11" s="1"/>
  <c r="AE77" i="11" s="1"/>
  <c r="AA80" i="11"/>
  <c r="AC80" i="11" s="1"/>
  <c r="AD80" i="11" s="1"/>
  <c r="AE80" i="11" s="1"/>
  <c r="AA46" i="11"/>
  <c r="AC46" i="11" s="1"/>
  <c r="AD46" i="11" s="1"/>
  <c r="AE46" i="11" s="1"/>
  <c r="AA47" i="11"/>
  <c r="AC47" i="11" s="1"/>
  <c r="AD47" i="11" s="1"/>
  <c r="AE47" i="11" s="1"/>
  <c r="AA45" i="11"/>
  <c r="AC45" i="11" s="1"/>
  <c r="AD45" i="11" s="1"/>
  <c r="AE45" i="11" s="1"/>
  <c r="AA24" i="11"/>
  <c r="AC24" i="11" s="1"/>
  <c r="AD24" i="11" s="1"/>
  <c r="AE24" i="11" s="1"/>
  <c r="AA23" i="11"/>
  <c r="AC23" i="11" s="1"/>
  <c r="AD23" i="11" s="1"/>
  <c r="AE23" i="11" s="1"/>
  <c r="AF23" i="11" s="1"/>
  <c r="AF24" i="11" s="1"/>
  <c r="AF25" i="11" s="1"/>
  <c r="AF26" i="11" s="1"/>
  <c r="AF27" i="11" s="1"/>
  <c r="AF28" i="11" s="1"/>
  <c r="AF29" i="11" s="1"/>
  <c r="AF30" i="11" s="1"/>
  <c r="AF31" i="11" s="1"/>
  <c r="AF32" i="11" s="1"/>
  <c r="AF33" i="11" s="1"/>
  <c r="AF34" i="11" s="1"/>
  <c r="AF35" i="11" s="1"/>
  <c r="AF36" i="11" s="1"/>
  <c r="AF37" i="11" s="1"/>
  <c r="AF38" i="11" s="1"/>
  <c r="AF39" i="11" s="1"/>
  <c r="AF40" i="11" s="1"/>
  <c r="AF41" i="11" s="1"/>
  <c r="AF42" i="11" s="1"/>
  <c r="AF43" i="11" s="1"/>
  <c r="AF44" i="11" s="1"/>
  <c r="AF45" i="11" s="1"/>
  <c r="AF46" i="11" s="1"/>
  <c r="AF47" i="11" s="1"/>
  <c r="AF48" i="11" s="1"/>
  <c r="AF49" i="11" s="1"/>
  <c r="AF50" i="11" s="1"/>
  <c r="AF51" i="11" s="1"/>
  <c r="AF52" i="11" s="1"/>
  <c r="AF53" i="11" s="1"/>
  <c r="AF54" i="11" s="1"/>
  <c r="AF55" i="11" s="1"/>
  <c r="AF56" i="11" s="1"/>
  <c r="AF57" i="11" s="1"/>
  <c r="AF58" i="11" s="1"/>
  <c r="AF59" i="11" s="1"/>
  <c r="AF60" i="11" s="1"/>
  <c r="AF61" i="11" s="1"/>
  <c r="AF62" i="11" s="1"/>
  <c r="AF63" i="11" s="1"/>
  <c r="AF64" i="11" s="1"/>
  <c r="AF65" i="11" s="1"/>
  <c r="AF66" i="11" s="1"/>
  <c r="AF67" i="11" s="1"/>
  <c r="AF68" i="11" s="1"/>
  <c r="AF69" i="11" s="1"/>
  <c r="AF70" i="11" s="1"/>
  <c r="AF71" i="11" s="1"/>
  <c r="AF72" i="11" s="1"/>
  <c r="AF73" i="11" s="1"/>
  <c r="AF74" i="11" s="1"/>
  <c r="AF75" i="11" s="1"/>
  <c r="AF76" i="11" s="1"/>
  <c r="AF77" i="11" s="1"/>
  <c r="AF78" i="11" s="1"/>
  <c r="AF79" i="11" s="1"/>
  <c r="AF80" i="11" s="1"/>
  <c r="AF81" i="11" s="1"/>
  <c r="AF82" i="11" s="1"/>
  <c r="AF83" i="11" s="1"/>
  <c r="AF84" i="11" s="1"/>
  <c r="AF85" i="11" s="1"/>
  <c r="AF86" i="11" s="1"/>
  <c r="AF87" i="11" s="1"/>
  <c r="AF88" i="11" s="1"/>
  <c r="AF89" i="11" s="1"/>
  <c r="AF90" i="11" s="1"/>
  <c r="AF91" i="11" s="1"/>
  <c r="AF92" i="11" s="1"/>
  <c r="AA25" i="11"/>
  <c r="AC25" i="11" s="1"/>
  <c r="AD25" i="11" s="1"/>
  <c r="AE25" i="11" s="1"/>
  <c r="AA78" i="11"/>
  <c r="AC78" i="11" s="1"/>
  <c r="AD78" i="11" s="1"/>
  <c r="AE78" i="11" s="1"/>
  <c r="AA31" i="11"/>
  <c r="AC31" i="11" s="1"/>
  <c r="AD31" i="11" s="1"/>
  <c r="AE31" i="11" s="1"/>
  <c r="AA32" i="11"/>
  <c r="AC32" i="11" s="1"/>
  <c r="AD32" i="11" s="1"/>
  <c r="AE32" i="11" s="1"/>
  <c r="AA30" i="11"/>
  <c r="AC30" i="11" s="1"/>
  <c r="AD30" i="11" s="1"/>
  <c r="AE30" i="11" s="1"/>
  <c r="AA29" i="11"/>
  <c r="AC29" i="11" s="1"/>
  <c r="AD29" i="11" s="1"/>
  <c r="AE29" i="11" s="1"/>
  <c r="AA50" i="11"/>
  <c r="AC50" i="11" s="1"/>
  <c r="AD50" i="11" s="1"/>
  <c r="AE50" i="11" s="1"/>
  <c r="AA42" i="11"/>
  <c r="AC42" i="11" s="1"/>
  <c r="AD42" i="11" s="1"/>
  <c r="AE42" i="11" s="1"/>
  <c r="AA58" i="11"/>
  <c r="AC58" i="11" s="1"/>
  <c r="AD58" i="11" s="1"/>
  <c r="AE58" i="11" s="1"/>
  <c r="AA57" i="11"/>
  <c r="AC57" i="11" s="1"/>
  <c r="AD57" i="11" s="1"/>
  <c r="AE57" i="11" s="1"/>
  <c r="AA60" i="11"/>
  <c r="AC60" i="11" s="1"/>
  <c r="AD60" i="11" s="1"/>
  <c r="AE60" i="11" s="1"/>
  <c r="AA59" i="11"/>
  <c r="AC59" i="11" s="1"/>
  <c r="AD59" i="11" s="1"/>
  <c r="AE59" i="11" s="1"/>
  <c r="AA67" i="11"/>
  <c r="AC67" i="11" s="1"/>
  <c r="AD67" i="11" s="1"/>
  <c r="AE67" i="11" s="1"/>
  <c r="AA66" i="11"/>
  <c r="AC66" i="11" s="1"/>
  <c r="AD66" i="11" s="1"/>
  <c r="AE66" i="11" s="1"/>
  <c r="AA69" i="11"/>
  <c r="AC69" i="11" s="1"/>
  <c r="AD69" i="11" s="1"/>
  <c r="AE69" i="11" s="1"/>
  <c r="AA68" i="11"/>
  <c r="AC68" i="11" s="1"/>
  <c r="AD68" i="11" s="1"/>
  <c r="AE68" i="11" s="1"/>
  <c r="AA79" i="11"/>
  <c r="AC79" i="11" s="1"/>
  <c r="AD79" i="11" s="1"/>
  <c r="AE79" i="11" s="1"/>
  <c r="AA52" i="11"/>
  <c r="AC52" i="11" s="1"/>
  <c r="AD52" i="11" s="1"/>
  <c r="AE52" i="11" s="1"/>
  <c r="AA54" i="11"/>
  <c r="AC54" i="11" s="1"/>
  <c r="AD54" i="11" s="1"/>
  <c r="AE54" i="11" s="1"/>
  <c r="AA53" i="11"/>
  <c r="AC53" i="11" s="1"/>
  <c r="AD53" i="11" s="1"/>
  <c r="AE53" i="11" s="1"/>
  <c r="AA43" i="11"/>
  <c r="AC43" i="11" s="1"/>
  <c r="AD43" i="11" s="1"/>
  <c r="AE43" i="11" s="1"/>
  <c r="M36" i="13"/>
  <c r="C6" i="15" s="1"/>
  <c r="H40" i="13"/>
  <c r="C8" i="14"/>
  <c r="C11" i="15"/>
  <c r="P24" i="15" s="1"/>
  <c r="L36" i="13"/>
  <c r="C5" i="15" s="1"/>
  <c r="C5" i="14"/>
  <c r="I2" i="14" s="1"/>
  <c r="I41" i="13"/>
  <c r="H41" i="13" s="1"/>
  <c r="C6" i="14"/>
  <c r="I3" i="14"/>
  <c r="I11" i="14" s="1"/>
  <c r="E21" i="15" l="1"/>
  <c r="E22" i="15" s="1"/>
  <c r="D22" i="15"/>
  <c r="D23" i="15"/>
  <c r="D24" i="15" s="1"/>
  <c r="I8" i="14"/>
  <c r="M6" i="14" s="1"/>
  <c r="I5" i="14"/>
  <c r="M16" i="14" s="1"/>
  <c r="D5" i="13"/>
  <c r="P5" i="13" s="1"/>
  <c r="P28" i="13" s="1"/>
  <c r="J36" i="13" s="1"/>
  <c r="D11" i="15"/>
  <c r="B23" i="15" s="1"/>
  <c r="B24" i="15" s="1"/>
  <c r="C9" i="14"/>
  <c r="M5" i="14"/>
  <c r="M11" i="14"/>
  <c r="M12" i="14"/>
  <c r="C7" i="15"/>
  <c r="I6" i="14"/>
  <c r="G5" i="13" l="1"/>
  <c r="G28" i="13" s="1"/>
  <c r="K32" i="13" s="1"/>
  <c r="N5" i="13"/>
  <c r="N28" i="13" s="1"/>
  <c r="H36" i="13" s="1"/>
  <c r="I9" i="14"/>
  <c r="E23" i="15"/>
  <c r="E24" i="15" s="1"/>
  <c r="O5" i="13"/>
  <c r="O28" i="13" s="1"/>
  <c r="I36" i="13" s="1"/>
  <c r="H52" i="13" s="1"/>
  <c r="H53" i="13" s="1"/>
  <c r="M20" i="14"/>
  <c r="C15" i="15" s="1"/>
  <c r="H51" i="13"/>
  <c r="H50" i="13"/>
  <c r="I51" i="13" s="1"/>
  <c r="M17" i="14"/>
  <c r="I12" i="14"/>
  <c r="M8" i="14"/>
  <c r="M7" i="14"/>
  <c r="B22" i="15"/>
  <c r="G32" i="13"/>
  <c r="D14" i="15" l="1"/>
  <c r="M21" i="14"/>
  <c r="D15" i="15" s="1"/>
  <c r="P4" i="15" s="1"/>
  <c r="P8" i="15" s="1"/>
  <c r="M13" i="14"/>
  <c r="M14" i="14"/>
  <c r="J24" i="13"/>
  <c r="J10" i="13"/>
  <c r="J6" i="13"/>
  <c r="J11" i="13"/>
  <c r="J14" i="13"/>
  <c r="J22" i="13"/>
  <c r="J25" i="13"/>
  <c r="J13" i="13"/>
  <c r="J19" i="13"/>
  <c r="J23" i="13"/>
  <c r="J17" i="13"/>
  <c r="J8" i="13"/>
  <c r="J7" i="13"/>
  <c r="J18" i="13"/>
  <c r="J15" i="13"/>
  <c r="J12" i="13"/>
  <c r="J9" i="13"/>
  <c r="J16" i="13"/>
  <c r="J5" i="13"/>
  <c r="P9" i="15" l="1"/>
  <c r="P10" i="15" l="1"/>
  <c r="P11" i="15" s="1"/>
  <c r="P15" i="15"/>
  <c r="P16" i="15"/>
  <c r="P18" i="15" s="1"/>
  <c r="C23" i="15" s="1"/>
  <c r="K23" i="15" s="1"/>
  <c r="F23" i="15" l="1"/>
  <c r="H23" i="15" s="1"/>
  <c r="C24" i="15"/>
  <c r="F24" i="15" s="1"/>
  <c r="H24" i="15" s="1"/>
  <c r="R15" i="15"/>
  <c r="R16" i="15" s="1"/>
  <c r="P17" i="15"/>
  <c r="C21" i="15" s="1"/>
  <c r="K21" i="15" s="1"/>
  <c r="C22" i="15" l="1"/>
  <c r="F22" i="15" s="1"/>
  <c r="H22" i="15" s="1"/>
  <c r="F21" i="15"/>
  <c r="H21" i="15" s="1"/>
  <c r="L21" i="15" l="1"/>
  <c r="L23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<sst xmlns="http://schemas.openxmlformats.org/spreadsheetml/2006/main" count="718" uniqueCount="509">
  <si>
    <t>Fz</t>
  </si>
  <si>
    <t>Fy</t>
  </si>
  <si>
    <t>Mz</t>
  </si>
  <si>
    <t>B</t>
  </si>
  <si>
    <t>C</t>
  </si>
  <si>
    <t>D</t>
  </si>
  <si>
    <t>E</t>
  </si>
  <si>
    <t>Sh</t>
  </si>
  <si>
    <t>Sv</t>
  </si>
  <si>
    <t>BCD</t>
  </si>
  <si>
    <t>Parámetros de entrada: Coeficientes del neumático</t>
  </si>
  <si>
    <t>Ecuación a emplear</t>
  </si>
  <si>
    <t>y(x)=D*sin{C*tan^(-1)*[B*(x+Sh)-E*(B*(x+Sh)-tan^(-1)*[B*(x+Sh)]]}+Sv</t>
  </si>
  <si>
    <t>Cálculos para Fz = 2kN</t>
  </si>
  <si>
    <t>Deslizamiento longitudinal en %</t>
  </si>
  <si>
    <t>Ángulo de deriva</t>
  </si>
  <si>
    <t>Fx (Fz = 2)</t>
  </si>
  <si>
    <t>Fy (Fz = 2)</t>
  </si>
  <si>
    <t>Mz (Fz = 2)</t>
  </si>
  <si>
    <t>Fx</t>
  </si>
  <si>
    <t>Fx (Fz = 4)</t>
  </si>
  <si>
    <t>Fy (Fz = 4)</t>
  </si>
  <si>
    <t>Mz (Fz = 4)</t>
  </si>
  <si>
    <t>Fx (Fz = 6)</t>
  </si>
  <si>
    <t>Fy (Fz = 6)</t>
  </si>
  <si>
    <t>Mz (Fz = 6)</t>
  </si>
  <si>
    <t>Fx (Fz = 8)</t>
  </si>
  <si>
    <t>Fy (Fz = 8)</t>
  </si>
  <si>
    <t>Mz (Fz = 8)</t>
  </si>
  <si>
    <t>Cálculos para Fz = 4kN</t>
  </si>
  <si>
    <t>Cálculos para Fz = 6kN</t>
  </si>
  <si>
    <t>Cálculos para Fz = 8kN</t>
  </si>
  <si>
    <t>a0</t>
  </si>
  <si>
    <t>b0</t>
  </si>
  <si>
    <t>c0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</si>
  <si>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</si>
  <si>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</si>
  <si>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</si>
  <si>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</si>
  <si>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</si>
  <si>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</si>
  <si>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</si>
  <si>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</si>
  <si>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</si>
  <si>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</si>
  <si>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</si>
  <si>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</si>
  <si>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</si>
  <si>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</si>
  <si>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</si>
  <si>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</si>
  <si>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</si>
  <si>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</si>
  <si>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</si>
  <si>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</si>
  <si>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</si>
  <si>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</si>
  <si>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</si>
  <si>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</si>
  <si>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</si>
  <si>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</si>
  <si>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</si>
  <si>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</si>
  <si>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</si>
  <si>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</si>
  <si>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</si>
  <si>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c11</t>
  </si>
  <si>
    <t>a12</t>
  </si>
  <si>
    <t>c12</t>
  </si>
  <si>
    <t>a13</t>
  </si>
  <si>
    <t>c13</t>
  </si>
  <si>
    <t>c14</t>
  </si>
  <si>
    <t>c15</t>
  </si>
  <si>
    <t>c16</t>
  </si>
  <si>
    <t>c17</t>
  </si>
  <si>
    <t>BCDx</t>
  </si>
  <si>
    <r>
      <rPr>
        <sz val="11"/>
        <color theme="1"/>
        <rFont val="Aptos Narrow"/>
        <family val="2"/>
      </rPr>
      <t>µ</t>
    </r>
    <r>
      <rPr>
        <sz val="10"/>
        <color theme="1"/>
        <rFont val="Aptos Narrow"/>
        <family val="2"/>
      </rPr>
      <t>x</t>
    </r>
  </si>
  <si>
    <t>Ɣ</t>
  </si>
  <si>
    <t>BCDy</t>
  </si>
  <si>
    <r>
      <t>µ</t>
    </r>
    <r>
      <rPr>
        <sz val="10"/>
        <color theme="1"/>
        <rFont val="Aptos Narrow"/>
        <family val="2"/>
      </rPr>
      <t>y</t>
    </r>
  </si>
  <si>
    <t>kN</t>
  </si>
  <si>
    <t>º</t>
  </si>
  <si>
    <t>Carga vertical</t>
  </si>
  <si>
    <t>Caida de rueda</t>
  </si>
  <si>
    <t>BCDz</t>
  </si>
  <si>
    <t>Area frontal</t>
  </si>
  <si>
    <t>Cx</t>
  </si>
  <si>
    <t>Densidad del aire</t>
  </si>
  <si>
    <t>Factor de resistencia aerodinámica</t>
  </si>
  <si>
    <t>Velocidad (km/h)</t>
  </si>
  <si>
    <t>Resistencia aerodinámica (N)</t>
  </si>
  <si>
    <t>Potencia necesaria para vencer resistencia aerodinámica (CV)</t>
  </si>
  <si>
    <t>Datos de entrada</t>
  </si>
  <si>
    <t>Datos del vehículo</t>
  </si>
  <si>
    <t>Vehículo</t>
  </si>
  <si>
    <t>Peso del coche en vacío</t>
  </si>
  <si>
    <t>Batalla</t>
  </si>
  <si>
    <r>
      <t>Skoda Octavia U1Z 1.9TD</t>
    </r>
    <r>
      <rPr>
        <sz val="11"/>
        <color rgb="FFFF0000"/>
        <rFont val="Aptos Narrow"/>
        <family val="2"/>
        <scheme val="minor"/>
      </rPr>
      <t>i</t>
    </r>
  </si>
  <si>
    <t>I1 del CDG al eje delantero</t>
  </si>
  <si>
    <t>h (Altura del CDG)</t>
  </si>
  <si>
    <t>Potencia</t>
  </si>
  <si>
    <t>Cx Aerodinámico</t>
  </si>
  <si>
    <t>Area frontal del vehículo</t>
  </si>
  <si>
    <t>Datos del neumático</t>
  </si>
  <si>
    <t>Coef. De resis. A la rodadura fo Térmico independiente</t>
  </si>
  <si>
    <t>Coef. De resis. A la rodadura fo Térmico cuadrático</t>
  </si>
  <si>
    <t>Coef. De adherencia</t>
  </si>
  <si>
    <t>Características del firme</t>
  </si>
  <si>
    <t>Rampa (%)</t>
  </si>
  <si>
    <t>Rampa (º)</t>
  </si>
  <si>
    <t>Rampa</t>
  </si>
  <si>
    <t>%</t>
  </si>
  <si>
    <t>Grados</t>
  </si>
  <si>
    <t>Rads</t>
  </si>
  <si>
    <t>kg -&gt; N</t>
  </si>
  <si>
    <t>L (m)</t>
  </si>
  <si>
    <t>L1 (m)</t>
  </si>
  <si>
    <t>h (m)</t>
  </si>
  <si>
    <t>Af (m^2)</t>
  </si>
  <si>
    <t>ro (kg/m^3)</t>
  </si>
  <si>
    <t>CV -&gt; Vatios</t>
  </si>
  <si>
    <t>Velocidad (m/s)</t>
  </si>
  <si>
    <t>Resistencia a la rodadura sin considerar la rampa</t>
  </si>
  <si>
    <t>Resistencia a la rodadura considerando la rampa</t>
  </si>
  <si>
    <t>Resistencia aerodinámica</t>
  </si>
  <si>
    <t>Resistencia gravitatoria</t>
  </si>
  <si>
    <t>Resistencia total</t>
  </si>
  <si>
    <t>Potencia necesaria (W)</t>
  </si>
  <si>
    <t>Potencia necesaria (CV)</t>
  </si>
  <si>
    <t>Esfuerzos tractores máximos</t>
  </si>
  <si>
    <t>Si se considera pendiente despreciable</t>
  </si>
  <si>
    <t>N</t>
  </si>
  <si>
    <t>fr</t>
  </si>
  <si>
    <t>Velocidad inicial</t>
  </si>
  <si>
    <t>n</t>
  </si>
  <si>
    <t>Con pendiente no despreciable</t>
  </si>
  <si>
    <t>Factor de masa equivalente</t>
  </si>
  <si>
    <t>fo</t>
  </si>
  <si>
    <t>fv</t>
  </si>
  <si>
    <t>µ</t>
  </si>
  <si>
    <t>km/h</t>
  </si>
  <si>
    <t>Potencia original</t>
  </si>
  <si>
    <t>RPM</t>
  </si>
  <si>
    <t>CV</t>
  </si>
  <si>
    <t>Par (N/m)</t>
  </si>
  <si>
    <t>Pendiente de la carretera (%)</t>
  </si>
  <si>
    <t>Caida</t>
  </si>
  <si>
    <t>Coef. Laterales</t>
  </si>
  <si>
    <t>Coef.</t>
  </si>
  <si>
    <t>Descripción</t>
  </si>
  <si>
    <t>Uds.</t>
  </si>
  <si>
    <t>Rango</t>
  </si>
  <si>
    <t>Dato</t>
  </si>
  <si>
    <t>Shape factor</t>
  </si>
  <si>
    <t>Load influence on lateral friction coef. (*1000)</t>
  </si>
  <si>
    <t>Coef. Longitudinales</t>
  </si>
  <si>
    <t>Coef. de alineamiento de momentos</t>
  </si>
  <si>
    <t>Lateral friction coef. (*1000)</t>
  </si>
  <si>
    <t>Change of stiffness with slip</t>
  </si>
  <si>
    <t>Change of progressivity of stiffness/load</t>
  </si>
  <si>
    <t>Camber influence on stiffness</t>
  </si>
  <si>
    <t>Curvature factor</t>
  </si>
  <si>
    <t>Curvature change with load</t>
  </si>
  <si>
    <t>Load influence on horizontal shift</t>
  </si>
  <si>
    <t>Horizontal shift at load = 0, camber =0</t>
  </si>
  <si>
    <t>Camber influence on horizontal shift</t>
  </si>
  <si>
    <t>Vertical shift</t>
  </si>
  <si>
    <t>Vertical shift at load = 0</t>
  </si>
  <si>
    <t>1/kN</t>
  </si>
  <si>
    <t>N/deg</t>
  </si>
  <si>
    <t>%/deg/100</t>
  </si>
  <si>
    <t>deg/kN</t>
  </si>
  <si>
    <t>deg/deg</t>
  </si>
  <si>
    <t>( 1.2 , 18 )</t>
  </si>
  <si>
    <t>( -80 , 80 )</t>
  </si>
  <si>
    <t>( 900 , 1700 )</t>
  </si>
  <si>
    <t>( 500 , 2000 )</t>
  </si>
  <si>
    <t>( 0 , 50 )</t>
  </si>
  <si>
    <t>( -0.1 , 0.1 )</t>
  </si>
  <si>
    <t>( -2 , 2 )</t>
  </si>
  <si>
    <t>( -20 , 1)</t>
  </si>
  <si>
    <t>( -1 , 1 )</t>
  </si>
  <si>
    <t>( -200 , 200 )</t>
  </si>
  <si>
    <t>( -10 , 10 )</t>
  </si>
  <si>
    <t>Camber influence on vertical shift, load = 0 , camber = 0</t>
  </si>
  <si>
    <t>N/deg/kN</t>
  </si>
  <si>
    <t>a17</t>
  </si>
  <si>
    <t>Curvature shift</t>
  </si>
  <si>
    <t>a14</t>
  </si>
  <si>
    <t>a15</t>
  </si>
  <si>
    <t>a16</t>
  </si>
  <si>
    <t>Camber influence on lateral friction coef.</t>
  </si>
  <si>
    <t xml:space="preserve">Camber influence on vertical shift </t>
  </si>
  <si>
    <t>Curvature change with camber</t>
  </si>
  <si>
    <t>1/deg</t>
  </si>
  <si>
    <t>( -0.01 , 0.01 )</t>
  </si>
  <si>
    <t>( -15 , 15 )</t>
  </si>
  <si>
    <t>( 1.2 , 1.8 )</t>
  </si>
  <si>
    <t>Load influence on longitudinal friction coef. (*1000)</t>
  </si>
  <si>
    <t>Longitudinal friction coef. (*1000)</t>
  </si>
  <si>
    <t>Curvature factor of stiffness/load</t>
  </si>
  <si>
    <t>Curvature change with (load)^2</t>
  </si>
  <si>
    <t>Horizontal shift</t>
  </si>
  <si>
    <t>b13</t>
  </si>
  <si>
    <t>b11</t>
  </si>
  <si>
    <t>b12</t>
  </si>
  <si>
    <t>N/%/kN^2</t>
  </si>
  <si>
    <t>N/%</t>
  </si>
  <si>
    <t>%/kN</t>
  </si>
  <si>
    <t>( -20 , 20 )</t>
  </si>
  <si>
    <t>( 100 , 500 )</t>
  </si>
  <si>
    <t>( -20 , 1 )</t>
  </si>
  <si>
    <t>( -5 , 5 )</t>
  </si>
  <si>
    <t>( -100 , 100 )</t>
  </si>
  <si>
    <t>(Obtenidos de la tabla "Tire Input + Gráficas")</t>
  </si>
  <si>
    <t>Parámetros para longitudinal</t>
  </si>
  <si>
    <t>Parámetros para lateral</t>
  </si>
  <si>
    <t>Parámetros para momento autoalineante</t>
  </si>
  <si>
    <t>Momento autoalineante y fuerza lateral / Deriva</t>
  </si>
  <si>
    <t>Denominación del neumático</t>
  </si>
  <si>
    <t>/</t>
  </si>
  <si>
    <t>R</t>
  </si>
  <si>
    <t>Diámetro de llanta</t>
  </si>
  <si>
    <t>Deslizamiento longitudinal</t>
  </si>
  <si>
    <t>Altura de sección</t>
  </si>
  <si>
    <t>Diámetro exterior nominal</t>
  </si>
  <si>
    <t>Radio nominal</t>
  </si>
  <si>
    <t>Factor de reducción ETRTO</t>
  </si>
  <si>
    <t>Radio bajo carga estático</t>
  </si>
  <si>
    <t>Radio dinámico de rodadura</t>
  </si>
  <si>
    <t>En pulgadas</t>
  </si>
  <si>
    <t>En milímetros</t>
  </si>
  <si>
    <t>Fórmula</t>
  </si>
  <si>
    <t>Dn=DLL+2hn</t>
  </si>
  <si>
    <t>Rn=Dn/2</t>
  </si>
  <si>
    <t>DLL/2+Fr*(Dn-DLL)/2</t>
  </si>
  <si>
    <t>2/3Rn+1/3Rs</t>
  </si>
  <si>
    <t>Según ETRTO</t>
  </si>
  <si>
    <t>Radio efectivo de rodadura</t>
  </si>
  <si>
    <t>(Dn/2)*(1-i)</t>
  </si>
  <si>
    <r>
      <t>Skoda Octavia 1,9TD</t>
    </r>
    <r>
      <rPr>
        <sz val="11"/>
        <color rgb="FFFF0000"/>
        <rFont val="Aptos Narrow"/>
        <family val="2"/>
        <scheme val="minor"/>
      </rPr>
      <t>i</t>
    </r>
  </si>
  <si>
    <t>FWD</t>
  </si>
  <si>
    <t>RWD</t>
  </si>
  <si>
    <t>AWD</t>
  </si>
  <si>
    <t>Curva de regresión lineal de la potencia</t>
  </si>
  <si>
    <t>Potencia a partir del polinomio</t>
  </si>
  <si>
    <t>Relaciones de transmisión</t>
  </si>
  <si>
    <t>1a</t>
  </si>
  <si>
    <t>2a</t>
  </si>
  <si>
    <t>3a</t>
  </si>
  <si>
    <t>4a</t>
  </si>
  <si>
    <t>5a</t>
  </si>
  <si>
    <t>6a</t>
  </si>
  <si>
    <t>Relación final (grupo cónico):</t>
  </si>
  <si>
    <t>Relación total</t>
  </si>
  <si>
    <t>https://es.kolhosniki.ru/gearbox&amp;code=FFR</t>
  </si>
  <si>
    <t>https://zeperfs.com/es/perfs.php?Action=Fiche</t>
  </si>
  <si>
    <t>(Relaciones de transmisión)</t>
  </si>
  <si>
    <t>(Curvas par/potencia)</t>
  </si>
  <si>
    <t>RPM en rueda</t>
  </si>
  <si>
    <t>Rendimiento de la transmisión</t>
  </si>
  <si>
    <t>Resto:</t>
  </si>
  <si>
    <t>1a:</t>
  </si>
  <si>
    <t>Esfuerzo tractor (N)</t>
  </si>
  <si>
    <t>Velocidad lineal (km/h)</t>
  </si>
  <si>
    <t>Prestaciones</t>
  </si>
  <si>
    <r>
      <t>Esfuerzo tractor (F</t>
    </r>
    <r>
      <rPr>
        <sz val="8"/>
        <color theme="1"/>
        <rFont val="Aptos Narrow"/>
        <family val="2"/>
        <scheme val="minor"/>
      </rPr>
      <t>T</t>
    </r>
    <r>
      <rPr>
        <sz val="12"/>
        <color theme="1"/>
        <rFont val="Aptos Narrow"/>
        <family val="2"/>
        <scheme val="minor"/>
      </rPr>
      <t>)</t>
    </r>
  </si>
  <si>
    <t>Límite de adherencia</t>
  </si>
  <si>
    <t>RPM Motor</t>
  </si>
  <si>
    <t>V (km/h)</t>
  </si>
  <si>
    <r>
      <t>Resistencia al avance R</t>
    </r>
    <r>
      <rPr>
        <sz val="8"/>
        <color theme="1"/>
        <rFont val="Aptos Narrow"/>
        <family val="2"/>
        <scheme val="minor"/>
      </rPr>
      <t>T</t>
    </r>
  </si>
  <si>
    <r>
      <t>F motriz disponible (F</t>
    </r>
    <r>
      <rPr>
        <sz val="8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- R</t>
    </r>
    <r>
      <rPr>
        <sz val="8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)</t>
    </r>
  </si>
  <si>
    <t>Aceleración A (m/s^2)</t>
  </si>
  <si>
    <t>dt (s)</t>
  </si>
  <si>
    <t>T acum (s)</t>
  </si>
  <si>
    <t>S acum (distancia acum.) (m)</t>
  </si>
  <si>
    <t>dS (dif. De distancia) (m)</t>
  </si>
  <si>
    <t>Velocidad(km/h) / Distancia(m) VS tiempo(s)</t>
  </si>
  <si>
    <t>Componente</t>
  </si>
  <si>
    <t>Chasis</t>
  </si>
  <si>
    <t>Conductor</t>
  </si>
  <si>
    <t>Pasajero FR</t>
  </si>
  <si>
    <t>Pasajero RL</t>
  </si>
  <si>
    <t>Pasajero RR</t>
  </si>
  <si>
    <t>Equipaje</t>
  </si>
  <si>
    <t>Rueda de repuesto</t>
  </si>
  <si>
    <t>Batería</t>
  </si>
  <si>
    <t>Asiento del conductor</t>
  </si>
  <si>
    <t>Asiento del FR</t>
  </si>
  <si>
    <t>Asientos traseros</t>
  </si>
  <si>
    <t>Otros</t>
  </si>
  <si>
    <t>Total de masa suspendida</t>
  </si>
  <si>
    <t>Masa (kg)</t>
  </si>
  <si>
    <t>Xi</t>
  </si>
  <si>
    <t>Yi</t>
  </si>
  <si>
    <t>Zi</t>
  </si>
  <si>
    <t>Centro de gravedad del componente con respecto al sistema de coordenadas establecido</t>
  </si>
  <si>
    <t>mixi</t>
  </si>
  <si>
    <t>miyi</t>
  </si>
  <si>
    <t>mizi</t>
  </si>
  <si>
    <t>xi-xg</t>
  </si>
  <si>
    <t>yi-yg</t>
  </si>
  <si>
    <t>zi-zg</t>
  </si>
  <si>
    <t xml:space="preserve">Yi </t>
  </si>
  <si>
    <t xml:space="preserve">Zi </t>
  </si>
  <si>
    <t>Iyy</t>
  </si>
  <si>
    <t>Izz</t>
  </si>
  <si>
    <t>Ixz</t>
  </si>
  <si>
    <t>mi(Yi^2+Zi^2)</t>
  </si>
  <si>
    <t>miXiZi</t>
  </si>
  <si>
    <t>Peso rueda FL</t>
  </si>
  <si>
    <t>Peso rueda FR</t>
  </si>
  <si>
    <t>Peso rueda RL</t>
  </si>
  <si>
    <t>Peso rueda RR</t>
  </si>
  <si>
    <t>Total de masa NO suspendida</t>
  </si>
  <si>
    <t>Total</t>
  </si>
  <si>
    <t>Coordenadas del CdG</t>
  </si>
  <si>
    <t>Xg(m)</t>
  </si>
  <si>
    <t>Yg(m)</t>
  </si>
  <si>
    <t>Zg(m)</t>
  </si>
  <si>
    <t>Coordenadas del CdG de la masa suspendida</t>
  </si>
  <si>
    <t>m</t>
  </si>
  <si>
    <t>Ix (kg*m2)</t>
  </si>
  <si>
    <t>Iy (kg*m2)</t>
  </si>
  <si>
    <t>Iz (kg*m2)</t>
  </si>
  <si>
    <t>Ixz (kg*m2)</t>
  </si>
  <si>
    <t>l1 (m)</t>
  </si>
  <si>
    <t>l2 (m)</t>
  </si>
  <si>
    <t>Ancho de vías</t>
  </si>
  <si>
    <t>Masa suspendida</t>
  </si>
  <si>
    <t>Masa total</t>
  </si>
  <si>
    <t>Inercias</t>
  </si>
  <si>
    <t>Batalla, L1 y L2</t>
  </si>
  <si>
    <t>Altura del CdG</t>
  </si>
  <si>
    <t>Frecuencias naturales en HZ</t>
  </si>
  <si>
    <t>f1</t>
  </si>
  <si>
    <t>f2</t>
  </si>
  <si>
    <t>Ɛ</t>
  </si>
  <si>
    <t>Carga vertical estática en ruedas delanteras</t>
  </si>
  <si>
    <t>Carga vertical estática en ruedas traseras</t>
  </si>
  <si>
    <t>Rigidez muelle combinado (N/m)</t>
  </si>
  <si>
    <t>Amortiguación (N/m/s)</t>
  </si>
  <si>
    <t>PS1</t>
  </si>
  <si>
    <t>PS2</t>
  </si>
  <si>
    <t>K1</t>
  </si>
  <si>
    <t>K2</t>
  </si>
  <si>
    <t>R1</t>
  </si>
  <si>
    <t>R2</t>
  </si>
  <si>
    <t>Reparto de pesos delantero</t>
  </si>
  <si>
    <t>m1 (kg)</t>
  </si>
  <si>
    <t>m2 (kg)</t>
  </si>
  <si>
    <t>g (m/s^2)</t>
  </si>
  <si>
    <t>Datos dinámicos</t>
  </si>
  <si>
    <t>S (m^2)</t>
  </si>
  <si>
    <t>S*Cx</t>
  </si>
  <si>
    <t>Cargas eje delantero</t>
  </si>
  <si>
    <t>Cargas eje trasero</t>
  </si>
  <si>
    <t>ms1 (kg)</t>
  </si>
  <si>
    <t>mns1 (kg)</t>
  </si>
  <si>
    <t>ms2 (kg)</t>
  </si>
  <si>
    <t>mns2 (kg)</t>
  </si>
  <si>
    <t>Calculadora de índice dinámico</t>
  </si>
  <si>
    <t>d</t>
  </si>
  <si>
    <t>DI</t>
  </si>
  <si>
    <t>Momento de  inercia Z</t>
  </si>
  <si>
    <t>Radio de giro</t>
  </si>
  <si>
    <t>kg*m^2</t>
  </si>
  <si>
    <t>Motor (SR20DE)</t>
  </si>
  <si>
    <t>Caja de cambios  (XP2)</t>
  </si>
  <si>
    <t>Depósito de combustible lleno (50L)</t>
  </si>
  <si>
    <t>Origen de coordenadas</t>
  </si>
  <si>
    <t>Masa no suspendida</t>
  </si>
  <si>
    <t>Peso por rueda trasera</t>
  </si>
  <si>
    <t>Peso por rueda delantera</t>
  </si>
  <si>
    <t>MR delantero</t>
  </si>
  <si>
    <t>MR trasero</t>
  </si>
  <si>
    <t>kg</t>
  </si>
  <si>
    <t>N/mm</t>
  </si>
  <si>
    <t>Hz</t>
  </si>
  <si>
    <t>Peso por rueda, eje delantero (ms.del)</t>
  </si>
  <si>
    <t>Peso por rueda, eje trasero (ms.tra)</t>
  </si>
  <si>
    <t>N/m</t>
  </si>
  <si>
    <t>Rigidez radial del neumático (Kt)</t>
  </si>
  <si>
    <t>Frecuencia deseada delante (Wns.del)</t>
  </si>
  <si>
    <t>Frecuencia deseada atrás (Wns.tra)</t>
  </si>
  <si>
    <t>mi(Xi^2+Zi^2)</t>
  </si>
  <si>
    <t>m (kg)</t>
  </si>
  <si>
    <t>M (kg)</t>
  </si>
  <si>
    <t>v1 (m)</t>
  </si>
  <si>
    <t>v2 (m)</t>
  </si>
  <si>
    <t>Ixx</t>
  </si>
  <si>
    <t>mi(Xi^2+Yi^2)</t>
  </si>
  <si>
    <t>Distancia eje delantero a CdG</t>
  </si>
  <si>
    <t>Distancia del eje trasero al CdG</t>
  </si>
  <si>
    <t>Reparto de pesos</t>
  </si>
  <si>
    <t>Código</t>
  </si>
  <si>
    <t>ms</t>
  </si>
  <si>
    <t>hCDG</t>
  </si>
  <si>
    <t>L</t>
  </si>
  <si>
    <t>a</t>
  </si>
  <si>
    <t>b</t>
  </si>
  <si>
    <t>RP</t>
  </si>
  <si>
    <t>Valor</t>
  </si>
  <si>
    <t>Unidad</t>
  </si>
  <si>
    <t>%del</t>
  </si>
  <si>
    <t>h CdG masa no suspendida</t>
  </si>
  <si>
    <t>h centro de balanceo</t>
  </si>
  <si>
    <t>Rigidez del muelle</t>
  </si>
  <si>
    <t>Rigidez barra estabilizadora</t>
  </si>
  <si>
    <t>Ratio de instalación del muelle</t>
  </si>
  <si>
    <t>Ratio de instalación de estabilizadora</t>
  </si>
  <si>
    <t>Rigidez radial del neumático</t>
  </si>
  <si>
    <t>Del.</t>
  </si>
  <si>
    <t>Tras.</t>
  </si>
  <si>
    <t>:1</t>
  </si>
  <si>
    <t>t</t>
  </si>
  <si>
    <t>mUS</t>
  </si>
  <si>
    <t>hUS</t>
  </si>
  <si>
    <t>hRC</t>
  </si>
  <si>
    <t>Ks</t>
  </si>
  <si>
    <t>Karb</t>
  </si>
  <si>
    <t>Mrs</t>
  </si>
  <si>
    <t>Mrarb</t>
  </si>
  <si>
    <t>Kt</t>
  </si>
  <si>
    <t>FL</t>
  </si>
  <si>
    <t>FR</t>
  </si>
  <si>
    <t>RL</t>
  </si>
  <si>
    <t>RR</t>
  </si>
  <si>
    <t>Peso estático</t>
  </si>
  <si>
    <t>Transferencia con balanceo</t>
  </si>
  <si>
    <t>Transferencia sin balanceo</t>
  </si>
  <si>
    <t>Transferencia peso masa no suspendida</t>
  </si>
  <si>
    <t>Peso total</t>
  </si>
  <si>
    <t>Transferencia de pesos por eje</t>
  </si>
  <si>
    <t>delantero</t>
  </si>
  <si>
    <t>trasero</t>
  </si>
  <si>
    <t>Aceleración lateral</t>
  </si>
  <si>
    <t>G</t>
  </si>
  <si>
    <t>Momento de balanceo</t>
  </si>
  <si>
    <t>Rigidez aportada suspensión delantera</t>
  </si>
  <si>
    <t>Rigidez aportada suspensión trasera</t>
  </si>
  <si>
    <t>Rigidez aportada neumáticos (eje delantero)</t>
  </si>
  <si>
    <t>Rigidez aportada neumáticos (eje trasero)</t>
  </si>
  <si>
    <t>Combinado rigidez total eje delantero</t>
  </si>
  <si>
    <t>Combinado rigidez total eje trasero</t>
  </si>
  <si>
    <t>Rigidez al balanceo total de la suspensión</t>
  </si>
  <si>
    <t>Ángulo de inclinación de la carrocería</t>
  </si>
  <si>
    <t>MR</t>
  </si>
  <si>
    <t>Nm</t>
  </si>
  <si>
    <t>Nm/rad</t>
  </si>
  <si>
    <t>rad</t>
  </si>
  <si>
    <t>grados</t>
  </si>
  <si>
    <t>Reparto de resistencias al balanceo</t>
  </si>
  <si>
    <t>Par de balanceo eje delantero</t>
  </si>
  <si>
    <t>Par de balanceo eje trasero</t>
  </si>
  <si>
    <t>Transferencia de pesos delantera con balanceo</t>
  </si>
  <si>
    <t>Transferencia de pesos trasera con balanceo</t>
  </si>
  <si>
    <t>Transferencia de pesos delantera masa no suspendida</t>
  </si>
  <si>
    <t>Transferencia de pesos trasera masa no suspendida</t>
  </si>
  <si>
    <t>RC_f</t>
  </si>
  <si>
    <t>RC_r</t>
  </si>
  <si>
    <t>θ</t>
  </si>
  <si>
    <t>K_(θ_t)</t>
  </si>
  <si>
    <t>K(θ_r)</t>
  </si>
  <si>
    <t>K(θ_f)</t>
  </si>
  <si>
    <t>K_(ax_t)</t>
  </si>
  <si>
    <t>K_(ax_f)</t>
  </si>
  <si>
    <t>K_(θsusp_t)</t>
  </si>
  <si>
    <t>K_(θsusp_f)</t>
  </si>
  <si>
    <t>%tra</t>
  </si>
  <si>
    <t>W_(t_(s_t))</t>
  </si>
  <si>
    <t>W_(t_(s_f))</t>
  </si>
  <si>
    <t>W_(t_(NR_f))</t>
  </si>
  <si>
    <t>W_(t_(NR_r))</t>
  </si>
  <si>
    <t>Epsilon (0,35 confort 0,7 sport)</t>
  </si>
  <si>
    <t>Sigmas deseados</t>
  </si>
  <si>
    <t>Compresión lenta</t>
  </si>
  <si>
    <t>Compresión rápida</t>
  </si>
  <si>
    <t>Extensión lenta</t>
  </si>
  <si>
    <t>Extensión rápida</t>
  </si>
  <si>
    <t>cs crítica delantera compresión</t>
  </si>
  <si>
    <t>cs crítica delantera extensión</t>
  </si>
  <si>
    <t>cs crítica trasera compresión</t>
  </si>
  <si>
    <t>cs crítica trasera extensión</t>
  </si>
  <si>
    <t>Amortiguadores traseros</t>
  </si>
  <si>
    <t>Amortiguadores delanteros</t>
  </si>
  <si>
    <t>N*s/m</t>
  </si>
  <si>
    <t>N*s/mm</t>
  </si>
  <si>
    <t>Kst delantero</t>
  </si>
  <si>
    <t>Kst trasero</t>
  </si>
  <si>
    <t>Ks delantero</t>
  </si>
  <si>
    <t>Ks trasero</t>
  </si>
  <si>
    <t>Ks delantero real</t>
  </si>
  <si>
    <t>Ks trasero real</t>
  </si>
  <si>
    <t>Resultados amortiguación ideal</t>
  </si>
  <si>
    <r>
      <t>Nissan Sunny GT</t>
    </r>
    <r>
      <rPr>
        <sz val="11"/>
        <color rgb="FFFF0000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 xml:space="preserve"> 2.0L 5p 1993</t>
    </r>
  </si>
  <si>
    <t>Delantera</t>
  </si>
  <si>
    <t>Trasera</t>
  </si>
  <si>
    <t>N/mm*rad</t>
  </si>
  <si>
    <t>Barra estabilizadora</t>
  </si>
  <si>
    <t>HR</t>
  </si>
  <si>
    <t xml:space="preserve"> </t>
  </si>
  <si>
    <t>Transferencia de pesos delantera sin balanceo masa susp.</t>
  </si>
  <si>
    <t>Transferencia de pesos trasera sin balanceo masa susp.</t>
  </si>
  <si>
    <t>Giro:</t>
  </si>
  <si>
    <t>Derecha</t>
  </si>
  <si>
    <t>Transferencia de pesos por eje, %</t>
  </si>
  <si>
    <t>W_(t_(US_f))</t>
  </si>
  <si>
    <t>W_(t_(US_r))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</si>
</sst>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#,##0.0000000"/>
    <numFmt numFmtId="167" formatCode="0.00000"/>
    <numFmt numFmtId="168" formatCode="0.0000"/>
  </numFmts>
  <fonts count="2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0"/>
      <color rgb="FF000000"/>
      <name val="Times New Roman"/>
      <family val="1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8"/>
      <name val="Arial"/>
      <family val="2"/>
    </font>
    <font>
      <sz val="11"/>
      <color rgb="FF303030"/>
      <name val="Arial"/>
      <family val="2"/>
    </font>
    <font>
      <sz val="11"/>
      <color theme="1"/>
      <name val="Aptos Narrow"/>
      <family val="2"/>
    </font>
    <font>
      <sz val="10"/>
      <color theme="1"/>
      <name val="Aptos Narrow"/>
      <family val="2"/>
    </font>
    <font>
      <b/>
      <sz val="12"/>
      <name val="Aptos Narrow"/>
      <family val="2"/>
      <scheme val="minor"/>
    </font>
    <font>
      <sz val="11"/>
      <color rgb="FF303030"/>
      <name val="Arial"/>
      <family val="2"/>
    </font>
    <font>
      <sz val="16"/>
      <color theme="1" tint="0.34998626667073579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1"/>
      <color rgb="FF202122"/>
      <name val="Arial"/>
      <family val="2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0"/>
      <color rgb="FF21252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F2F2F"/>
      </left>
      <right style="thin">
        <color rgb="FF7C7C7C"/>
      </right>
      <top style="thin">
        <color rgb="FF2F2F2F"/>
      </top>
      <bottom style="thin">
        <color rgb="FF444444"/>
      </bottom>
      <diagonal/>
    </border>
    <border>
      <left style="thin">
        <color rgb="FF7C7C7C"/>
      </left>
      <right style="thin">
        <color rgb="FF5B5B5B"/>
      </right>
      <top style="thin">
        <color rgb="FF2F2F2F"/>
      </top>
      <bottom style="thin">
        <color rgb="FF444444"/>
      </bottom>
      <diagonal/>
    </border>
    <border>
      <left style="thin">
        <color rgb="FF5B5B5B"/>
      </left>
      <right style="thin">
        <color rgb="FF2F2F2F"/>
      </right>
      <top style="thin">
        <color rgb="FF2F2F2F"/>
      </top>
      <bottom style="thin">
        <color rgb="FF444444"/>
      </bottom>
      <diagonal/>
    </border>
    <border>
      <left style="thin">
        <color rgb="FF7C7C7C"/>
      </left>
      <right style="thin">
        <color rgb="FF575757"/>
      </right>
      <top style="thin">
        <color rgb="FF2F2F2F"/>
      </top>
      <bottom style="thin">
        <color rgb="FF444444"/>
      </bottom>
      <diagonal/>
    </border>
    <border>
      <left style="thin">
        <color rgb="FF575757"/>
      </left>
      <right/>
      <top style="thin">
        <color rgb="FF2F2F2F"/>
      </top>
      <bottom style="thin">
        <color rgb="FF444444"/>
      </bottom>
      <diagonal/>
    </border>
    <border>
      <left style="thin">
        <color rgb="FF2F2F2F"/>
      </left>
      <right style="thin">
        <color rgb="FF808080"/>
      </right>
      <top style="thin">
        <color rgb="FF2F2F2F"/>
      </top>
      <bottom style="thin">
        <color rgb="FF444444"/>
      </bottom>
      <diagonal/>
    </border>
    <border>
      <left style="thin">
        <color rgb="FF2F2F2F"/>
      </left>
      <right style="thin">
        <color rgb="FF7C7C7C"/>
      </right>
      <top style="thin">
        <color rgb="FF444444"/>
      </top>
      <bottom style="thin">
        <color rgb="FF808383"/>
      </bottom>
      <diagonal/>
    </border>
    <border>
      <left style="thin">
        <color rgb="FF7C7C7C"/>
      </left>
      <right style="thin">
        <color rgb="FF5B5B5B"/>
      </right>
      <top style="thin">
        <color rgb="FF444444"/>
      </top>
      <bottom style="thin">
        <color rgb="FF808383"/>
      </bottom>
      <diagonal/>
    </border>
    <border>
      <left style="thin">
        <color rgb="FF5B5B5B"/>
      </left>
      <right style="thin">
        <color rgb="FF2F2F2F"/>
      </right>
      <top style="thin">
        <color rgb="FF444444"/>
      </top>
      <bottom style="thin">
        <color rgb="FF808383"/>
      </bottom>
      <diagonal/>
    </border>
    <border>
      <left style="thin">
        <color rgb="FF7C7C7C"/>
      </left>
      <right style="thin">
        <color rgb="FF575757"/>
      </right>
      <top style="thin">
        <color rgb="FF444444"/>
      </top>
      <bottom style="thin">
        <color rgb="FF808383"/>
      </bottom>
      <diagonal/>
    </border>
    <border>
      <left style="thin">
        <color rgb="FF575757"/>
      </left>
      <right/>
      <top style="thin">
        <color rgb="FF444444"/>
      </top>
      <bottom style="thin">
        <color rgb="FF808383"/>
      </bottom>
      <diagonal/>
    </border>
    <border>
      <left style="thin">
        <color rgb="FF2F2F2F"/>
      </left>
      <right style="thin">
        <color rgb="FF808080"/>
      </right>
      <top style="thin">
        <color rgb="FF444444"/>
      </top>
      <bottom style="thin">
        <color rgb="FF808383"/>
      </bottom>
      <diagonal/>
    </border>
    <border>
      <left style="thin">
        <color rgb="FF2F2F2F"/>
      </left>
      <right style="thin">
        <color rgb="FF7C7C7C"/>
      </right>
      <top style="thin">
        <color rgb="FF808383"/>
      </top>
      <bottom style="thin">
        <color rgb="FF484848"/>
      </bottom>
      <diagonal/>
    </border>
    <border>
      <left style="thin">
        <color rgb="FF7C7C7C"/>
      </left>
      <right style="thin">
        <color rgb="FF5B5B5B"/>
      </right>
      <top style="thin">
        <color rgb="FF808383"/>
      </top>
      <bottom style="thin">
        <color rgb="FF484848"/>
      </bottom>
      <diagonal/>
    </border>
    <border>
      <left style="thin">
        <color rgb="FF5B5B5B"/>
      </left>
      <right style="thin">
        <color rgb="FF2F2F2F"/>
      </right>
      <top style="thin">
        <color rgb="FF808383"/>
      </top>
      <bottom style="thin">
        <color rgb="FF484848"/>
      </bottom>
      <diagonal/>
    </border>
    <border>
      <left style="thin">
        <color rgb="FF7C7C7C"/>
      </left>
      <right style="thin">
        <color rgb="FF575757"/>
      </right>
      <top style="thin">
        <color rgb="FF808383"/>
      </top>
      <bottom style="thin">
        <color rgb="FF484848"/>
      </bottom>
      <diagonal/>
    </border>
    <border>
      <left style="thin">
        <color rgb="FF575757"/>
      </left>
      <right/>
      <top style="thin">
        <color rgb="FF808383"/>
      </top>
      <bottom style="thin">
        <color rgb="FF484848"/>
      </bottom>
      <diagonal/>
    </border>
    <border>
      <left style="thin">
        <color rgb="FF2F2F2F"/>
      </left>
      <right style="thin">
        <color rgb="FF808080"/>
      </right>
      <top style="thin">
        <color rgb="FF808383"/>
      </top>
      <bottom style="thin">
        <color rgb="FF484848"/>
      </bottom>
      <diagonal/>
    </border>
    <border>
      <left style="thin">
        <color rgb="FF2F2F2F"/>
      </left>
      <right style="thin">
        <color rgb="FF7C7C7C"/>
      </right>
      <top style="thin">
        <color rgb="FF484848"/>
      </top>
      <bottom style="thin">
        <color rgb="FF2B2B2B"/>
      </bottom>
      <diagonal/>
    </border>
    <border>
      <left style="thin">
        <color rgb="FF7C7C7C"/>
      </left>
      <right style="thin">
        <color rgb="FF5B5B5B"/>
      </right>
      <top style="thin">
        <color rgb="FF484848"/>
      </top>
      <bottom style="thin">
        <color rgb="FF2B2B2B"/>
      </bottom>
      <diagonal/>
    </border>
    <border>
      <left style="thin">
        <color rgb="FF5B5B5B"/>
      </left>
      <right style="thin">
        <color rgb="FF2F2F2F"/>
      </right>
      <top style="thin">
        <color rgb="FF484848"/>
      </top>
      <bottom style="thin">
        <color rgb="FF2B2B2B"/>
      </bottom>
      <diagonal/>
    </border>
    <border>
      <left style="thin">
        <color rgb="FF7C7C7C"/>
      </left>
      <right style="thin">
        <color rgb="FF575757"/>
      </right>
      <top style="thin">
        <color rgb="FF484848"/>
      </top>
      <bottom style="thin">
        <color rgb="FF2B2B2B"/>
      </bottom>
      <diagonal/>
    </border>
    <border>
      <left style="thin">
        <color rgb="FF575757"/>
      </left>
      <right/>
      <top style="thin">
        <color rgb="FF484848"/>
      </top>
      <bottom style="thin">
        <color rgb="FF2B2B2B"/>
      </bottom>
      <diagonal/>
    </border>
    <border>
      <left style="thin">
        <color rgb="FF2F2F2F"/>
      </left>
      <right style="thin">
        <color rgb="FF808080"/>
      </right>
      <top style="thin">
        <color rgb="FF484848"/>
      </top>
      <bottom style="thin">
        <color rgb="FF2B2B2B"/>
      </bottom>
      <diagonal/>
    </border>
    <border>
      <left style="thin">
        <color rgb="FF2F2F2F"/>
      </left>
      <right style="thin">
        <color rgb="FF7C7C7C"/>
      </right>
      <top style="thin">
        <color rgb="FF2B2B2B"/>
      </top>
      <bottom style="thin">
        <color rgb="FF575757"/>
      </bottom>
      <diagonal/>
    </border>
    <border>
      <left style="thin">
        <color rgb="FF7C7C7C"/>
      </left>
      <right style="thin">
        <color rgb="FF5B5B5B"/>
      </right>
      <top style="thin">
        <color rgb="FF2B2B2B"/>
      </top>
      <bottom style="thin">
        <color rgb="FF575757"/>
      </bottom>
      <diagonal/>
    </border>
    <border>
      <left style="thin">
        <color rgb="FF5B5B5B"/>
      </left>
      <right style="thin">
        <color rgb="FF2F2F2F"/>
      </right>
      <top style="thin">
        <color rgb="FF2B2B2B"/>
      </top>
      <bottom style="thin">
        <color rgb="FF575757"/>
      </bottom>
      <diagonal/>
    </border>
    <border>
      <left style="thin">
        <color rgb="FF7C7C7C"/>
      </left>
      <right style="thin">
        <color rgb="FF575757"/>
      </right>
      <top style="thin">
        <color rgb="FF2B2B2B"/>
      </top>
      <bottom style="thin">
        <color rgb="FF575757"/>
      </bottom>
      <diagonal/>
    </border>
    <border>
      <left style="thin">
        <color rgb="FF575757"/>
      </left>
      <right/>
      <top style="thin">
        <color rgb="FF2B2B2B"/>
      </top>
      <bottom style="thin">
        <color rgb="FF575757"/>
      </bottom>
      <diagonal/>
    </border>
    <border>
      <left style="thin">
        <color rgb="FF2F2F2F"/>
      </left>
      <right style="thin">
        <color rgb="FF808080"/>
      </right>
      <top style="thin">
        <color rgb="FF2B2B2B"/>
      </top>
      <bottom style="thin">
        <color rgb="FF575757"/>
      </bottom>
      <diagonal/>
    </border>
    <border>
      <left style="thin">
        <color rgb="FF2F2F2F"/>
      </left>
      <right style="thin">
        <color rgb="FF7C7C7C"/>
      </right>
      <top style="thin">
        <color rgb="FF575757"/>
      </top>
      <bottom style="thin">
        <color rgb="FF808080"/>
      </bottom>
      <diagonal/>
    </border>
    <border>
      <left style="thin">
        <color rgb="FF7C7C7C"/>
      </left>
      <right style="thin">
        <color rgb="FF5B5B5B"/>
      </right>
      <top style="thin">
        <color rgb="FF575757"/>
      </top>
      <bottom style="thin">
        <color rgb="FF808080"/>
      </bottom>
      <diagonal/>
    </border>
    <border>
      <left style="thin">
        <color rgb="FF5B5B5B"/>
      </left>
      <right style="thin">
        <color rgb="FF2F2F2F"/>
      </right>
      <top style="thin">
        <color rgb="FF575757"/>
      </top>
      <bottom style="thin">
        <color rgb="FF808080"/>
      </bottom>
      <diagonal/>
    </border>
    <border>
      <left style="thin">
        <color rgb="FF7C7C7C"/>
      </left>
      <right style="thin">
        <color rgb="FF575757"/>
      </right>
      <top style="thin">
        <color rgb="FF575757"/>
      </top>
      <bottom style="thin">
        <color rgb="FF808080"/>
      </bottom>
      <diagonal/>
    </border>
    <border>
      <left style="thin">
        <color rgb="FF575757"/>
      </left>
      <right/>
      <top style="thin">
        <color rgb="FF575757"/>
      </top>
      <bottom style="thin">
        <color rgb="FF808080"/>
      </bottom>
      <diagonal/>
    </border>
    <border>
      <left style="thin">
        <color rgb="FF2F2F2F"/>
      </left>
      <right style="thin">
        <color rgb="FF808080"/>
      </right>
      <top style="thin">
        <color rgb="FF575757"/>
      </top>
      <bottom style="thin">
        <color rgb="FF808080"/>
      </bottom>
      <diagonal/>
    </border>
    <border>
      <left style="thin">
        <color rgb="FF2F2F2F"/>
      </left>
      <right style="thin">
        <color rgb="FF7C7C7C"/>
      </right>
      <top style="thin">
        <color rgb="FF808080"/>
      </top>
      <bottom style="thin">
        <color rgb="FF383838"/>
      </bottom>
      <diagonal/>
    </border>
    <border>
      <left style="thin">
        <color rgb="FF7C7C7C"/>
      </left>
      <right style="thin">
        <color rgb="FF5B5B5B"/>
      </right>
      <top style="thin">
        <color rgb="FF808080"/>
      </top>
      <bottom style="thin">
        <color rgb="FF383838"/>
      </bottom>
      <diagonal/>
    </border>
    <border>
      <left style="thin">
        <color rgb="FF5B5B5B"/>
      </left>
      <right style="thin">
        <color rgb="FF2F2F2F"/>
      </right>
      <top style="thin">
        <color rgb="FF808080"/>
      </top>
      <bottom style="thin">
        <color rgb="FF383838"/>
      </bottom>
      <diagonal/>
    </border>
    <border>
      <left style="thin">
        <color rgb="FF7C7C7C"/>
      </left>
      <right style="thin">
        <color rgb="FF575757"/>
      </right>
      <top style="thin">
        <color rgb="FF808080"/>
      </top>
      <bottom style="thin">
        <color rgb="FF383838"/>
      </bottom>
      <diagonal/>
    </border>
    <border>
      <left style="thin">
        <color rgb="FF575757"/>
      </left>
      <right/>
      <top style="thin">
        <color rgb="FF808080"/>
      </top>
      <bottom style="thin">
        <color rgb="FF383838"/>
      </bottom>
      <diagonal/>
    </border>
    <border>
      <left style="thin">
        <color rgb="FF2F2F2F"/>
      </left>
      <right style="thin">
        <color rgb="FF808080"/>
      </right>
      <top style="thin">
        <color rgb="FF808080"/>
      </top>
      <bottom style="thin">
        <color rgb="FF383838"/>
      </bottom>
      <diagonal/>
    </border>
    <border>
      <left style="thin">
        <color rgb="FF2F2F2F"/>
      </left>
      <right style="thin">
        <color rgb="FF7C7C7C"/>
      </right>
      <top style="thin">
        <color rgb="FF383838"/>
      </top>
      <bottom style="thin">
        <color rgb="FF383838"/>
      </bottom>
      <diagonal/>
    </border>
    <border>
      <left style="thin">
        <color rgb="FF7C7C7C"/>
      </left>
      <right style="thin">
        <color rgb="FF5B5B5B"/>
      </right>
      <top style="thin">
        <color rgb="FF383838"/>
      </top>
      <bottom style="thin">
        <color rgb="FF383838"/>
      </bottom>
      <diagonal/>
    </border>
    <border>
      <left style="thin">
        <color rgb="FF5B5B5B"/>
      </left>
      <right style="thin">
        <color rgb="FF2F2F2F"/>
      </right>
      <top style="thin">
        <color rgb="FF383838"/>
      </top>
      <bottom style="thin">
        <color rgb="FF383838"/>
      </bottom>
      <diagonal/>
    </border>
    <border>
      <left style="thin">
        <color rgb="FF7C7C7C"/>
      </left>
      <right style="thin">
        <color rgb="FF575757"/>
      </right>
      <top style="thin">
        <color rgb="FF383838"/>
      </top>
      <bottom style="thin">
        <color rgb="FF383838"/>
      </bottom>
      <diagonal/>
    </border>
    <border>
      <left style="thin">
        <color rgb="FF575757"/>
      </left>
      <right/>
      <top style="thin">
        <color rgb="FF383838"/>
      </top>
      <bottom style="thin">
        <color rgb="FF383838"/>
      </bottom>
      <diagonal/>
    </border>
    <border>
      <left style="thin">
        <color rgb="FF2F2F2F"/>
      </left>
      <right style="thin">
        <color rgb="FF808080"/>
      </right>
      <top style="thin">
        <color rgb="FF383838"/>
      </top>
      <bottom style="thin">
        <color rgb="FF383838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AAAAAA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0000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AAAAAA"/>
      </right>
      <top/>
      <bottom style="medium">
        <color rgb="FFAAAAAA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14" fillId="0" borderId="0" applyNumberFormat="0" applyFill="0" applyBorder="0" applyAlignment="0" applyProtection="0"/>
    <xf numFmtId="9" fontId="19" fillId="0" borderId="0" applyFont="0" applyFill="0" applyBorder="0" applyAlignment="0" applyProtection="0"/>
  </cellStyleXfs>
  <cellXfs count="25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5" fillId="0" borderId="11" xfId="1" applyNumberFormat="1" applyFont="1" applyBorder="1" applyAlignment="1">
      <alignment horizontal="center" vertical="center" wrapText="1"/>
    </xf>
    <xf numFmtId="164" fontId="5" fillId="0" borderId="14" xfId="1" applyNumberFormat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164" fontId="5" fillId="0" borderId="5" xfId="1" applyNumberFormat="1" applyFont="1" applyBorder="1" applyAlignment="1">
      <alignment horizontal="center" vertical="center" wrapText="1"/>
    </xf>
    <xf numFmtId="164" fontId="5" fillId="0" borderId="6" xfId="1" applyNumberFormat="1" applyFont="1" applyBorder="1" applyAlignment="1">
      <alignment horizontal="center" vertical="center" wrapText="1"/>
    </xf>
    <xf numFmtId="164" fontId="5" fillId="0" borderId="7" xfId="1" applyNumberFormat="1" applyFont="1" applyBorder="1" applyAlignment="1">
      <alignment horizontal="center" vertical="center" wrapText="1"/>
    </xf>
    <xf numFmtId="164" fontId="5" fillId="0" borderId="8" xfId="1" applyNumberFormat="1" applyFont="1" applyBorder="1" applyAlignment="1">
      <alignment horizontal="center" vertical="center" wrapText="1"/>
    </xf>
    <xf numFmtId="164" fontId="5" fillId="0" borderId="9" xfId="1" applyNumberFormat="1" applyFont="1" applyBorder="1" applyAlignment="1">
      <alignment horizontal="center" vertical="center" wrapText="1"/>
    </xf>
    <xf numFmtId="164" fontId="5" fillId="0" borderId="10" xfId="1" applyNumberFormat="1" applyFont="1" applyBorder="1" applyAlignment="1">
      <alignment horizontal="center" vertical="center" wrapText="1"/>
    </xf>
    <xf numFmtId="164" fontId="5" fillId="0" borderId="12" xfId="1" applyNumberFormat="1" applyFont="1" applyBorder="1" applyAlignment="1">
      <alignment horizontal="center" vertical="center" wrapText="1"/>
    </xf>
    <xf numFmtId="164" fontId="5" fillId="0" borderId="13" xfId="1" applyNumberFormat="1" applyFont="1" applyBorder="1" applyAlignment="1">
      <alignment horizontal="center" vertical="center" wrapText="1"/>
    </xf>
    <xf numFmtId="164" fontId="5" fillId="0" borderId="15" xfId="1" applyNumberFormat="1" applyFont="1" applyBorder="1" applyAlignment="1">
      <alignment horizontal="center" vertical="center" wrapText="1"/>
    </xf>
    <xf numFmtId="164" fontId="5" fillId="0" borderId="16" xfId="1" applyNumberFormat="1" applyFont="1" applyBorder="1" applyAlignment="1">
      <alignment horizontal="center" vertical="center" wrapText="1"/>
    </xf>
    <xf numFmtId="164" fontId="5" fillId="0" borderId="17" xfId="1" applyNumberFormat="1" applyFont="1" applyBorder="1" applyAlignment="1">
      <alignment horizontal="center" vertical="center" wrapText="1"/>
    </xf>
    <xf numFmtId="164" fontId="5" fillId="0" borderId="18" xfId="1" applyNumberFormat="1" applyFont="1" applyBorder="1" applyAlignment="1">
      <alignment horizontal="center" vertical="center" wrapText="1"/>
    </xf>
    <xf numFmtId="164" fontId="5" fillId="0" borderId="19" xfId="1" applyNumberFormat="1" applyFont="1" applyBorder="1" applyAlignment="1">
      <alignment horizontal="center" vertical="center" wrapText="1"/>
    </xf>
    <xf numFmtId="164" fontId="5" fillId="0" borderId="20" xfId="1" applyNumberFormat="1" applyFont="1" applyBorder="1" applyAlignment="1">
      <alignment horizontal="center" vertical="center" wrapText="1"/>
    </xf>
    <xf numFmtId="164" fontId="5" fillId="0" borderId="21" xfId="1" applyNumberFormat="1" applyFont="1" applyBorder="1" applyAlignment="1">
      <alignment horizontal="center" vertical="center" wrapText="1"/>
    </xf>
    <xf numFmtId="164" fontId="5" fillId="0" borderId="22" xfId="1" applyNumberFormat="1" applyFont="1" applyBorder="1" applyAlignment="1">
      <alignment horizontal="center" vertical="center" wrapText="1"/>
    </xf>
    <xf numFmtId="164" fontId="5" fillId="0" borderId="23" xfId="1" applyNumberFormat="1" applyFont="1" applyBorder="1" applyAlignment="1">
      <alignment horizontal="center" vertical="center" wrapText="1"/>
    </xf>
    <xf numFmtId="164" fontId="5" fillId="0" borderId="24" xfId="1" applyNumberFormat="1" applyFont="1" applyBorder="1" applyAlignment="1">
      <alignment horizontal="center" vertical="center" wrapText="1"/>
    </xf>
    <xf numFmtId="164" fontId="5" fillId="0" borderId="25" xfId="1" applyNumberFormat="1" applyFont="1" applyBorder="1" applyAlignment="1">
      <alignment horizontal="center" vertical="center" wrapText="1"/>
    </xf>
    <xf numFmtId="164" fontId="5" fillId="0" borderId="26" xfId="1" applyNumberFormat="1" applyFont="1" applyBorder="1" applyAlignment="1">
      <alignment horizontal="center" vertical="center" wrapText="1"/>
    </xf>
    <xf numFmtId="164" fontId="5" fillId="0" borderId="27" xfId="1" applyNumberFormat="1" applyFont="1" applyBorder="1" applyAlignment="1">
      <alignment horizontal="center" vertical="center" wrapText="1"/>
    </xf>
    <xf numFmtId="164" fontId="5" fillId="0" borderId="28" xfId="1" applyNumberFormat="1" applyFont="1" applyBorder="1" applyAlignment="1">
      <alignment horizontal="center" vertical="center" wrapText="1"/>
    </xf>
    <xf numFmtId="164" fontId="5" fillId="0" borderId="29" xfId="1" applyNumberFormat="1" applyFont="1" applyBorder="1" applyAlignment="1">
      <alignment horizontal="center" vertical="center" wrapText="1"/>
    </xf>
    <xf numFmtId="164" fontId="5" fillId="0" borderId="30" xfId="1" applyNumberFormat="1" applyFont="1" applyBorder="1" applyAlignment="1">
      <alignment horizontal="center" vertical="center" wrapText="1"/>
    </xf>
    <xf numFmtId="164" fontId="5" fillId="0" borderId="31" xfId="1" applyNumberFormat="1" applyFont="1" applyBorder="1" applyAlignment="1">
      <alignment horizontal="center" vertical="center" wrapText="1"/>
    </xf>
    <xf numFmtId="164" fontId="5" fillId="0" borderId="32" xfId="1" applyNumberFormat="1" applyFont="1" applyBorder="1" applyAlignment="1">
      <alignment horizontal="center" vertical="center" wrapText="1"/>
    </xf>
    <xf numFmtId="164" fontId="5" fillId="0" borderId="33" xfId="1" applyNumberFormat="1" applyFont="1" applyBorder="1" applyAlignment="1">
      <alignment horizontal="center" vertical="center" wrapText="1"/>
    </xf>
    <xf numFmtId="164" fontId="5" fillId="0" borderId="34" xfId="1" applyNumberFormat="1" applyFont="1" applyBorder="1" applyAlignment="1">
      <alignment horizontal="center" vertical="center" wrapText="1"/>
    </xf>
    <xf numFmtId="164" fontId="5" fillId="0" borderId="35" xfId="1" applyNumberFormat="1" applyFont="1" applyBorder="1" applyAlignment="1">
      <alignment horizontal="center" vertical="center" wrapText="1"/>
    </xf>
    <xf numFmtId="164" fontId="5" fillId="0" borderId="36" xfId="1" applyNumberFormat="1" applyFont="1" applyBorder="1" applyAlignment="1">
      <alignment horizontal="center" vertical="center" wrapText="1"/>
    </xf>
    <xf numFmtId="164" fontId="5" fillId="0" borderId="37" xfId="1" applyNumberFormat="1" applyFont="1" applyBorder="1" applyAlignment="1">
      <alignment horizontal="center" vertical="center" wrapText="1"/>
    </xf>
    <xf numFmtId="164" fontId="5" fillId="0" borderId="38" xfId="1" applyNumberFormat="1" applyFont="1" applyBorder="1" applyAlignment="1">
      <alignment horizontal="center" vertical="center" wrapText="1"/>
    </xf>
    <xf numFmtId="164" fontId="5" fillId="0" borderId="39" xfId="1" applyNumberFormat="1" applyFont="1" applyBorder="1" applyAlignment="1">
      <alignment horizontal="center" vertical="center" wrapText="1"/>
    </xf>
    <xf numFmtId="164" fontId="5" fillId="0" borderId="40" xfId="1" applyNumberFormat="1" applyFont="1" applyBorder="1" applyAlignment="1">
      <alignment horizontal="center" vertical="center" wrapText="1"/>
    </xf>
    <xf numFmtId="164" fontId="5" fillId="0" borderId="41" xfId="1" applyNumberFormat="1" applyFont="1" applyBorder="1" applyAlignment="1">
      <alignment horizontal="center" vertical="center" wrapText="1"/>
    </xf>
    <xf numFmtId="164" fontId="5" fillId="0" borderId="42" xfId="1" applyNumberFormat="1" applyFont="1" applyBorder="1" applyAlignment="1">
      <alignment horizontal="center" vertical="center" wrapText="1"/>
    </xf>
    <xf numFmtId="164" fontId="5" fillId="0" borderId="43" xfId="1" applyNumberFormat="1" applyFont="1" applyBorder="1" applyAlignment="1">
      <alignment horizontal="center" vertical="center" wrapText="1"/>
    </xf>
    <xf numFmtId="164" fontId="5" fillId="0" borderId="44" xfId="1" applyNumberFormat="1" applyFont="1" applyBorder="1" applyAlignment="1">
      <alignment horizontal="center" vertical="center" wrapText="1"/>
    </xf>
    <xf numFmtId="164" fontId="5" fillId="0" borderId="45" xfId="1" applyNumberFormat="1" applyFont="1" applyBorder="1" applyAlignment="1">
      <alignment horizontal="center" vertical="center" wrapText="1"/>
    </xf>
    <xf numFmtId="164" fontId="5" fillId="0" borderId="46" xfId="1" applyNumberFormat="1" applyFont="1" applyBorder="1" applyAlignment="1">
      <alignment horizontal="center" vertical="center" wrapText="1"/>
    </xf>
    <xf numFmtId="164" fontId="5" fillId="0" borderId="47" xfId="1" applyNumberFormat="1" applyFont="1" applyBorder="1" applyAlignment="1">
      <alignment horizontal="center" vertical="center" wrapText="1"/>
    </xf>
    <xf numFmtId="164" fontId="5" fillId="0" borderId="48" xfId="1" applyNumberFormat="1" applyFont="1" applyBorder="1" applyAlignment="1">
      <alignment horizontal="center" vertical="center" wrapText="1"/>
    </xf>
    <xf numFmtId="164" fontId="5" fillId="0" borderId="49" xfId="1" applyNumberFormat="1" applyFont="1" applyBorder="1" applyAlignment="1">
      <alignment horizontal="center" vertical="center" wrapText="1"/>
    </xf>
    <xf numFmtId="164" fontId="5" fillId="0" borderId="50" xfId="1" applyNumberFormat="1" applyFont="1" applyBorder="1" applyAlignment="1">
      <alignment horizontal="center" vertical="center" wrapText="1"/>
    </xf>
    <xf numFmtId="164" fontId="5" fillId="0" borderId="51" xfId="1" applyNumberFormat="1" applyFont="1" applyBorder="1" applyAlignment="1">
      <alignment horizontal="center" vertical="center" wrapText="1"/>
    </xf>
    <xf numFmtId="164" fontId="5" fillId="0" borderId="52" xfId="1" applyNumberFormat="1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 readingOrder="1"/>
    </xf>
    <xf numFmtId="0" fontId="8" fillId="0" borderId="55" xfId="0" applyFont="1" applyBorder="1" applyAlignment="1">
      <alignment horizontal="center" vertical="center" wrapText="1" readingOrder="1"/>
    </xf>
    <xf numFmtId="0" fontId="8" fillId="0" borderId="56" xfId="0" applyFont="1" applyBorder="1" applyAlignment="1">
      <alignment horizontal="center" vertical="center" wrapText="1" readingOrder="1"/>
    </xf>
    <xf numFmtId="0" fontId="8" fillId="0" borderId="57" xfId="0" applyFont="1" applyBorder="1" applyAlignment="1">
      <alignment horizontal="center" vertical="center" wrapText="1" readingOrder="1"/>
    </xf>
    <xf numFmtId="0" fontId="8" fillId="0" borderId="58" xfId="0" applyFont="1" applyBorder="1" applyAlignment="1">
      <alignment horizontal="center" vertical="center" wrapText="1" readingOrder="1"/>
    </xf>
    <xf numFmtId="0" fontId="8" fillId="0" borderId="59" xfId="0" applyFont="1" applyBorder="1" applyAlignment="1">
      <alignment horizontal="center" vertical="center" wrapText="1" readingOrder="1"/>
    </xf>
    <xf numFmtId="0" fontId="7" fillId="0" borderId="60" xfId="0" applyFont="1" applyBorder="1" applyAlignment="1">
      <alignment wrapText="1"/>
    </xf>
    <xf numFmtId="0" fontId="7" fillId="0" borderId="0" xfId="0" applyFont="1" applyAlignment="1">
      <alignment wrapText="1"/>
    </xf>
    <xf numFmtId="0" fontId="0" fillId="0" borderId="61" xfId="0" applyBorder="1"/>
    <xf numFmtId="0" fontId="0" fillId="0" borderId="62" xfId="0" applyBorder="1"/>
    <xf numFmtId="0" fontId="0" fillId="0" borderId="64" xfId="0" applyBorder="1"/>
    <xf numFmtId="0" fontId="0" fillId="0" borderId="65" xfId="0" applyBorder="1"/>
    <xf numFmtId="0" fontId="9" fillId="0" borderId="66" xfId="0" applyFont="1" applyBorder="1"/>
    <xf numFmtId="0" fontId="0" fillId="0" borderId="63" xfId="0" applyBorder="1"/>
    <xf numFmtId="0" fontId="9" fillId="0" borderId="0" xfId="0" applyFont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65" xfId="0" applyFill="1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0" borderId="4" xfId="0" applyBorder="1"/>
    <xf numFmtId="0" fontId="0" fillId="0" borderId="67" xfId="0" applyBorder="1"/>
    <xf numFmtId="0" fontId="0" fillId="0" borderId="53" xfId="0" applyBorder="1"/>
    <xf numFmtId="0" fontId="9" fillId="0" borderId="65" xfId="0" applyFont="1" applyBorder="1"/>
    <xf numFmtId="0" fontId="0" fillId="0" borderId="3" xfId="0" applyBorder="1"/>
    <xf numFmtId="0" fontId="0" fillId="5" borderId="61" xfId="0" applyFill="1" applyBorder="1"/>
    <xf numFmtId="0" fontId="0" fillId="5" borderId="68" xfId="0" applyFill="1" applyBorder="1"/>
    <xf numFmtId="0" fontId="0" fillId="5" borderId="62" xfId="0" applyFill="1" applyBorder="1"/>
    <xf numFmtId="0" fontId="0" fillId="5" borderId="69" xfId="0" applyFill="1" applyBorder="1"/>
    <xf numFmtId="0" fontId="0" fillId="5" borderId="0" xfId="0" applyFill="1"/>
    <xf numFmtId="0" fontId="0" fillId="5" borderId="70" xfId="0" applyFill="1" applyBorder="1"/>
    <xf numFmtId="0" fontId="0" fillId="5" borderId="63" xfId="0" applyFill="1" applyBorder="1"/>
    <xf numFmtId="0" fontId="0" fillId="5" borderId="53" xfId="0" applyFill="1" applyBorder="1"/>
    <xf numFmtId="0" fontId="0" fillId="5" borderId="64" xfId="0" applyFill="1" applyBorder="1"/>
    <xf numFmtId="0" fontId="0" fillId="6" borderId="66" xfId="0" applyFill="1" applyBorder="1"/>
    <xf numFmtId="0" fontId="0" fillId="8" borderId="1" xfId="0" applyFill="1" applyBorder="1"/>
    <xf numFmtId="0" fontId="0" fillId="0" borderId="66" xfId="0" applyBorder="1"/>
    <xf numFmtId="0" fontId="0" fillId="5" borderId="2" xfId="0" applyFill="1" applyBorder="1"/>
    <xf numFmtId="0" fontId="0" fillId="5" borderId="4" xfId="0" applyFill="1" applyBorder="1"/>
    <xf numFmtId="167" fontId="0" fillId="5" borderId="2" xfId="0" applyNumberFormat="1" applyFill="1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7" borderId="66" xfId="0" applyFill="1" applyBorder="1" applyAlignment="1">
      <alignment horizontal="center" vertical="center"/>
    </xf>
    <xf numFmtId="0" fontId="8" fillId="0" borderId="71" xfId="0" applyFont="1" applyBorder="1" applyAlignment="1">
      <alignment horizontal="center" vertical="center" wrapText="1" readingOrder="1"/>
    </xf>
    <xf numFmtId="0" fontId="8" fillId="0" borderId="72" xfId="0" applyFont="1" applyBorder="1" applyAlignment="1">
      <alignment horizontal="center" vertical="center" wrapText="1" readingOrder="1"/>
    </xf>
    <xf numFmtId="0" fontId="8" fillId="0" borderId="73" xfId="0" applyFont="1" applyBorder="1" applyAlignment="1">
      <alignment horizontal="center" vertical="center" wrapText="1" readingOrder="1"/>
    </xf>
    <xf numFmtId="0" fontId="12" fillId="0" borderId="71" xfId="0" applyFont="1" applyBorder="1" applyAlignment="1">
      <alignment horizontal="center" vertical="center" wrapText="1" readingOrder="1"/>
    </xf>
    <xf numFmtId="0" fontId="12" fillId="0" borderId="72" xfId="0" applyFont="1" applyBorder="1" applyAlignment="1">
      <alignment horizontal="center" vertical="center" wrapText="1" readingOrder="1"/>
    </xf>
    <xf numFmtId="0" fontId="12" fillId="0" borderId="73" xfId="0" applyFont="1" applyBorder="1" applyAlignment="1">
      <alignment horizontal="center" vertical="center" wrapText="1" readingOrder="1"/>
    </xf>
    <xf numFmtId="0" fontId="12" fillId="0" borderId="58" xfId="0" applyFont="1" applyBorder="1" applyAlignment="1">
      <alignment horizontal="center" vertical="center" wrapText="1" readingOrder="1"/>
    </xf>
    <xf numFmtId="0" fontId="12" fillId="0" borderId="56" xfId="0" applyFont="1" applyBorder="1" applyAlignment="1">
      <alignment horizontal="center" vertical="center" wrapText="1" readingOrder="1"/>
    </xf>
    <xf numFmtId="0" fontId="12" fillId="0" borderId="0" xfId="0" applyFont="1" applyAlignment="1">
      <alignment horizontal="center" vertical="center" wrapText="1" readingOrder="1"/>
    </xf>
    <xf numFmtId="0" fontId="8" fillId="0" borderId="75" xfId="0" applyFont="1" applyBorder="1" applyAlignment="1">
      <alignment horizontal="center" vertical="center" wrapText="1" readingOrder="1"/>
    </xf>
    <xf numFmtId="0" fontId="11" fillId="0" borderId="7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 readingOrder="1"/>
    </xf>
    <xf numFmtId="0" fontId="0" fillId="0" borderId="74" xfId="0" applyBorder="1"/>
    <xf numFmtId="0" fontId="0" fillId="2" borderId="82" xfId="0" applyFill="1" applyBorder="1"/>
    <xf numFmtId="0" fontId="0" fillId="2" borderId="83" xfId="0" applyFill="1" applyBorder="1"/>
    <xf numFmtId="0" fontId="0" fillId="2" borderId="84" xfId="0" applyFill="1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65" fontId="0" fillId="0" borderId="1" xfId="0" applyNumberFormat="1" applyBorder="1"/>
    <xf numFmtId="0" fontId="0" fillId="10" borderId="66" xfId="0" applyFill="1" applyBorder="1"/>
    <xf numFmtId="0" fontId="0" fillId="8" borderId="66" xfId="0" applyFill="1" applyBorder="1"/>
    <xf numFmtId="0" fontId="0" fillId="9" borderId="66" xfId="0" applyFill="1" applyBorder="1"/>
    <xf numFmtId="0" fontId="0" fillId="0" borderId="70" xfId="0" applyBorder="1"/>
    <xf numFmtId="0" fontId="0" fillId="0" borderId="69" xfId="0" applyBorder="1"/>
    <xf numFmtId="0" fontId="0" fillId="0" borderId="83" xfId="0" applyBorder="1"/>
    <xf numFmtId="0" fontId="14" fillId="0" borderId="0" xfId="2"/>
    <xf numFmtId="165" fontId="0" fillId="0" borderId="4" xfId="0" applyNumberFormat="1" applyBorder="1"/>
    <xf numFmtId="0" fontId="0" fillId="0" borderId="66" xfId="0" applyBorder="1" applyAlignment="1">
      <alignment horizontal="center" vertical="center"/>
    </xf>
    <xf numFmtId="0" fontId="0" fillId="11" borderId="2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66" xfId="0" applyBorder="1" applyAlignment="1">
      <alignment horizontal="right" vertical="center"/>
    </xf>
    <xf numFmtId="0" fontId="0" fillId="0" borderId="66" xfId="0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16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17" borderId="1" xfId="0" applyFill="1" applyBorder="1"/>
    <xf numFmtId="0" fontId="0" fillId="0" borderId="65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/>
    <xf numFmtId="0" fontId="0" fillId="4" borderId="1" xfId="0" applyFill="1" applyBorder="1" applyAlignment="1">
      <alignment horizontal="center" vertical="center"/>
    </xf>
    <xf numFmtId="0" fontId="0" fillId="4" borderId="65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12" borderId="1" xfId="0" applyFill="1" applyBorder="1" applyAlignment="1">
      <alignment horizontal="center" vertical="center" wrapText="1"/>
    </xf>
    <xf numFmtId="0" fontId="9" fillId="12" borderId="1" xfId="0" applyFont="1" applyFill="1" applyBorder="1"/>
    <xf numFmtId="0" fontId="17" fillId="12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0" fillId="19" borderId="1" xfId="0" applyFill="1" applyBorder="1"/>
    <xf numFmtId="0" fontId="20" fillId="0" borderId="0" xfId="0" applyFont="1" applyAlignment="1">
      <alignment horizontal="center"/>
    </xf>
    <xf numFmtId="168" fontId="0" fillId="4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20" borderId="1" xfId="0" applyFill="1" applyBorder="1"/>
    <xf numFmtId="0" fontId="2" fillId="13" borderId="2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0" fillId="0" borderId="4" xfId="0" applyBorder="1" applyAlignment="1">
      <alignment horizontal="right" vertical="center"/>
    </xf>
    <xf numFmtId="0" fontId="0" fillId="21" borderId="1" xfId="0" applyFill="1" applyBorder="1"/>
    <xf numFmtId="0" fontId="0" fillId="22" borderId="1" xfId="0" applyFill="1" applyBorder="1"/>
    <xf numFmtId="9" fontId="0" fillId="5" borderId="0" xfId="3" applyFont="1" applyFill="1" applyBorder="1" applyAlignment="1">
      <alignment horizontal="left"/>
    </xf>
    <xf numFmtId="0" fontId="0" fillId="5" borderId="0" xfId="0" applyFill="1" applyAlignment="1">
      <alignment horizontal="right" vertical="center"/>
    </xf>
    <xf numFmtId="168" fontId="0" fillId="1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21" fillId="0" borderId="0" xfId="0" applyFont="1" applyAlignment="1">
      <alignment horizontal="right"/>
    </xf>
    <xf numFmtId="0" fontId="0" fillId="0" borderId="70" xfId="0" applyBorder="1" applyAlignment="1">
      <alignment horizontal="right"/>
    </xf>
    <xf numFmtId="0" fontId="0" fillId="16" borderId="1" xfId="0" applyFill="1" applyBorder="1" applyAlignment="1">
      <alignment wrapText="1"/>
    </xf>
    <xf numFmtId="0" fontId="0" fillId="16" borderId="1" xfId="0" applyFill="1" applyBorder="1" applyAlignment="1">
      <alignment horizontal="center" wrapText="1"/>
    </xf>
    <xf numFmtId="0" fontId="0" fillId="23" borderId="1" xfId="0" applyFill="1" applyBorder="1"/>
    <xf numFmtId="0" fontId="18" fillId="23" borderId="1" xfId="0" applyFont="1" applyFill="1" applyBorder="1"/>
    <xf numFmtId="10" fontId="0" fillId="0" borderId="2" xfId="3" applyNumberFormat="1" applyFont="1" applyBorder="1"/>
    <xf numFmtId="164" fontId="0" fillId="18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0" fontId="13" fillId="0" borderId="0" xfId="0" applyFont="1" applyAlignment="1">
      <alignment horizontal="center"/>
    </xf>
    <xf numFmtId="0" fontId="6" fillId="0" borderId="5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79" xfId="0" applyFont="1" applyBorder="1" applyAlignment="1">
      <alignment horizontal="center" vertical="center"/>
    </xf>
    <xf numFmtId="0" fontId="11" fillId="0" borderId="80" xfId="0" applyFont="1" applyBorder="1" applyAlignment="1">
      <alignment horizontal="center" vertical="center"/>
    </xf>
    <xf numFmtId="0" fontId="11" fillId="0" borderId="81" xfId="0" applyFont="1" applyBorder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1" fillId="0" borderId="77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9" fillId="0" borderId="6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5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76" xfId="0" applyFill="1" applyBorder="1" applyAlignment="1">
      <alignment horizontal="center"/>
    </xf>
    <xf numFmtId="0" fontId="0" fillId="11" borderId="77" xfId="0" applyFill="1" applyBorder="1" applyAlignment="1">
      <alignment horizontal="center"/>
    </xf>
    <xf numFmtId="0" fontId="0" fillId="11" borderId="78" xfId="0" applyFill="1" applyBorder="1" applyAlignment="1">
      <alignment horizontal="center"/>
    </xf>
    <xf numFmtId="0" fontId="0" fillId="11" borderId="88" xfId="0" applyFill="1" applyBorder="1" applyAlignment="1">
      <alignment horizontal="center"/>
    </xf>
    <xf numFmtId="0" fontId="0" fillId="11" borderId="89" xfId="0" applyFill="1" applyBorder="1" applyAlignment="1">
      <alignment horizontal="center"/>
    </xf>
    <xf numFmtId="0" fontId="0" fillId="11" borderId="90" xfId="0" applyFill="1" applyBorder="1" applyAlignment="1">
      <alignment horizontal="center"/>
    </xf>
    <xf numFmtId="0" fontId="0" fillId="0" borderId="88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11" borderId="79" xfId="0" applyFill="1" applyBorder="1" applyAlignment="1">
      <alignment horizontal="center"/>
    </xf>
    <xf numFmtId="0" fontId="0" fillId="11" borderId="81" xfId="0" applyFill="1" applyBorder="1" applyAlignment="1">
      <alignment horizontal="center"/>
    </xf>
    <xf numFmtId="0" fontId="0" fillId="12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23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wrapText="1"/>
    </xf>
    <xf numFmtId="10" fontId="0" fillId="18" borderId="65" xfId="3" applyNumberFormat="1" applyFont="1" applyFill="1" applyBorder="1" applyAlignment="1">
      <alignment horizontal="center" vertical="center"/>
    </xf>
    <xf numFmtId="10" fontId="0" fillId="18" borderId="66" xfId="3" applyNumberFormat="1" applyFont="1" applyFill="1" applyBorder="1" applyAlignment="1">
      <alignment horizontal="center" vertical="center"/>
    </xf>
  </cellXfs>
  <cellStyles count="4">
    <cellStyle name="Hipervínculo" xfId="2" builtinId="8"/>
    <cellStyle name="Normal" xfId="0" builtinId="0"/>
    <cellStyle name="Normal 2" xfId="1" xr:uid="{5BE73C72-EFCF-4995-9535-9A2A69514FEB}"/>
    <cellStyle name="Porcentaje" xfId="3" builtinId="5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CCFFCC"/>
      <color rgb="FFFFFFCC"/>
      <color rgb="FFCC0000"/>
      <color rgb="FFFF6600"/>
      <color rgb="FFFFCC66"/>
      <color rgb="FFFFFF9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Fuerza</a:t>
            </a:r>
            <a:r>
              <a:rPr lang="en-US" baseline="0"/>
              <a:t> longitudinal / Deslizamiento longitudinal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'Cálculo coef. del neumático'!$T$2</c:f>
              <c:strCache>
                <c:ptCount val="1"/>
                <c:pt idx="0">
                  <c:v>Fx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'Cálculo coef. del neumático'!$R$3:$R$53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xVal>
          <c:yVal>
            <c:numRef>
              <c:f>'Cálculo coef. del neumático'!$T$3:$T$53</c:f>
              <c:numCache>
                <c:formatCode>General</c:formatCode>
                <c:ptCount val="51"/>
                <c:pt idx="0">
                  <c:v>-5.8249243819210523</c:v>
                </c:pt>
                <c:pt idx="1">
                  <c:v>5173.2605180217724</c:v>
                </c:pt>
                <c:pt idx="2">
                  <c:v>7849.6328374100267</c:v>
                </c:pt>
                <c:pt idx="3">
                  <c:v>8576.4371228460732</c:v>
                </c:pt>
                <c:pt idx="4">
                  <c:v>8485.3430317708098</c:v>
                </c:pt>
                <c:pt idx="5">
                  <c:v>8135.6992775642302</c:v>
                </c:pt>
                <c:pt idx="6">
                  <c:v>7729.1609190677</c:v>
                </c:pt>
                <c:pt idx="7">
                  <c:v>7330.4278215603481</c:v>
                </c:pt>
                <c:pt idx="8">
                  <c:v>6957.4843169674041</c:v>
                </c:pt>
                <c:pt idx="9">
                  <c:v>6612.9784013219496</c:v>
                </c:pt>
                <c:pt idx="10">
                  <c:v>6294.8609053207774</c:v>
                </c:pt>
                <c:pt idx="11">
                  <c:v>5999.9798504770943</c:v>
                </c:pt>
                <c:pt idx="12">
                  <c:v>5725.2533869004274</c:v>
                </c:pt>
                <c:pt idx="13">
                  <c:v>5468.0005628408517</c:v>
                </c:pt>
                <c:pt idx="14">
                  <c:v>5225.9838335888699</c:v>
                </c:pt>
                <c:pt idx="15">
                  <c:v>4997.3612419922902</c:v>
                </c:pt>
                <c:pt idx="16">
                  <c:v>4780.618639160044</c:v>
                </c:pt>
                <c:pt idx="17">
                  <c:v>4574.5056067772712</c:v>
                </c:pt>
                <c:pt idx="18">
                  <c:v>4377.9816140253379</c:v>
                </c:pt>
                <c:pt idx="19">
                  <c:v>4190.1728807537911</c:v>
                </c:pt>
                <c:pt idx="20">
                  <c:v>4010.3385220615187</c:v>
                </c:pt>
                <c:pt idx="21">
                  <c:v>3837.8441853372719</c:v>
                </c:pt>
                <c:pt idx="22">
                  <c:v>3672.1415464793754</c:v>
                </c:pt>
                <c:pt idx="23">
                  <c:v>3512.7523232481471</c:v>
                </c:pt>
                <c:pt idx="24">
                  <c:v>3359.2557525859811</c:v>
                </c:pt>
                <c:pt idx="25">
                  <c:v>3211.2787231696989</c:v>
                </c:pt>
                <c:pt idx="26">
                  <c:v>3068.4879482061592</c:v>
                </c:pt>
                <c:pt idx="27">
                  <c:v>2930.5837123725455</c:v>
                </c:pt>
                <c:pt idx="28">
                  <c:v>2797.2948395174953</c:v>
                </c:pt>
                <c:pt idx="29">
                  <c:v>2668.3746125063881</c:v>
                </c:pt>
                <c:pt idx="30">
                  <c:v>2543.5974402277297</c:v>
                </c:pt>
                <c:pt idx="31">
                  <c:v>2422.7561145964946</c:v>
                </c:pt>
                <c:pt idx="32">
                  <c:v>2305.6595364249038</c:v>
                </c:pt>
                <c:pt idx="33">
                  <c:v>2192.1308162907344</c:v>
                </c:pt>
                <c:pt idx="34">
                  <c:v>2082.0056772479743</c:v>
                </c:pt>
                <c:pt idx="35">
                  <c:v>1975.1311020436324</c:v>
                </c:pt>
                <c:pt idx="36">
                  <c:v>1871.3641796468062</c:v>
                </c:pt>
                <c:pt idx="37">
                  <c:v>1770.5711152649435</c:v>
                </c:pt>
                <c:pt idx="38">
                  <c:v>1672.6263752899317</c:v>
                </c:pt>
                <c:pt idx="39">
                  <c:v>1577.4119442830363</c:v>
                </c:pt>
                <c:pt idx="40">
                  <c:v>1484.8166755495581</c:v>
                </c:pt>
                <c:pt idx="41">
                  <c:v>1394.7357203532451</c:v>
                </c:pt>
                <c:pt idx="42">
                  <c:v>1307.0700235913205</c:v>
                </c:pt>
                <c:pt idx="43">
                  <c:v>1221.7258759557405</c:v>
                </c:pt>
                <c:pt idx="44">
                  <c:v>1138.6145143695082</c:v>
                </c:pt>
                <c:pt idx="45">
                  <c:v>1057.6517639033677</c:v>
                </c:pt>
                <c:pt idx="46">
                  <c:v>978.75771552191156</c:v>
                </c:pt>
                <c:pt idx="47">
                  <c:v>901.85643493553391</c:v>
                </c:pt>
                <c:pt idx="48">
                  <c:v>826.87569859051837</c:v>
                </c:pt>
                <c:pt idx="49">
                  <c:v>753.74675344809782</c:v>
                </c:pt>
                <c:pt idx="50">
                  <c:v>682.40409771154611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82-4827-A86F-D32282677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533712"/>
        <c:axId val="791529392"/>
      </c:scatterChart>
      <c:valAx>
        <c:axId val="79153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29392"/>
        <c:crosses val="autoZero"/>
        <c:crossBetween val="midCat"/>
      </c:valAx>
      <c:valAx>
        <c:axId val="79152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3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Fx (Fuerza</a:t>
            </a:r>
            <a:r>
              <a:rPr lang="es-ES" baseline="0"/>
              <a:t> Longitudinal Máxima) N / % de deslizamiento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Fx ( Fz =2 )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'Coef. del neumático fijo'!$W$4:$W$54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'Coef. del neumático fijo'!$S$4:$S$54</c:f>
              <c:numCache>
                <c:formatCode>General</c:formatCode>
                <c:ptCount val="51"/>
                <c:pt idx="0">
                  <c:v>25</c:v>
                </c:pt>
                <c:pt idx="1">
                  <c:v>1118.0547291086461</c:v>
                </c:pt>
                <c:pt idx="2">
                  <c:v>1765.4973734772523</c:v>
                </c:pt>
                <c:pt idx="3">
                  <c:v>2057.4986616266219</c:v>
                </c:pt>
                <c:pt idx="4">
                  <c:v>2174.93622589605</c:v>
                </c:pt>
                <c:pt idx="5">
                  <c:v>2213.6894949017255</c:v>
                </c:pt>
                <c:pt idx="6">
                  <c:v>2216.1721593052544</c:v>
                </c:pt>
                <c:pt idx="7">
                  <c:v>2201.514560705124</c:v>
                </c:pt>
                <c:pt idx="8">
                  <c:v>2178.8481946120864</c:v>
                </c:pt>
                <c:pt idx="9">
                  <c:v>2152.7584400180203</c:v>
                </c:pt>
                <c:pt idx="10">
                  <c:v>2125.6275665807298</c:v>
                </c:pt>
                <c:pt idx="11">
                  <c:v>2098.7104831216679</c:v>
                </c:pt>
                <c:pt idx="12">
                  <c:v>2072.660454575504</c:v>
                </c:pt>
                <c:pt idx="13">
                  <c:v>2047.799939355416</c:v>
                </c:pt>
                <c:pt idx="14">
                  <c:v>2024.2662041774236</c:v>
                </c:pt>
                <c:pt idx="15">
                  <c:v>2002.0922848478847</c:v>
                </c:pt>
                <c:pt idx="16">
                  <c:v>1981.2531587430624</c:v>
                </c:pt>
                <c:pt idx="17">
                  <c:v>1961.6925532107089</c:v>
                </c:pt>
                <c:pt idx="18">
                  <c:v>1943.3386744707313</c:v>
                </c:pt>
                <c:pt idx="19">
                  <c:v>1926.1134565127181</c:v>
                </c:pt>
                <c:pt idx="20">
                  <c:v>1909.9379556504036</c:v>
                </c:pt>
                <c:pt idx="21">
                  <c:v>1894.7354249256118</c:v>
                </c:pt>
                <c:pt idx="22">
                  <c:v>1880.4329822502721</c:v>
                </c:pt>
                <c:pt idx="23">
                  <c:v>1866.9624252476726</c:v>
                </c:pt>
                <c:pt idx="24">
                  <c:v>1854.2605314662298</c:v>
                </c:pt>
                <c:pt idx="25">
                  <c:v>1842.2690532075837</c:v>
                </c:pt>
                <c:pt idx="26">
                  <c:v>1830.9345368946724</c:v>
                </c:pt>
                <c:pt idx="27">
                  <c:v>1820.2080477187235</c:v>
                </c:pt>
                <c:pt idx="28">
                  <c:v>1810.0448495145549</c:v>
                </c:pt>
                <c:pt idx="29">
                  <c:v>1800.4040704090241</c:v>
                </c:pt>
                <c:pt idx="30">
                  <c:v>1791.2483725093089</c:v>
                </c:pt>
                <c:pt idx="31">
                  <c:v>1782.5436361229226</c:v>
                </c:pt>
                <c:pt idx="32">
                  <c:v>1774.2586640940144</c:v>
                </c:pt>
                <c:pt idx="33">
                  <c:v>1766.3649087690958</c:v>
                </c:pt>
                <c:pt idx="34">
                  <c:v>1758.8362222134058</c:v>
                </c:pt>
                <c:pt idx="35">
                  <c:v>1751.648629165544</c:v>
                </c:pt>
                <c:pt idx="36">
                  <c:v>1744.7801215709151</c:v>
                </c:pt>
                <c:pt idx="37">
                  <c:v>1738.210473197624</c:v>
                </c:pt>
                <c:pt idx="38">
                  <c:v>1731.9210726969839</c:v>
                </c:pt>
                <c:pt idx="39">
                  <c:v>1725.894773450098</c:v>
                </c:pt>
                <c:pt idx="40">
                  <c:v>1720.1157585934441</c:v>
                </c:pt>
                <c:pt idx="41">
                  <c:v>1714.5694197086329</c:v>
                </c:pt>
                <c:pt idx="42">
                  <c:v>1709.2422477743114</c:v>
                </c:pt>
                <c:pt idx="43">
                  <c:v>1704.1217350988579</c:v>
                </c:pt>
                <c:pt idx="44">
                  <c:v>1699.1962870731004</c:v>
                </c:pt>
                <c:pt idx="45">
                  <c:v>1694.4551426981734</c:v>
                </c:pt>
                <c:pt idx="46">
                  <c:v>1689.8883029521871</c:v>
                </c:pt>
                <c:pt idx="47">
                  <c:v>1685.4864661593115</c:v>
                </c:pt>
                <c:pt idx="48">
                  <c:v>1681.240969615852</c:v>
                </c:pt>
                <c:pt idx="49">
                  <c:v>1677.1437368098952</c:v>
                </c:pt>
                <c:pt idx="50">
                  <c:v>1673.1872296446888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04-4B35-AD18-5F73EED3856E}"/>
            </c:ext>
          </c:extLst>
        </c:ser>
        <c:ser>
          <c:idx val="1"/>
          <c:order val="1"/>
          <c:tx>
            <c:v>Fx ( Fz =4 )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'Coef. del neumático fijo'!$W$4:$W$54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'Coef. del neumático fijo'!$Y$4:$Y$54</c:f>
              <c:numCache>
                <c:formatCode>General</c:formatCode>
                <c:ptCount val="51"/>
                <c:pt idx="0">
                  <c:v>70.599999999999994</c:v>
                </c:pt>
                <c:pt idx="1">
                  <c:v>2267.3423441392338</c:v>
                </c:pt>
                <c:pt idx="2">
                  <c:v>3522.2501838458725</c:v>
                </c:pt>
                <c:pt idx="3">
                  <c:v>4054.9299031723463</c:v>
                </c:pt>
                <c:pt idx="4">
                  <c:v>4251.8733164894957</c:v>
                </c:pt>
                <c:pt idx="5">
                  <c:v>4305.0995138823355</c:v>
                </c:pt>
                <c:pt idx="6">
                  <c:v>4294.3257940556259</c:v>
                </c:pt>
                <c:pt idx="7">
                  <c:v>4253.6726714328361</c:v>
                </c:pt>
                <c:pt idx="8">
                  <c:v>4198.8916375156432</c:v>
                </c:pt>
                <c:pt idx="9">
                  <c:v>4137.8046927179403</c:v>
                </c:pt>
                <c:pt idx="10">
                  <c:v>4074.5235168481613</c:v>
                </c:pt>
                <c:pt idx="11">
                  <c:v>4011.2914839222171</c:v>
                </c:pt>
                <c:pt idx="12">
                  <c:v>3949.3518936687951</c:v>
                </c:pt>
                <c:pt idx="13">
                  <c:v>3889.386277741527</c:v>
                </c:pt>
                <c:pt idx="14">
                  <c:v>3831.7490519024345</c:v>
                </c:pt>
                <c:pt idx="15">
                  <c:v>3776.5994341205537</c:v>
                </c:pt>
                <c:pt idx="16">
                  <c:v>3723.9786176448206</c:v>
                </c:pt>
                <c:pt idx="17">
                  <c:v>3673.8563677531474</c:v>
                </c:pt>
                <c:pt idx="18">
                  <c:v>3626.1598479269883</c:v>
                </c:pt>
                <c:pt idx="19">
                  <c:v>3580.7917684665149</c:v>
                </c:pt>
                <c:pt idx="20">
                  <c:v>3537.6419404953581</c:v>
                </c:pt>
                <c:pt idx="21">
                  <c:v>3496.5946648382073</c:v>
                </c:pt>
                <c:pt idx="22">
                  <c:v>3457.5334429792892</c:v>
                </c:pt>
                <c:pt idx="23">
                  <c:v>3420.3439427079866</c:v>
                </c:pt>
                <c:pt idx="24">
                  <c:v>3384.9158152844998</c:v>
                </c:pt>
                <c:pt idx="25">
                  <c:v>3351.1437526089112</c:v>
                </c:pt>
                <c:pt idx="26">
                  <c:v>3318.9280408055643</c:v>
                </c:pt>
                <c:pt idx="27">
                  <c:v>3288.1747813567913</c:v>
                </c:pt>
                <c:pt idx="28">
                  <c:v>3258.7958949761801</c:v>
                </c:pt>
                <c:pt idx="29">
                  <c:v>3230.708986211408</c:v>
                </c:pt>
                <c:pt idx="30">
                  <c:v>3203.837121746149</c:v>
                </c:pt>
                <c:pt idx="31">
                  <c:v>3178.1085583820641</c:v>
                </c:pt>
                <c:pt idx="32">
                  <c:v>3153.4564450590156</c:v>
                </c:pt>
                <c:pt idx="33">
                  <c:v>3129.8185152736719</c:v>
                </c:pt>
                <c:pt idx="34">
                  <c:v>3107.1367807314336</c:v>
                </c:pt>
                <c:pt idx="35">
                  <c:v>3085.3572332421263</c:v>
                </c:pt>
                <c:pt idx="36">
                  <c:v>3064.4295592233834</c:v>
                </c:pt>
                <c:pt idx="37">
                  <c:v>3044.3068693494533</c:v>
                </c:pt>
                <c:pt idx="38">
                  <c:v>3024.9454446306572</c:v>
                </c:pt>
                <c:pt idx="39">
                  <c:v>3006.3044993588028</c:v>
                </c:pt>
                <c:pt idx="40">
                  <c:v>2988.3459607863874</c:v>
                </c:pt>
                <c:pt idx="41">
                  <c:v>2971.0342650385865</c:v>
                </c:pt>
                <c:pt idx="42">
                  <c:v>2954.336168527042</c:v>
                </c:pt>
                <c:pt idx="43">
                  <c:v>2938.2205740015575</c:v>
                </c:pt>
                <c:pt idx="44">
                  <c:v>2922.6583703097776</c:v>
                </c:pt>
                <c:pt idx="45">
                  <c:v>2907.6222849148726</c:v>
                </c:pt>
                <c:pt idx="46">
                  <c:v>2893.0867482317444</c:v>
                </c:pt>
                <c:pt idx="47">
                  <c:v>2879.0277688729507</c:v>
                </c:pt>
                <c:pt idx="48">
                  <c:v>2865.4228189385694</c:v>
                </c:pt>
                <c:pt idx="49">
                  <c:v>2852.2507285344636</c:v>
                </c:pt>
                <c:pt idx="50">
                  <c:v>2839.4915887571487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04-4B35-AD18-5F73EED3856E}"/>
            </c:ext>
          </c:extLst>
        </c:ser>
        <c:ser>
          <c:idx val="2"/>
          <c:order val="2"/>
          <c:tx>
            <c:v>Fx ( Fz =6)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'Coef. del neumático fijo'!$W$4:$W$54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'Coef. del neumático fijo'!$AE$4:$AE$54</c:f>
              <c:numCache>
                <c:formatCode>General</c:formatCode>
                <c:ptCount val="51"/>
                <c:pt idx="0">
                  <c:v>80.099999999999994</c:v>
                </c:pt>
                <c:pt idx="1">
                  <c:v>3727.4326922374321</c:v>
                </c:pt>
                <c:pt idx="2">
                  <c:v>5413.9954709967169</c:v>
                </c:pt>
                <c:pt idx="3">
                  <c:v>5983.1824243087094</c:v>
                </c:pt>
                <c:pt idx="4">
                  <c:v>6149.1022983598923</c:v>
                </c:pt>
                <c:pt idx="5">
                  <c:v>6166.4859264331017</c:v>
                </c:pt>
                <c:pt idx="6">
                  <c:v>6123.2628527087445</c:v>
                </c:pt>
                <c:pt idx="7">
                  <c:v>6053.551558840345</c:v>
                </c:pt>
                <c:pt idx="8">
                  <c:v>5972.3078511504946</c:v>
                </c:pt>
                <c:pt idx="9">
                  <c:v>5886.752556061354</c:v>
                </c:pt>
                <c:pt idx="10">
                  <c:v>5800.6136989004144</c:v>
                </c:pt>
                <c:pt idx="11">
                  <c:v>5715.8905793585864</c:v>
                </c:pt>
                <c:pt idx="12">
                  <c:v>5633.6633907773075</c:v>
                </c:pt>
                <c:pt idx="13">
                  <c:v>5554.4968097445408</c:v>
                </c:pt>
                <c:pt idx="14">
                  <c:v>5478.6552848445481</c:v>
                </c:pt>
                <c:pt idx="15">
                  <c:v>5406.224307410469</c:v>
                </c:pt>
                <c:pt idx="16">
                  <c:v>5337.1817158467702</c:v>
                </c:pt>
                <c:pt idx="17">
                  <c:v>5271.441022276972</c:v>
                </c:pt>
                <c:pt idx="18">
                  <c:v>5208.8783829323029</c:v>
                </c:pt>
                <c:pt idx="19">
                  <c:v>5149.3496632473289</c:v>
                </c:pt>
                <c:pt idx="20">
                  <c:v>5092.701331437418</c:v>
                </c:pt>
                <c:pt idx="21">
                  <c:v>5038.777419441386</c:v>
                </c:pt>
                <c:pt idx="22">
                  <c:v>4987.4239342066448</c:v>
                </c:pt>
                <c:pt idx="23">
                  <c:v>4938.4915950108098</c:v>
                </c:pt>
                <c:pt idx="24">
                  <c:v>4891.8374627649428</c:v>
                </c:pt>
                <c:pt idx="25">
                  <c:v>4847.3258332148589</c:v>
                </c:pt>
                <c:pt idx="26">
                  <c:v>4804.8286417336822</c:v>
                </c:pt>
                <c:pt idx="27">
                  <c:v>4764.2255463770625</c:v>
                </c:pt>
                <c:pt idx="28">
                  <c:v>4725.4038021916485</c:v>
                </c:pt>
                <c:pt idx="29">
                  <c:v>4688.2580037304642</c:v>
                </c:pt>
                <c:pt idx="30">
                  <c:v>4652.6897482715503</c:v>
                </c:pt>
                <c:pt idx="31">
                  <c:v>4618.6072554913462</c:v>
                </c:pt>
                <c:pt idx="32">
                  <c:v>4585.9249678009101</c:v>
                </c:pt>
                <c:pt idx="33">
                  <c:v>4554.5631475564114</c:v>
                </c:pt>
                <c:pt idx="34">
                  <c:v>4524.4474817993396</c:v>
                </c:pt>
                <c:pt idx="35">
                  <c:v>4495.5087013180901</c:v>
                </c:pt>
                <c:pt idx="36">
                  <c:v>4467.6822181403759</c:v>
                </c:pt>
                <c:pt idx="37">
                  <c:v>4440.9077837115046</c:v>
                </c:pt>
                <c:pt idx="38">
                  <c:v>4415.1291687425728</c:v>
                </c:pt>
                <c:pt idx="39">
                  <c:v>4390.2938648524751</c:v>
                </c:pt>
                <c:pt idx="40">
                  <c:v>4366.3528075578815</c:v>
                </c:pt>
                <c:pt idx="41">
                  <c:v>4343.2601197997819</c:v>
                </c:pt>
                <c:pt idx="42">
                  <c:v>4320.9728749734986</c:v>
                </c:pt>
                <c:pt idx="43">
                  <c:v>4299.4508783075125</c:v>
                </c:pt>
                <c:pt idx="44">
                  <c:v>4278.6564653842033</c:v>
                </c:pt>
                <c:pt idx="45">
                  <c:v>4258.5543165905929</c:v>
                </c:pt>
                <c:pt idx="46">
                  <c:v>4239.1112863137259</c:v>
                </c:pt>
                <c:pt idx="47">
                  <c:v>4220.2962457418962</c:v>
                </c:pt>
                <c:pt idx="48">
                  <c:v>4202.0799381921124</c:v>
                </c:pt>
                <c:pt idx="49">
                  <c:v>4184.4348459498833</c:v>
                </c:pt>
                <c:pt idx="50">
                  <c:v>4167.3350676760665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04-4B35-AD18-5F73EED3856E}"/>
            </c:ext>
          </c:extLst>
        </c:ser>
        <c:ser>
          <c:idx val="3"/>
          <c:order val="3"/>
          <c:tx>
            <c:v>Fx ( Fz =8)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'Coef. del neumático fijo'!$W$4:$W$54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'Coef. del neumático fijo'!$AK$4:$AK$54</c:f>
              <c:numCache>
                <c:formatCode>General</c:formatCode>
                <c:ptCount val="51"/>
                <c:pt idx="0">
                  <c:v>104</c:v>
                </c:pt>
                <c:pt idx="1">
                  <c:v>5023.4743456833085</c:v>
                </c:pt>
                <c:pt idx="2">
                  <c:v>7091.3165954115848</c:v>
                </c:pt>
                <c:pt idx="3">
                  <c:v>7688.5894396985705</c:v>
                </c:pt>
                <c:pt idx="4">
                  <c:v>7813.3658621518707</c:v>
                </c:pt>
                <c:pt idx="5">
                  <c:v>7782.6264313739048</c:v>
                </c:pt>
                <c:pt idx="6">
                  <c:v>7695.0452072611233</c:v>
                </c:pt>
                <c:pt idx="7">
                  <c:v>7585.3776185863035</c:v>
                </c:pt>
                <c:pt idx="8">
                  <c:v>7467.54391743818</c:v>
                </c:pt>
                <c:pt idx="9">
                  <c:v>7347.746211295912</c:v>
                </c:pt>
                <c:pt idx="10">
                  <c:v>7228.9776105447054</c:v>
                </c:pt>
                <c:pt idx="11">
                  <c:v>7112.7582667456854</c:v>
                </c:pt>
                <c:pt idx="12">
                  <c:v>6999.8734395558722</c:v>
                </c:pt>
                <c:pt idx="13">
                  <c:v>6890.7155787219554</c:v>
                </c:pt>
                <c:pt idx="14">
                  <c:v>6785.4553178343031</c:v>
                </c:pt>
                <c:pt idx="15">
                  <c:v>6684.1327949905835</c:v>
                </c:pt>
                <c:pt idx="16">
                  <c:v>6586.7093071172521</c:v>
                </c:pt>
                <c:pt idx="17">
                  <c:v>6493.0979928628276</c:v>
                </c:pt>
                <c:pt idx="18">
                  <c:v>6403.1828117620771</c:v>
                </c:pt>
                <c:pt idx="19">
                  <c:v>6316.8306683111714</c:v>
                </c:pt>
                <c:pt idx="20">
                  <c:v>6233.899346235844</c:v>
                </c:pt>
                <c:pt idx="21">
                  <c:v>6154.2427860362686</c:v>
                </c:pt>
                <c:pt idx="22">
                  <c:v>6077.7146248440067</c:v>
                </c:pt>
                <c:pt idx="23">
                  <c:v>6004.170570390268</c:v>
                </c:pt>
                <c:pt idx="24">
                  <c:v>5933.4699767513775</c:v>
                </c:pt>
                <c:pt idx="25">
                  <c:v>5865.4768651507766</c:v>
                </c:pt>
                <c:pt idx="26">
                  <c:v>5800.0605547793984</c:v>
                </c:pt>
                <c:pt idx="27">
                  <c:v>5737.0960178084833</c:v>
                </c:pt>
                <c:pt idx="28">
                  <c:v>5676.4640389586766</c:v>
                </c:pt>
                <c:pt idx="29">
                  <c:v>5618.0512369587204</c:v>
                </c:pt>
                <c:pt idx="30">
                  <c:v>5561.7499892255119</c:v>
                </c:pt>
                <c:pt idx="31">
                  <c:v>5507.458289790331</c:v>
                </c:pt>
                <c:pt idx="32">
                  <c:v>5455.0795623921667</c:v>
                </c:pt>
                <c:pt idx="33">
                  <c:v>5404.5224447824166</c:v>
                </c:pt>
                <c:pt idx="34">
                  <c:v>5355.7005559825657</c:v>
                </c:pt>
                <c:pt idx="35">
                  <c:v>5308.5322550624887</c:v>
                </c:pt>
                <c:pt idx="36">
                  <c:v>5262.940397651525</c:v>
                </c:pt>
                <c:pt idx="37">
                  <c:v>5218.8520946396557</c:v>
                </c:pt>
                <c:pt idx="38">
                  <c:v>5176.1984762150732</c:v>
                </c:pt>
                <c:pt idx="39">
                  <c:v>5134.9144634040695</c:v>
                </c:pt>
                <c:pt idx="40">
                  <c:v>5094.9385485466264</c:v>
                </c:pt>
                <c:pt idx="41">
                  <c:v>5056.2125855950235</c:v>
                </c:pt>
                <c:pt idx="42">
                  <c:v>5018.6815907176142</c:v>
                </c:pt>
                <c:pt idx="43">
                  <c:v>4982.2935533915143</c:v>
                </c:pt>
                <c:pt idx="44">
                  <c:v>4946.9992579502941</c:v>
                </c:pt>
                <c:pt idx="45">
                  <c:v>4912.7521153968719</c:v>
                </c:pt>
                <c:pt idx="46">
                  <c:v>4879.5080051820933</c:v>
                </c:pt>
                <c:pt idx="47">
                  <c:v>4847.2251265753202</c:v>
                </c:pt>
                <c:pt idx="48">
                  <c:v>4815.8638592055831</c:v>
                </c:pt>
                <c:pt idx="49">
                  <c:v>4785.38663232417</c:v>
                </c:pt>
                <c:pt idx="50">
                  <c:v>4755.7578023265633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04-4B35-AD18-5F73EED38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537743"/>
        <c:axId val="1702048623"/>
      </c:lineChart>
      <c:catAx>
        <c:axId val="137253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2048623"/>
        <c:crosses val="autoZero"/>
        <c:auto val="1"/>
        <c:lblAlgn val="ctr"/>
        <c:lblOffset val="100"/>
        <c:noMultiLvlLbl val="0"/>
      </c:catAx>
      <c:valAx>
        <c:axId val="17020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253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Fy (Fuerza Lateral Máxima) </a:t>
            </a:r>
            <a:r>
              <a:rPr lang="es-E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 / ángulo de deriva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223386475164414"/>
          <c:y val="0.20589165937591133"/>
          <c:w val="0.8668532370953631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v>Fy ( Fz =2 )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'Coef. del neumático fijo'!$R$4:$R$54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'Coef. del neumático fijo'!$T$4:$T$54</c:f>
              <c:numCache>
                <c:formatCode>General</c:formatCode>
                <c:ptCount val="51"/>
                <c:pt idx="0">
                  <c:v>-315.78820828548362</c:v>
                </c:pt>
                <c:pt idx="1">
                  <c:v>37.588947663609872</c:v>
                </c:pt>
                <c:pt idx="2">
                  <c:v>381.95068011052331</c:v>
                </c:pt>
                <c:pt idx="3">
                  <c:v>698.74461775249472</c:v>
                </c:pt>
                <c:pt idx="4">
                  <c:v>974.80935251640494</c:v>
                </c:pt>
                <c:pt idx="5">
                  <c:v>1203.8591421872916</c:v>
                </c:pt>
                <c:pt idx="6">
                  <c:v>1385.8434637058831</c:v>
                </c:pt>
                <c:pt idx="7">
                  <c:v>1525.0278444884343</c:v>
                </c:pt>
                <c:pt idx="8">
                  <c:v>1627.8550210352739</c:v>
                </c:pt>
                <c:pt idx="9">
                  <c:v>1701.2715858998342</c:v>
                </c:pt>
                <c:pt idx="10">
                  <c:v>1751.7169161274865</c:v>
                </c:pt>
                <c:pt idx="11">
                  <c:v>1784.6676499703806</c:v>
                </c:pt>
                <c:pt idx="12">
                  <c:v>1804.5390563078377</c:v>
                </c:pt>
                <c:pt idx="13">
                  <c:v>1814.7707228711122</c:v>
                </c:pt>
                <c:pt idx="14">
                  <c:v>1817.9834058716465</c:v>
                </c:pt>
                <c:pt idx="15">
                  <c:v>1816.1456301742462</c:v>
                </c:pt>
                <c:pt idx="16">
                  <c:v>1810.7225270084568</c:v>
                </c:pt>
                <c:pt idx="17">
                  <c:v>1802.7981314078779</c:v>
                </c:pt>
                <c:pt idx="18">
                  <c:v>1793.1712972242055</c:v>
                </c:pt>
                <c:pt idx="19">
                  <c:v>1782.4288868163974</c:v>
                </c:pt>
                <c:pt idx="20">
                  <c:v>1771.0007183070747</c:v>
                </c:pt>
                <c:pt idx="21">
                  <c:v>1759.200432905136</c:v>
                </c:pt>
                <c:pt idx="22">
                  <c:v>1747.2557411596704</c:v>
                </c:pt>
                <c:pt idx="23">
                  <c:v>1735.3307636271099</c:v>
                </c:pt>
                <c:pt idx="24">
                  <c:v>1723.5425306004124</c:v>
                </c:pt>
                <c:pt idx="25">
                  <c:v>1711.97318165461</c:v>
                </c:pt>
                <c:pt idx="26">
                  <c:v>1700.6790025237738</c:v>
                </c:pt>
                <c:pt idx="27">
                  <c:v>1689.6971343223277</c:v>
                </c:pt>
                <c:pt idx="28">
                  <c:v>1679.0505665680093</c:v>
                </c:pt>
                <c:pt idx="29">
                  <c:v>1668.7518616463985</c:v>
                </c:pt>
                <c:pt idx="30">
                  <c:v>1658.8059388305653</c:v>
                </c:pt>
                <c:pt idx="31">
                  <c:v>1649.2121588930997</c:v>
                </c:pt>
                <c:pt idx="32">
                  <c:v>1639.9658868902334</c:v>
                </c:pt>
                <c:pt idx="33">
                  <c:v>1631.0596643776084</c:v>
                </c:pt>
                <c:pt idx="34">
                  <c:v>1622.4840884218236</c:v>
                </c:pt>
                <c:pt idx="35">
                  <c:v>1614.2284698919204</c:v>
                </c:pt>
                <c:pt idx="36">
                  <c:v>1606.2813251891275</c:v>
                </c:pt>
                <c:pt idx="37">
                  <c:v>1598.6307420250057</c:v>
                </c:pt>
                <c:pt idx="38">
                  <c:v>1591.2646498037413</c:v>
                </c:pt>
                <c:pt idx="39">
                  <c:v>1584.1710176740553</c:v>
                </c:pt>
                <c:pt idx="40">
                  <c:v>1577.3379977147101</c:v>
                </c:pt>
                <c:pt idx="41">
                  <c:v>1570.7540265129894</c:v>
                </c:pt>
                <c:pt idx="42">
                  <c:v>1564.4078952279747</c:v>
                </c:pt>
                <c:pt idx="43">
                  <c:v>1558.2887958358683</c:v>
                </c:pt>
                <c:pt idx="44">
                  <c:v>1552.3863494384566</c:v>
                </c:pt>
                <c:pt idx="45">
                  <c:v>1546.6906211340372</c:v>
                </c:pt>
                <c:pt idx="46">
                  <c:v>1541.1921248958824</c:v>
                </c:pt>
                <c:pt idx="47">
                  <c:v>1535.8818210968168</c:v>
                </c:pt>
                <c:pt idx="48">
                  <c:v>1530.7511087000562</c:v>
                </c:pt>
                <c:pt idx="49">
                  <c:v>1525.7918136612741</c:v>
                </c:pt>
                <c:pt idx="50">
                  <c:v>1520.9961747210964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9-47A1-8BFE-27EA57EC1654}"/>
            </c:ext>
          </c:extLst>
        </c:ser>
        <c:ser>
          <c:idx val="1"/>
          <c:order val="1"/>
          <c:tx>
            <c:v>Fy ( Fz =4 )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'Coef. del neumático fijo'!$R$4:$R$54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'Coef. del neumático fijo'!$Z$4:$Z$54</c:f>
              <c:numCache>
                <c:formatCode>General</c:formatCode>
                <c:ptCount val="51"/>
                <c:pt idx="0">
                  <c:v>-206.86433314016747</c:v>
                </c:pt>
                <c:pt idx="1">
                  <c:v>310.30975849857447</c:v>
                </c:pt>
                <c:pt idx="2">
                  <c:v>813.58312266429527</c:v>
                </c:pt>
                <c:pt idx="3">
                  <c:v>1287.3884422441463</c:v>
                </c:pt>
                <c:pt idx="4">
                  <c:v>1717.2306403328819</c:v>
                </c:pt>
                <c:pt idx="5">
                  <c:v>2092.2474146107938</c:v>
                </c:pt>
                <c:pt idx="6">
                  <c:v>2407.3599475756619</c:v>
                </c:pt>
                <c:pt idx="7">
                  <c:v>2663.5645532464982</c:v>
                </c:pt>
                <c:pt idx="8">
                  <c:v>2866.4380049237825</c:v>
                </c:pt>
                <c:pt idx="9">
                  <c:v>3023.9464607912246</c:v>
                </c:pt>
                <c:pt idx="10">
                  <c:v>3144.5591127335133</c:v>
                </c:pt>
                <c:pt idx="11">
                  <c:v>3236.0725756637316</c:v>
                </c:pt>
                <c:pt idx="12">
                  <c:v>3305.0882806899908</c:v>
                </c:pt>
                <c:pt idx="13">
                  <c:v>3356.9164744284653</c:v>
                </c:pt>
                <c:pt idx="14">
                  <c:v>3395.6963433383394</c:v>
                </c:pt>
                <c:pt idx="15">
                  <c:v>3424.5943008926943</c:v>
                </c:pt>
                <c:pt idx="16">
                  <c:v>3446.007647086903</c:v>
                </c:pt>
                <c:pt idx="17">
                  <c:v>3461.7427564697855</c:v>
                </c:pt>
                <c:pt idx="18">
                  <c:v>3473.1593046964658</c:v>
                </c:pt>
                <c:pt idx="19">
                  <c:v>3481.282141963668</c:v>
                </c:pt>
                <c:pt idx="20">
                  <c:v>3486.8860082510951</c:v>
                </c:pt>
                <c:pt idx="21">
                  <c:v>3490.558839048148</c:v>
                </c:pt>
                <c:pt idx="22">
                  <c:v>3492.7487640145841</c:v>
                </c:pt>
                <c:pt idx="23">
                  <c:v>3493.7989217223881</c:v>
                </c:pt>
                <c:pt idx="24">
                  <c:v>3493.9732646579364</c:v>
                </c:pt>
                <c:pt idx="25">
                  <c:v>3493.4757333803145</c:v>
                </c:pt>
                <c:pt idx="26">
                  <c:v>3492.4645562896972</c:v>
                </c:pt>
                <c:pt idx="27">
                  <c:v>3491.062961844148</c:v>
                </c:pt>
                <c:pt idx="28">
                  <c:v>3489.3672429607604</c:v>
                </c:pt>
                <c:pt idx="29">
                  <c:v>3487.4528596745336</c:v>
                </c:pt>
                <c:pt idx="30">
                  <c:v>3485.379081793043</c:v>
                </c:pt>
                <c:pt idx="31">
                  <c:v>3483.1925395926523</c:v>
                </c:pt>
                <c:pt idx="32">
                  <c:v>3480.929953594059</c:v>
                </c:pt>
                <c:pt idx="33">
                  <c:v>3478.6202439169724</c:v>
                </c:pt>
                <c:pt idx="34">
                  <c:v>3476.2861682573925</c:v>
                </c:pt>
                <c:pt idx="35">
                  <c:v>3473.9455998449967</c:v>
                </c:pt>
                <c:pt idx="36">
                  <c:v>3471.6125290136688</c:v>
                </c:pt>
                <c:pt idx="37">
                  <c:v>3469.2978515242471</c:v>
                </c:pt>
                <c:pt idx="38">
                  <c:v>3467.0099915537398</c:v>
                </c:pt>
                <c:pt idx="39">
                  <c:v>3464.7553958974336</c:v>
                </c:pt>
                <c:pt idx="40">
                  <c:v>3462.5389273989449</c:v>
                </c:pt>
                <c:pt idx="41">
                  <c:v>3460.3641791881255</c:v>
                </c:pt>
                <c:pt idx="42">
                  <c:v>3458.2337264283829</c:v>
                </c:pt>
                <c:pt idx="43">
                  <c:v>3456.1493285586002</c:v>
                </c:pt>
                <c:pt idx="44">
                  <c:v>3454.1120921699953</c:v>
                </c:pt>
                <c:pt idx="45">
                  <c:v>3452.1226024703824</c:v>
                </c:pt>
                <c:pt idx="46">
                  <c:v>3450.1810295979672</c:v>
                </c:pt>
                <c:pt idx="47">
                  <c:v>3448.2872147351136</c:v>
                </c:pt>
                <c:pt idx="48">
                  <c:v>3446.440739950287</c:v>
                </c:pt>
                <c:pt idx="49">
                  <c:v>3444.6409848964345</c:v>
                </c:pt>
                <c:pt idx="50">
                  <c:v>3442.8871728655786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9-47A1-8BFE-27EA57EC1654}"/>
            </c:ext>
          </c:extLst>
        </c:ser>
        <c:ser>
          <c:idx val="2"/>
          <c:order val="2"/>
          <c:tx>
            <c:v>Fy ( Fz =6 )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'Coef. del neumático fijo'!$R$4:$R$54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'Coef. del neumático fijo'!$AF$4:$AF$54</c:f>
              <c:numCache>
                <c:formatCode>General</c:formatCode>
                <c:ptCount val="51"/>
                <c:pt idx="0">
                  <c:v>-318.43219439108509</c:v>
                </c:pt>
                <c:pt idx="1">
                  <c:v>226.84002412147362</c:v>
                </c:pt>
                <c:pt idx="2">
                  <c:v>770.73102968850628</c:v>
                </c:pt>
                <c:pt idx="3">
                  <c:v>1309.8533781505535</c:v>
                </c:pt>
                <c:pt idx="4">
                  <c:v>1837.7514805383314</c:v>
                </c:pt>
                <c:pt idx="5">
                  <c:v>2344.751106306258</c:v>
                </c:pt>
                <c:pt idx="6">
                  <c:v>2819.2947623197274</c:v>
                </c:pt>
                <c:pt idx="7">
                  <c:v>3250.2621072997649</c:v>
                </c:pt>
                <c:pt idx="8">
                  <c:v>3629.3119549872199</c:v>
                </c:pt>
                <c:pt idx="9">
                  <c:v>3952.3336589838837</c:v>
                </c:pt>
                <c:pt idx="10">
                  <c:v>4219.6265995428193</c:v>
                </c:pt>
                <c:pt idx="11">
                  <c:v>4435.0437874586951</c:v>
                </c:pt>
                <c:pt idx="12">
                  <c:v>4604.6584323735542</c:v>
                </c:pt>
                <c:pt idx="13">
                  <c:v>4735.4695898060563</c:v>
                </c:pt>
                <c:pt idx="14">
                  <c:v>4834.431891494216</c:v>
                </c:pt>
                <c:pt idx="15">
                  <c:v>4907.8709058871555</c:v>
                </c:pt>
                <c:pt idx="16">
                  <c:v>4961.2175199977082</c:v>
                </c:pt>
                <c:pt idx="17">
                  <c:v>4998.955853242137</c:v>
                </c:pt>
                <c:pt idx="18">
                  <c:v>5024.6903853271215</c:v>
                </c:pt>
                <c:pt idx="19">
                  <c:v>5041.2657123413119</c:v>
                </c:pt>
                <c:pt idx="20">
                  <c:v>5050.8988423915798</c:v>
                </c:pt>
                <c:pt idx="21">
                  <c:v>5055.3032563365778</c:v>
                </c:pt>
                <c:pt idx="22">
                  <c:v>5055.7960271704387</c:v>
                </c:pt>
                <c:pt idx="23">
                  <c:v>5053.3859747012011</c:v>
                </c:pt>
                <c:pt idx="24">
                  <c:v>5048.8440829130213</c:v>
                </c:pt>
                <c:pt idx="25">
                  <c:v>5042.7586915783986</c:v>
                </c:pt>
                <c:pt idx="26">
                  <c:v>5035.5782353236655</c:v>
                </c:pt>
                <c:pt idx="27">
                  <c:v>5027.6440936612416</c:v>
                </c:pt>
                <c:pt idx="28">
                  <c:v>5019.2157316051553</c:v>
                </c:pt>
                <c:pt idx="29">
                  <c:v>5010.4898995504345</c:v>
                </c:pt>
                <c:pt idx="30">
                  <c:v>5001.6152877260411</c:v>
                </c:pt>
                <c:pt idx="31">
                  <c:v>4992.7037167565941</c:v>
                </c:pt>
                <c:pt idx="32">
                  <c:v>4983.8386934592063</c:v>
                </c:pt>
                <c:pt idx="33">
                  <c:v>4975.0819632557032</c:v>
                </c:pt>
                <c:pt idx="34">
                  <c:v>4966.478538197508</c:v>
                </c:pt>
                <c:pt idx="35">
                  <c:v>4958.0605633818441</c:v>
                </c:pt>
                <c:pt idx="36">
                  <c:v>4949.8502964542631</c:v>
                </c:pt>
                <c:pt idx="37">
                  <c:v>4941.8624083648683</c:v>
                </c:pt>
                <c:pt idx="38">
                  <c:v>4934.1057633754681</c:v>
                </c:pt>
                <c:pt idx="39">
                  <c:v>4926.5847984856618</c:v>
                </c:pt>
                <c:pt idx="40">
                  <c:v>4919.3005938973092</c:v>
                </c:pt>
                <c:pt idx="41">
                  <c:v>4912.2517045579398</c:v>
                </c:pt>
                <c:pt idx="42">
                  <c:v>4905.4348064786227</c:v>
                </c:pt>
                <c:pt idx="43">
                  <c:v>4898.8451991105685</c:v>
                </c:pt>
                <c:pt idx="44">
                  <c:v>4892.4771956148461</c:v>
                </c:pt>
                <c:pt idx="45">
                  <c:v>4886.3244256436919</c:v>
                </c:pt>
                <c:pt idx="46">
                  <c:v>4880.380069725361</c:v>
                </c:pt>
                <c:pt idx="47">
                  <c:v>4874.6370400989681</c:v>
                </c:pt>
                <c:pt idx="48">
                  <c:v>4869.0881195744605</c:v>
                </c:pt>
                <c:pt idx="49">
                  <c:v>4863.7260674645468</c:v>
                </c:pt>
                <c:pt idx="50">
                  <c:v>4858.5436996756735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E9-47A1-8BFE-27EA57EC1654}"/>
            </c:ext>
          </c:extLst>
        </c:ser>
        <c:ser>
          <c:idx val="3"/>
          <c:order val="3"/>
          <c:tx>
            <c:v>Fy ( Fz =8 )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'Coef. del neumático fijo'!$R$4:$R$54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'Coef. del neumático fijo'!$AL$4:$AL$54</c:f>
              <c:numCache>
                <c:formatCode>General</c:formatCode>
                <c:ptCount val="51"/>
                <c:pt idx="0">
                  <c:v>-112.86797272339153</c:v>
                </c:pt>
                <c:pt idx="1">
                  <c:v>395.87515886213339</c:v>
                </c:pt>
                <c:pt idx="2">
                  <c:v>905.23268504353746</c:v>
                </c:pt>
                <c:pt idx="3">
                  <c:v>1414.7551708687217</c:v>
                </c:pt>
                <c:pt idx="4">
                  <c:v>1922.544885583427</c:v>
                </c:pt>
                <c:pt idx="5">
                  <c:v>2424.9649352446017</c:v>
                </c:pt>
                <c:pt idx="6">
                  <c:v>2916.6895172975474</c:v>
                </c:pt>
                <c:pt idx="7">
                  <c:v>3391.1145251515209</c:v>
                </c:pt>
                <c:pt idx="8">
                  <c:v>3841.0669698804936</c:v>
                </c:pt>
                <c:pt idx="9">
                  <c:v>4259.6711674939415</c:v>
                </c:pt>
                <c:pt idx="10">
                  <c:v>4641.1824716250203</c:v>
                </c:pt>
                <c:pt idx="11">
                  <c:v>4981.6104909911555</c:v>
                </c:pt>
                <c:pt idx="12">
                  <c:v>5279.0219036827511</c:v>
                </c:pt>
                <c:pt idx="13">
                  <c:v>5533.5088200604478</c:v>
                </c:pt>
                <c:pt idx="14">
                  <c:v>5746.8923086197728</c:v>
                </c:pt>
                <c:pt idx="15">
                  <c:v>5922.2746667173651</c:v>
                </c:pt>
                <c:pt idx="16">
                  <c:v>6063.5542523362265</c:v>
                </c:pt>
                <c:pt idx="17">
                  <c:v>6174.9875429490339</c:v>
                </c:pt>
                <c:pt idx="18">
                  <c:v>6260.844312953388</c:v>
                </c:pt>
                <c:pt idx="19">
                  <c:v>6325.1682346893995</c:v>
                </c:pt>
                <c:pt idx="20">
                  <c:v>6371.6332691871221</c:v>
                </c:pt>
                <c:pt idx="21">
                  <c:v>6403.4758271734399</c:v>
                </c:pt>
                <c:pt idx="22">
                  <c:v>6423.4806200142539</c:v>
                </c:pt>
                <c:pt idx="23">
                  <c:v>6434.0006986268036</c:v>
                </c:pt>
                <c:pt idx="24">
                  <c:v>6436.9965602728516</c:v>
                </c:pt>
                <c:pt idx="25">
                  <c:v>6434.0836793287717</c:v>
                </c:pt>
                <c:pt idx="26">
                  <c:v>6426.5815877618179</c:v>
                </c:pt>
                <c:pt idx="27">
                  <c:v>6415.5604654642684</c:v>
                </c:pt>
                <c:pt idx="28">
                  <c:v>6401.8831634469207</c:v>
                </c:pt>
                <c:pt idx="29">
                  <c:v>6386.2418492386141</c:v>
                </c:pt>
                <c:pt idx="30">
                  <c:v>6369.1892233335466</c:v>
                </c:pt>
                <c:pt idx="31">
                  <c:v>6351.1646705922567</c:v>
                </c:pt>
                <c:pt idx="32">
                  <c:v>6332.5159047693305</c:v>
                </c:pt>
                <c:pt idx="33">
                  <c:v>6313.5167250959175</c:v>
                </c:pt>
                <c:pt idx="34">
                  <c:v>6294.3814893452927</c:v>
                </c:pt>
                <c:pt idx="35">
                  <c:v>6275.2768551135869</c:v>
                </c:pt>
                <c:pt idx="36">
                  <c:v>6256.3312726331269</c:v>
                </c:pt>
                <c:pt idx="37">
                  <c:v>6237.642641200996</c:v>
                </c:pt>
                <c:pt idx="38">
                  <c:v>6219.2844740992732</c:v>
                </c:pt>
                <c:pt idx="39">
                  <c:v>6201.3108568828475</c:v>
                </c:pt>
                <c:pt idx="40">
                  <c:v>6183.7604321605422</c:v>
                </c:pt>
                <c:pt idx="41">
                  <c:v>6166.6596003761824</c:v>
                </c:pt>
                <c:pt idx="42">
                  <c:v>6150.0250899107323</c:v>
                </c:pt>
                <c:pt idx="43">
                  <c:v>6133.8660201434659</c:v>
                </c:pt>
                <c:pt idx="44">
                  <c:v>6118.185556954968</c:v>
                </c:pt>
                <c:pt idx="45">
                  <c:v>6102.9822406098401</c:v>
                </c:pt>
                <c:pt idx="46">
                  <c:v>6088.2510502052692</c:v>
                </c:pt>
                <c:pt idx="47">
                  <c:v>6073.9842562116355</c:v>
                </c:pt>
                <c:pt idx="48">
                  <c:v>6060.1721024737926</c:v>
                </c:pt>
                <c:pt idx="49">
                  <c:v>6046.8033509003199</c:v>
                </c:pt>
                <c:pt idx="50">
                  <c:v>6033.865715545352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E9-47A1-8BFE-27EA57EC1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1997455"/>
        <c:axId val="1804179599"/>
      </c:lineChart>
      <c:catAx>
        <c:axId val="170199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04179599"/>
        <c:crosses val="autoZero"/>
        <c:auto val="1"/>
        <c:lblAlgn val="ctr"/>
        <c:lblOffset val="100"/>
        <c:noMultiLvlLbl val="0"/>
      </c:catAx>
      <c:valAx>
        <c:axId val="180417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199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Mz (Resistencia al giro</a:t>
            </a:r>
            <a:r>
              <a:rPr lang="es-ES" baseline="0"/>
              <a:t> del volante según el deslizamiento del neumático</a:t>
            </a:r>
            <a:r>
              <a:rPr lang="es-E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Mz ( Fz =2 )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'Coef. del neumático fijo'!$R$4:$R$54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'Coef. del neumático fijo'!$U$4:$U$54</c:f>
              <c:numCache>
                <c:formatCode>General</c:formatCode>
                <c:ptCount val="51"/>
                <c:pt idx="0">
                  <c:v>-7.9543239944461446</c:v>
                </c:pt>
                <c:pt idx="1">
                  <c:v>-12.853514130763813</c:v>
                </c:pt>
                <c:pt idx="2">
                  <c:v>-17.745036682520745</c:v>
                </c:pt>
                <c:pt idx="3">
                  <c:v>-22.405660708284806</c:v>
                </c:pt>
                <c:pt idx="4">
                  <c:v>-26.139099724947911</c:v>
                </c:pt>
                <c:pt idx="5">
                  <c:v>-27.953232305469015</c:v>
                </c:pt>
                <c:pt idx="6">
                  <c:v>-27.38840080794558</c:v>
                </c:pt>
                <c:pt idx="7">
                  <c:v>-24.984742445432666</c:v>
                </c:pt>
                <c:pt idx="8">
                  <c:v>-21.765211771426586</c:v>
                </c:pt>
                <c:pt idx="9">
                  <c:v>-18.539598195860947</c:v>
                </c:pt>
                <c:pt idx="10">
                  <c:v>-15.701159895361414</c:v>
                </c:pt>
                <c:pt idx="11">
                  <c:v>-13.350824635918336</c:v>
                </c:pt>
                <c:pt idx="12">
                  <c:v>-11.454045928068387</c:v>
                </c:pt>
                <c:pt idx="13">
                  <c:v>-9.9342476033073517</c:v>
                </c:pt>
                <c:pt idx="14">
                  <c:v>-8.7134444654434322</c:v>
                </c:pt>
                <c:pt idx="15">
                  <c:v>-7.7255440441944074</c:v>
                </c:pt>
                <c:pt idx="16">
                  <c:v>-6.9183807131782853</c:v>
                </c:pt>
                <c:pt idx="17">
                  <c:v>-6.251974848011697</c:v>
                </c:pt>
                <c:pt idx="18">
                  <c:v>-5.6959963043500137</c:v>
                </c:pt>
                <c:pt idx="19">
                  <c:v>-5.2274447822037473</c:v>
                </c:pt>
                <c:pt idx="20">
                  <c:v>-4.8287955583764095</c:v>
                </c:pt>
                <c:pt idx="21">
                  <c:v>-4.4865962197695382</c:v>
                </c:pt>
                <c:pt idx="22">
                  <c:v>-4.1904293156868953</c:v>
                </c:pt>
                <c:pt idx="23">
                  <c:v>-3.9321519961641727</c:v>
                </c:pt>
                <c:pt idx="24">
                  <c:v>-3.7053390189447892</c:v>
                </c:pt>
                <c:pt idx="25">
                  <c:v>-3.5048732012064487</c:v>
                </c:pt>
                <c:pt idx="26">
                  <c:v>-3.3266424165001656</c:v>
                </c:pt>
                <c:pt idx="27">
                  <c:v>-3.1673137251858829</c:v>
                </c:pt>
                <c:pt idx="28">
                  <c:v>-3.0241636152411324</c:v>
                </c:pt>
                <c:pt idx="29">
                  <c:v>-2.894949327091874</c:v>
                </c:pt>
                <c:pt idx="30">
                  <c:v>-2.777810485436186</c:v>
                </c:pt>
                <c:pt idx="31">
                  <c:v>-2.6711932662214775</c:v>
                </c:pt>
                <c:pt idx="32">
                  <c:v>-2.5737914565894648</c:v>
                </c:pt>
                <c:pt idx="33">
                  <c:v>-2.4845002814982013</c:v>
                </c:pt>
                <c:pt idx="34">
                  <c:v>-2.4023799561025321</c:v>
                </c:pt>
                <c:pt idx="35">
                  <c:v>-2.3266267053314067</c:v>
                </c:pt>
                <c:pt idx="36">
                  <c:v>-2.256549560108656</c:v>
                </c:pt>
                <c:pt idx="37">
                  <c:v>-2.1915516551181753</c:v>
                </c:pt>
                <c:pt idx="38">
                  <c:v>-2.1311150591682004</c:v>
                </c:pt>
                <c:pt idx="39">
                  <c:v>-2.0747883965003293</c:v>
                </c:pt>
                <c:pt idx="40">
                  <c:v>-2.0221766873697486</c:v>
                </c:pt>
                <c:pt idx="41">
                  <c:v>-1.9729329642560032</c:v>
                </c:pt>
                <c:pt idx="42">
                  <c:v>-1.926751317173494</c:v>
                </c:pt>
                <c:pt idx="43">
                  <c:v>-1.8833610957038296</c:v>
                </c:pt>
                <c:pt idx="44">
                  <c:v>-1.8425220523661245</c:v>
                </c:pt>
                <c:pt idx="45">
                  <c:v>-1.8040202560230352</c:v>
                </c:pt>
                <c:pt idx="46">
                  <c:v>-1.7676646383226107</c:v>
                </c:pt>
                <c:pt idx="47">
                  <c:v>-1.7332840630250335</c:v>
                </c:pt>
                <c:pt idx="48">
                  <c:v>-1.7007248291968686</c:v>
                </c:pt>
                <c:pt idx="49">
                  <c:v>-1.6698485359809787</c:v>
                </c:pt>
                <c:pt idx="50">
                  <c:v>-1.6405302499558854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9-48C9-ADDA-63166ADB599D}"/>
            </c:ext>
          </c:extLst>
        </c:ser>
        <c:ser>
          <c:idx val="1"/>
          <c:order val="1"/>
          <c:tx>
            <c:v>Mz ( Fz =4 )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'Coef. del neumático fijo'!$R$4:$R$54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'Coef. del neumático fijo'!$AA$4:$AA$54</c:f>
              <c:numCache>
                <c:formatCode>General</c:formatCode>
                <c:ptCount val="51"/>
                <c:pt idx="0">
                  <c:v>-9.2041240502068469</c:v>
                </c:pt>
                <c:pt idx="1">
                  <c:v>-24.262825527893536</c:v>
                </c:pt>
                <c:pt idx="2">
                  <c:v>-37.939952380062685</c:v>
                </c:pt>
                <c:pt idx="3">
                  <c:v>-48.856335983414894</c:v>
                </c:pt>
                <c:pt idx="4">
                  <c:v>-56.183447677209514</c:v>
                </c:pt>
                <c:pt idx="5">
                  <c:v>-59.758827999582778</c:v>
                </c:pt>
                <c:pt idx="6">
                  <c:v>-59.998050466646276</c:v>
                </c:pt>
                <c:pt idx="7">
                  <c:v>-57.659993367352982</c:v>
                </c:pt>
                <c:pt idx="8">
                  <c:v>-53.589769457740871</c:v>
                </c:pt>
                <c:pt idx="9">
                  <c:v>-48.536941885618504</c:v>
                </c:pt>
                <c:pt idx="10">
                  <c:v>-43.074424507808516</c:v>
                </c:pt>
                <c:pt idx="11">
                  <c:v>-37.592494046552844</c:v>
                </c:pt>
                <c:pt idx="12">
                  <c:v>-32.330256318209948</c:v>
                </c:pt>
                <c:pt idx="13">
                  <c:v>-27.416838641481082</c:v>
                </c:pt>
                <c:pt idx="14">
                  <c:v>-22.908253975825318</c:v>
                </c:pt>
                <c:pt idx="15">
                  <c:v>-18.815401712361702</c:v>
                </c:pt>
                <c:pt idx="16">
                  <c:v>-15.123400878551109</c:v>
                </c:pt>
                <c:pt idx="17">
                  <c:v>-11.804094968718525</c:v>
                </c:pt>
                <c:pt idx="18">
                  <c:v>-8.8237277257838578</c:v>
                </c:pt>
                <c:pt idx="19">
                  <c:v>-6.147420234096507</c:v>
                </c:pt>
                <c:pt idx="20">
                  <c:v>-3.7416233556815195</c:v>
                </c:pt>
                <c:pt idx="21">
                  <c:v>-1.5753345311589424</c:v>
                </c:pt>
                <c:pt idx="22">
                  <c:v>0.37941349657377543</c:v>
                </c:pt>
                <c:pt idx="23">
                  <c:v>2.1474755378792576</c:v>
                </c:pt>
                <c:pt idx="24">
                  <c:v>3.7507359770929032</c:v>
                </c:pt>
                <c:pt idx="25">
                  <c:v>5.2083558216377668</c:v>
                </c:pt>
                <c:pt idx="26">
                  <c:v>6.5370589886941133</c:v>
                </c:pt>
                <c:pt idx="27">
                  <c:v>7.7514213760848456</c:v>
                </c:pt>
                <c:pt idx="28">
                  <c:v>8.8641437600324728</c:v>
                </c:pt>
                <c:pt idx="29">
                  <c:v>9.8862997865253384</c:v>
                </c:pt>
                <c:pt idx="30">
                  <c:v>10.827556135622608</c:v>
                </c:pt>
                <c:pt idx="31">
                  <c:v>11.696365107182498</c:v>
                </c:pt>
                <c:pt idx="32">
                  <c:v>12.500131484674792</c:v>
                </c:pt>
                <c:pt idx="33">
                  <c:v>13.245356238119491</c:v>
                </c:pt>
                <c:pt idx="34">
                  <c:v>13.937759823326427</c:v>
                </c:pt>
                <c:pt idx="35">
                  <c:v>14.582387758044852</c:v>
                </c:pt>
                <c:pt idx="36">
                  <c:v>15.18370094464991</c:v>
                </c:pt>
                <c:pt idx="37">
                  <c:v>15.745652943072216</c:v>
                </c:pt>
                <c:pt idx="38">
                  <c:v>16.271756121043158</c:v>
                </c:pt>
                <c:pt idx="39">
                  <c:v>16.76513834467757</c:v>
                </c:pt>
                <c:pt idx="40">
                  <c:v>17.228591632010581</c:v>
                </c:pt>
                <c:pt idx="41">
                  <c:v>17.664613979442688</c:v>
                </c:pt>
                <c:pt idx="42">
                  <c:v>18.075445386371619</c:v>
                </c:pt>
                <c:pt idx="43">
                  <c:v>18.463098944884447</c:v>
                </c:pt>
                <c:pt idx="44">
                  <c:v>18.829387726625779</c:v>
                </c:pt>
                <c:pt idx="45">
                  <c:v>19.175948084953255</c:v>
                </c:pt>
                <c:pt idx="46">
                  <c:v>19.504259894386468</c:v>
                </c:pt>
                <c:pt idx="47">
                  <c:v>19.815664168521423</c:v>
                </c:pt>
                <c:pt idx="48">
                  <c:v>20.11137842967079</c:v>
                </c:pt>
                <c:pt idx="49">
                  <c:v>20.392510146458651</c:v>
                </c:pt>
                <c:pt idx="50">
                  <c:v>20.660068507697734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9-48C9-ADDA-63166ADB599D}"/>
            </c:ext>
          </c:extLst>
        </c:ser>
        <c:ser>
          <c:idx val="2"/>
          <c:order val="2"/>
          <c:tx>
            <c:v>Mz ( Fz =6 )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'Coef. del neumático fijo'!$R$4:$R$54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'Coef. del neumático fijo'!$AG$4:$AG$54</c:f>
              <c:numCache>
                <c:formatCode>General</c:formatCode>
                <c:ptCount val="51"/>
                <c:pt idx="0">
                  <c:v>-0.32820483865603833</c:v>
                </c:pt>
                <c:pt idx="1">
                  <c:v>-22.977119451865939</c:v>
                </c:pt>
                <c:pt idx="2">
                  <c:v>-45.146050775400411</c:v>
                </c:pt>
                <c:pt idx="3">
                  <c:v>-66.071810018216738</c:v>
                </c:pt>
                <c:pt idx="4">
                  <c:v>-84.776328941897646</c:v>
                </c:pt>
                <c:pt idx="5">
                  <c:v>-100.14380160407356</c:v>
                </c:pt>
                <c:pt idx="6">
                  <c:v>-111.16282222969376</c:v>
                </c:pt>
                <c:pt idx="7">
                  <c:v>-117.22744677936372</c:v>
                </c:pt>
                <c:pt idx="8">
                  <c:v>-118.33449830610624</c:v>
                </c:pt>
                <c:pt idx="9">
                  <c:v>-115.07066266196809</c:v>
                </c:pt>
                <c:pt idx="10">
                  <c:v>-108.41393799005846</c:v>
                </c:pt>
                <c:pt idx="11">
                  <c:v>-99.468407618248648</c:v>
                </c:pt>
                <c:pt idx="12">
                  <c:v>-89.247868293748283</c:v>
                </c:pt>
                <c:pt idx="13">
                  <c:v>-78.558798663810535</c:v>
                </c:pt>
                <c:pt idx="14">
                  <c:v>-67.972763626590151</c:v>
                </c:pt>
                <c:pt idx="15">
                  <c:v>-57.852944684907349</c:v>
                </c:pt>
                <c:pt idx="16">
                  <c:v>-48.401796612227933</c:v>
                </c:pt>
                <c:pt idx="17">
                  <c:v>-39.709307730016938</c:v>
                </c:pt>
                <c:pt idx="18">
                  <c:v>-31.792785199894144</c:v>
                </c:pt>
                <c:pt idx="19">
                  <c:v>-24.626127741110249</c:v>
                </c:pt>
                <c:pt idx="20">
                  <c:v>-18.159792359196651</c:v>
                </c:pt>
                <c:pt idx="21">
                  <c:v>-12.333639418918462</c:v>
                </c:pt>
                <c:pt idx="22">
                  <c:v>-7.0847646605100323</c:v>
                </c:pt>
                <c:pt idx="23">
                  <c:v>-2.3519939927735001</c:v>
                </c:pt>
                <c:pt idx="24">
                  <c:v>1.9217508244554162</c:v>
                </c:pt>
                <c:pt idx="25">
                  <c:v>5.7883944776860279</c:v>
                </c:pt>
                <c:pt idx="26">
                  <c:v>9.294422194165973</c:v>
                </c:pt>
                <c:pt idx="27">
                  <c:v>12.481026087743267</c:v>
                </c:pt>
                <c:pt idx="28">
                  <c:v>15.384474462564484</c:v>
                </c:pt>
                <c:pt idx="29">
                  <c:v>18.036578636954602</c:v>
                </c:pt>
                <c:pt idx="30">
                  <c:v>20.465184660506772</c:v>
                </c:pt>
                <c:pt idx="31">
                  <c:v>22.694649916527062</c:v>
                </c:pt>
                <c:pt idx="32">
                  <c:v>24.746284350613877</c:v>
                </c:pt>
                <c:pt idx="33">
                  <c:v>26.63874773911688</c:v>
                </c:pt>
                <c:pt idx="34">
                  <c:v>28.388401087526361</c:v>
                </c:pt>
                <c:pt idx="35">
                  <c:v>30.00961387780648</c:v>
                </c:pt>
                <c:pt idx="36">
                  <c:v>31.515030685710556</c:v>
                </c:pt>
                <c:pt idx="37">
                  <c:v>32.915801420593965</c:v>
                </c:pt>
                <c:pt idx="38">
                  <c:v>34.221779565122127</c:v>
                </c:pt>
                <c:pt idx="39">
                  <c:v>35.44169259162846</c:v>
                </c:pt>
                <c:pt idx="40">
                  <c:v>36.583288373226004</c:v>
                </c:pt>
                <c:pt idx="41">
                  <c:v>37.653460988648739</c:v>
                </c:pt>
                <c:pt idx="42">
                  <c:v>38.658358895001498</c:v>
                </c:pt>
                <c:pt idx="43">
                  <c:v>39.60347804112947</c:v>
                </c:pt>
                <c:pt idx="44">
                  <c:v>40.493742129870249</c:v>
                </c:pt>
                <c:pt idx="45">
                  <c:v>41.333571914863626</c:v>
                </c:pt>
                <c:pt idx="46">
                  <c:v>42.126945136748333</c:v>
                </c:pt>
                <c:pt idx="47">
                  <c:v>42.877448461799816</c:v>
                </c:pt>
                <c:pt idx="48">
                  <c:v>43.588322579507874</c:v>
                </c:pt>
                <c:pt idx="49">
                  <c:v>44.262501440031969</c:v>
                </c:pt>
                <c:pt idx="50">
                  <c:v>44.902646463774651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09-48C9-ADDA-63166ADB599D}"/>
            </c:ext>
          </c:extLst>
        </c:ser>
        <c:ser>
          <c:idx val="3"/>
          <c:order val="3"/>
          <c:tx>
            <c:v>Mz ( Fz =8 )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'Coef. del neumático fijo'!$R$4:$R$54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'Coef. del neumático fijo'!$AM$4:$AM$54</c:f>
              <c:numCache>
                <c:formatCode>General</c:formatCode>
                <c:ptCount val="51"/>
                <c:pt idx="0">
                  <c:v>-4.7469605597246849</c:v>
                </c:pt>
                <c:pt idx="1">
                  <c:v>-33.992001087629177</c:v>
                </c:pt>
                <c:pt idx="2">
                  <c:v>-63.021274960696218</c:v>
                </c:pt>
                <c:pt idx="3">
                  <c:v>-91.44239585822271</c:v>
                </c:pt>
                <c:pt idx="4">
                  <c:v>-118.55554791898689</c:v>
                </c:pt>
                <c:pt idx="5">
                  <c:v>-143.32394598014906</c:v>
                </c:pt>
                <c:pt idx="6">
                  <c:v>-164.47920840294796</c:v>
                </c:pt>
                <c:pt idx="7">
                  <c:v>-180.75802311217467</c:v>
                </c:pt>
                <c:pt idx="8">
                  <c:v>-191.20327848553637</c:v>
                </c:pt>
                <c:pt idx="9">
                  <c:v>-195.41438839329311</c:v>
                </c:pt>
                <c:pt idx="10">
                  <c:v>-193.64255027561407</c:v>
                </c:pt>
                <c:pt idx="11">
                  <c:v>-186.70102474264027</c:v>
                </c:pt>
                <c:pt idx="12">
                  <c:v>-175.7476223390168</c:v>
                </c:pt>
                <c:pt idx="13">
                  <c:v>-162.03799695902066</c:v>
                </c:pt>
                <c:pt idx="14">
                  <c:v>-146.73023531259562</c:v>
                </c:pt>
                <c:pt idx="15">
                  <c:v>-130.77384474886031</c:v>
                </c:pt>
                <c:pt idx="16">
                  <c:v>-114.87560294686558</c:v>
                </c:pt>
                <c:pt idx="17">
                  <c:v>-99.516149666533764</c:v>
                </c:pt>
                <c:pt idx="18">
                  <c:v>-84.990816074202954</c:v>
                </c:pt>
                <c:pt idx="19">
                  <c:v>-71.456008773959482</c:v>
                </c:pt>
                <c:pt idx="20">
                  <c:v>-58.971058936756414</c:v>
                </c:pt>
                <c:pt idx="21">
                  <c:v>-47.531681812527303</c:v>
                </c:pt>
                <c:pt idx="22">
                  <c:v>-37.094730400896452</c:v>
                </c:pt>
                <c:pt idx="23">
                  <c:v>-27.595498236731906</c:v>
                </c:pt>
                <c:pt idx="24">
                  <c:v>-18.959259116097428</c:v>
                </c:pt>
                <c:pt idx="25">
                  <c:v>-11.108624438790004</c:v>
                </c:pt>
                <c:pt idx="26">
                  <c:v>-3.9679991095867639</c:v>
                </c:pt>
                <c:pt idx="27">
                  <c:v>2.5339050572020101</c:v>
                </c:pt>
                <c:pt idx="28">
                  <c:v>8.4628157400245847</c:v>
                </c:pt>
                <c:pt idx="29">
                  <c:v>13.878437124815733</c:v>
                </c:pt>
                <c:pt idx="30">
                  <c:v>18.834463697242683</c:v>
                </c:pt>
                <c:pt idx="31">
                  <c:v>23.378865726392561</c:v>
                </c:pt>
                <c:pt idx="32">
                  <c:v>27.554315431738061</c:v>
                </c:pt>
                <c:pt idx="33">
                  <c:v>31.398672251892215</c:v>
                </c:pt>
                <c:pt idx="34">
                  <c:v>34.945478045761121</c:v>
                </c:pt>
                <c:pt idx="35">
                  <c:v>38.224433967897752</c:v>
                </c:pt>
                <c:pt idx="36">
                  <c:v>41.261844018716516</c:v>
                </c:pt>
                <c:pt idx="37">
                  <c:v>44.081018503052789</c:v>
                </c:pt>
                <c:pt idx="38">
                  <c:v>46.70263560123712</c:v>
                </c:pt>
                <c:pt idx="39">
                  <c:v>49.145062135945906</c:v>
                </c:pt>
                <c:pt idx="40">
                  <c:v>51.424636174959673</c:v>
                </c:pt>
                <c:pt idx="41">
                  <c:v>53.555914845849635</c:v>
                </c:pt>
                <c:pt idx="42">
                  <c:v>55.55189097731995</c:v>
                </c:pt>
                <c:pt idx="43">
                  <c:v>57.4241821305353</c:v>
                </c:pt>
                <c:pt idx="44">
                  <c:v>59.183195373127717</c:v>
                </c:pt>
                <c:pt idx="45">
                  <c:v>60.838270860085501</c:v>
                </c:pt>
                <c:pt idx="46">
                  <c:v>62.397806968836392</c:v>
                </c:pt>
                <c:pt idx="47">
                  <c:v>63.869369419627475</c:v>
                </c:pt>
                <c:pt idx="48">
                  <c:v>65.259786512907951</c:v>
                </c:pt>
                <c:pt idx="49">
                  <c:v>66.575232340972121</c:v>
                </c:pt>
                <c:pt idx="50">
                  <c:v>67.821299584794531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09-48C9-ADDA-63166ADB5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6328767"/>
        <c:axId val="1702055567"/>
      </c:lineChart>
      <c:catAx>
        <c:axId val="163632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2055567"/>
        <c:crosses val="autoZero"/>
        <c:auto val="1"/>
        <c:lblAlgn val="ctr"/>
        <c:lblOffset val="100"/>
        <c:noMultiLvlLbl val="0"/>
      </c:catAx>
      <c:valAx>
        <c:axId val="170205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632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Fuerza</a:t>
            </a:r>
            <a:r>
              <a:rPr lang="en-US" baseline="0"/>
              <a:t> longitudinal / Deslizamiento longitudinal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'Cálculo coef. del neumático'!$T$2</c:f>
              <c:strCache>
                <c:ptCount val="1"/>
                <c:pt idx="0">
                  <c:v>Fx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'Cálculo coef. del neumático'!$R$3:$R$53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xVal>
          <c:yVal>
            <c:numRef>
              <c:f>'Cálculo coef. del neumático'!$T$3:$T$53</c:f>
              <c:numCache>
                <c:formatCode>General</c:formatCode>
                <c:ptCount val="51"/>
                <c:pt idx="0">
                  <c:v>-5.8249243819210523</c:v>
                </c:pt>
                <c:pt idx="1">
                  <c:v>5173.2605180217724</c:v>
                </c:pt>
                <c:pt idx="2">
                  <c:v>7849.6328374100267</c:v>
                </c:pt>
                <c:pt idx="3">
                  <c:v>8576.4371228460732</c:v>
                </c:pt>
                <c:pt idx="4">
                  <c:v>8485.3430317708098</c:v>
                </c:pt>
                <c:pt idx="5">
                  <c:v>8135.6992775642302</c:v>
                </c:pt>
                <c:pt idx="6">
                  <c:v>7729.1609190677</c:v>
                </c:pt>
                <c:pt idx="7">
                  <c:v>7330.4278215603481</c:v>
                </c:pt>
                <c:pt idx="8">
                  <c:v>6957.4843169674041</c:v>
                </c:pt>
                <c:pt idx="9">
                  <c:v>6612.9784013219496</c:v>
                </c:pt>
                <c:pt idx="10">
                  <c:v>6294.8609053207774</c:v>
                </c:pt>
                <c:pt idx="11">
                  <c:v>5999.9798504770943</c:v>
                </c:pt>
                <c:pt idx="12">
                  <c:v>5725.2533869004274</c:v>
                </c:pt>
                <c:pt idx="13">
                  <c:v>5468.0005628408517</c:v>
                </c:pt>
                <c:pt idx="14">
                  <c:v>5225.9838335888699</c:v>
                </c:pt>
                <c:pt idx="15">
                  <c:v>4997.3612419922902</c:v>
                </c:pt>
                <c:pt idx="16">
                  <c:v>4780.618639160044</c:v>
                </c:pt>
                <c:pt idx="17">
                  <c:v>4574.5056067772712</c:v>
                </c:pt>
                <c:pt idx="18">
                  <c:v>4377.9816140253379</c:v>
                </c:pt>
                <c:pt idx="19">
                  <c:v>4190.1728807537911</c:v>
                </c:pt>
                <c:pt idx="20">
                  <c:v>4010.3385220615187</c:v>
                </c:pt>
                <c:pt idx="21">
                  <c:v>3837.8441853372719</c:v>
                </c:pt>
                <c:pt idx="22">
                  <c:v>3672.1415464793754</c:v>
                </c:pt>
                <c:pt idx="23">
                  <c:v>3512.7523232481471</c:v>
                </c:pt>
                <c:pt idx="24">
                  <c:v>3359.2557525859811</c:v>
                </c:pt>
                <c:pt idx="25">
                  <c:v>3211.2787231696989</c:v>
                </c:pt>
                <c:pt idx="26">
                  <c:v>3068.4879482061592</c:v>
                </c:pt>
                <c:pt idx="27">
                  <c:v>2930.5837123725455</c:v>
                </c:pt>
                <c:pt idx="28">
                  <c:v>2797.2948395174953</c:v>
                </c:pt>
                <c:pt idx="29">
                  <c:v>2668.3746125063881</c:v>
                </c:pt>
                <c:pt idx="30">
                  <c:v>2543.5974402277297</c:v>
                </c:pt>
                <c:pt idx="31">
                  <c:v>2422.7561145964946</c:v>
                </c:pt>
                <c:pt idx="32">
                  <c:v>2305.6595364249038</c:v>
                </c:pt>
                <c:pt idx="33">
                  <c:v>2192.1308162907344</c:v>
                </c:pt>
                <c:pt idx="34">
                  <c:v>2082.0056772479743</c:v>
                </c:pt>
                <c:pt idx="35">
                  <c:v>1975.1311020436324</c:v>
                </c:pt>
                <c:pt idx="36">
                  <c:v>1871.3641796468062</c:v>
                </c:pt>
                <c:pt idx="37">
                  <c:v>1770.5711152649435</c:v>
                </c:pt>
                <c:pt idx="38">
                  <c:v>1672.6263752899317</c:v>
                </c:pt>
                <c:pt idx="39">
                  <c:v>1577.4119442830363</c:v>
                </c:pt>
                <c:pt idx="40">
                  <c:v>1484.8166755495581</c:v>
                </c:pt>
                <c:pt idx="41">
                  <c:v>1394.7357203532451</c:v>
                </c:pt>
                <c:pt idx="42">
                  <c:v>1307.0700235913205</c:v>
                </c:pt>
                <c:pt idx="43">
                  <c:v>1221.7258759557405</c:v>
                </c:pt>
                <c:pt idx="44">
                  <c:v>1138.6145143695082</c:v>
                </c:pt>
                <c:pt idx="45">
                  <c:v>1057.6517639033677</c:v>
                </c:pt>
                <c:pt idx="46">
                  <c:v>978.75771552191156</c:v>
                </c:pt>
                <c:pt idx="47">
                  <c:v>901.85643493553391</c:v>
                </c:pt>
                <c:pt idx="48">
                  <c:v>826.87569859051837</c:v>
                </c:pt>
                <c:pt idx="49">
                  <c:v>753.74675344809782</c:v>
                </c:pt>
                <c:pt idx="50">
                  <c:v>682.40409771154611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C-4C23-914A-B01C08043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533712"/>
        <c:axId val="791529392"/>
      </c:scatterChart>
      <c:valAx>
        <c:axId val="79153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29392"/>
        <c:crosses val="autoZero"/>
        <c:crossBetween val="midCat"/>
      </c:valAx>
      <c:valAx>
        <c:axId val="79152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3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'Cálculo coef. del neumático'!$U$2</c:f>
              <c:strCache>
                <c:ptCount val="1"/>
                <c:pt idx="0">
                  <c:v>Fy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'Cálculo coef. del neumático'!$S$3:$S$53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'Cálculo coef. del neumático'!$U$3:$U$53</c:f>
              <c:numCache>
                <c:formatCode>General</c:formatCode>
                <c:ptCount val="51"/>
                <c:pt idx="0">
                  <c:v>-4727.5449644718374</c:v>
                </c:pt>
                <c:pt idx="1">
                  <c:v>-4760.3931296800311</c:v>
                </c:pt>
                <c:pt idx="2">
                  <c:v>-4795.8295717946785</c:v>
                </c:pt>
                <c:pt idx="3">
                  <c:v>-4834.1513716236695</c:v>
                </c:pt>
                <c:pt idx="4">
                  <c:v>-4875.6976012785972</c:v>
                </c:pt>
                <c:pt idx="5">
                  <c:v>-4920.8551678405383</c:v>
                </c:pt>
                <c:pt idx="6">
                  <c:v>-4970.0647353145514</c:v>
                </c:pt>
                <c:pt idx="7">
                  <c:v>-5023.8259744107845</c:v>
                </c:pt>
                <c:pt idx="8">
                  <c:v>-5082.7006441744643</c:v>
                </c:pt>
                <c:pt idx="9">
                  <c:v>-5147.3106270367789</c:v>
                </c:pt>
                <c:pt idx="10">
                  <c:v>-5218.3254681070066</c:v>
                </c:pt>
                <c:pt idx="11">
                  <c:v>-5296.4291572117363</c:v>
                </c:pt>
                <c:pt idx="12">
                  <c:v>-5382.2468027118321</c:v>
                </c:pt>
                <c:pt idx="13">
                  <c:v>-5476.1945109174103</c:v>
                </c:pt>
                <c:pt idx="14">
                  <c:v>-5578.1824504312199</c:v>
                </c:pt>
                <c:pt idx="15">
                  <c:v>-5687.0367750450441</c:v>
                </c:pt>
                <c:pt idx="16">
                  <c:v>-5799.3830794743753</c:v>
                </c:pt>
                <c:pt idx="17">
                  <c:v>-5907.5067986884233</c:v>
                </c:pt>
                <c:pt idx="18">
                  <c:v>-5995.3253045689989</c:v>
                </c:pt>
                <c:pt idx="19">
                  <c:v>-6031.138598365952</c:v>
                </c:pt>
                <c:pt idx="20">
                  <c:v>-5955.9611789198279</c:v>
                </c:pt>
                <c:pt idx="21">
                  <c:v>-5669.7320564772926</c:v>
                </c:pt>
                <c:pt idx="22">
                  <c:v>-5030.5582747485978</c:v>
                </c:pt>
                <c:pt idx="23">
                  <c:v>-3902.2907211101628</c:v>
                </c:pt>
                <c:pt idx="24">
                  <c:v>-2263.8610320310131</c:v>
                </c:pt>
                <c:pt idx="25">
                  <c:v>-283.05794555210514</c:v>
                </c:pt>
                <c:pt idx="26">
                  <c:v>1745.9253066343024</c:v>
                </c:pt>
                <c:pt idx="27">
                  <c:v>3513.4092866444048</c:v>
                </c:pt>
                <c:pt idx="28">
                  <c:v>4801.7544997739942</c:v>
                </c:pt>
                <c:pt idx="29">
                  <c:v>5576.9890302063595</c:v>
                </c:pt>
                <c:pt idx="30">
                  <c:v>5953.4803486125738</c:v>
                </c:pt>
                <c:pt idx="31">
                  <c:v>6079.6520554224317</c:v>
                </c:pt>
                <c:pt idx="32">
                  <c:v>6069.4916424585599</c:v>
                </c:pt>
                <c:pt idx="33">
                  <c:v>5993.0478565629846</c:v>
                </c:pt>
                <c:pt idx="34">
                  <c:v>5888.8206635725883</c:v>
                </c:pt>
                <c:pt idx="35">
                  <c:v>5776.6541166864426</c:v>
                </c:pt>
                <c:pt idx="36">
                  <c:v>5666.246086149823</c:v>
                </c:pt>
                <c:pt idx="37">
                  <c:v>5561.9900318631644</c:v>
                </c:pt>
                <c:pt idx="38">
                  <c:v>5465.5716026580312</c:v>
                </c:pt>
                <c:pt idx="39">
                  <c:v>5377.3287450764055</c:v>
                </c:pt>
                <c:pt idx="40">
                  <c:v>5296.9572992476315</c:v>
                </c:pt>
                <c:pt idx="41">
                  <c:v>5223.8744723375785</c:v>
                </c:pt>
                <c:pt idx="42">
                  <c:v>5157.4037332315193</c:v>
                </c:pt>
                <c:pt idx="43">
                  <c:v>5096.8663314566102</c:v>
                </c:pt>
                <c:pt idx="44">
                  <c:v>5041.6239971183668</c:v>
                </c:pt>
                <c:pt idx="45">
                  <c:v>4991.0962773279443</c:v>
                </c:pt>
                <c:pt idx="46">
                  <c:v>4944.7649309559283</c:v>
                </c:pt>
                <c:pt idx="47">
                  <c:v>4902.171979002982</c:v>
                </c:pt>
                <c:pt idx="48">
                  <c:v>4862.9149042413565</c:v>
                </c:pt>
                <c:pt idx="49">
                  <c:v>4826.6408275542444</c:v>
                </c:pt>
                <c:pt idx="50">
                  <c:v>4793.0405901590702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2-4C76-BE1D-D47FE4FB4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781040"/>
        <c:axId val="727770960"/>
      </c:lineChart>
      <c:lineChart>
        <c:grouping val="standard"/>
        <c:varyColors val="0"/>
        <c:ser>
          <c:idx val="1"/>
          <c:order val="1"/>
          <c:tx>
            <c:strRef>
              <c:f>'Cálculo coef. del neumático'!$V$2</c:f>
              <c:strCache>
                <c:ptCount val="1"/>
                <c:pt idx="0">
                  <c:v>Mz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'Cálculo coef. del neumático'!$S$3:$S$53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'Cálculo coef. del neumático'!$V$3:$V$53</c:f>
              <c:numCache>
                <c:formatCode>General</c:formatCode>
                <c:ptCount val="51"/>
                <c:pt idx="0">
                  <c:v>-47.61740394979681</c:v>
                </c:pt>
                <c:pt idx="1">
                  <c:v>-46.717188188535197</c:v>
                </c:pt>
                <c:pt idx="2">
                  <c:v>-45.724698912832011</c:v>
                </c:pt>
                <c:pt idx="3">
                  <c:v>-44.625320714155002</c:v>
                </c:pt>
                <c:pt idx="4">
                  <c:v>-43.401253361255343</c:v>
                </c:pt>
                <c:pt idx="5">
                  <c:v>-42.03061589556453</c:v>
                </c:pt>
                <c:pt idx="6">
                  <c:v>-40.486238399801522</c:v>
                </c:pt>
                <c:pt idx="7">
                  <c:v>-38.734010432228487</c:v>
                </c:pt>
                <c:pt idx="8">
                  <c:v>-36.7305905879794</c:v>
                </c:pt>
                <c:pt idx="9">
                  <c:v>-34.420180666706038</c:v>
                </c:pt>
                <c:pt idx="10">
                  <c:v>-31.729907568302867</c:v>
                </c:pt>
                <c:pt idx="11">
                  <c:v>-28.563098117230638</c:v>
                </c:pt>
                <c:pt idx="12">
                  <c:v>-24.789313624826683</c:v>
                </c:pt>
                <c:pt idx="13">
                  <c:v>-20.229332779429523</c:v>
                </c:pt>
                <c:pt idx="14">
                  <c:v>-14.63219524595864</c:v>
                </c:pt>
                <c:pt idx="15">
                  <c:v>-7.6398320409968665</c:v>
                </c:pt>
                <c:pt idx="16">
                  <c:v>1.2669968404805521</c:v>
                </c:pt>
                <c:pt idx="17">
                  <c:v>12.847392695805498</c:v>
                </c:pt>
                <c:pt idx="18">
                  <c:v>28.195789734874186</c:v>
                </c:pt>
                <c:pt idx="19">
                  <c:v>48.772686794401686</c:v>
                </c:pt>
                <c:pt idx="20">
                  <c:v>75.986866640972963</c:v>
                </c:pt>
                <c:pt idx="21">
                  <c:v>108.97738728209286</c:v>
                </c:pt>
                <c:pt idx="22">
                  <c:v>137.91274935302113</c:v>
                </c:pt>
                <c:pt idx="23">
                  <c:v>137.4078749620339</c:v>
                </c:pt>
                <c:pt idx="24">
                  <c:v>89.104531394194339</c:v>
                </c:pt>
                <c:pt idx="25">
                  <c:v>12.730015405385856</c:v>
                </c:pt>
                <c:pt idx="26">
                  <c:v>-66.676303673007581</c:v>
                </c:pt>
                <c:pt idx="27">
                  <c:v>-127.82769323075178</c:v>
                </c:pt>
                <c:pt idx="28">
                  <c:v>-143.97281553302457</c:v>
                </c:pt>
                <c:pt idx="29">
                  <c:v>-121.42892792713832</c:v>
                </c:pt>
                <c:pt idx="30">
                  <c:v>-87.958862322017126</c:v>
                </c:pt>
                <c:pt idx="31">
                  <c:v>-58.479865626708751</c:v>
                </c:pt>
                <c:pt idx="32">
                  <c:v>-35.815255397285391</c:v>
                </c:pt>
                <c:pt idx="33">
                  <c:v>-18.904208579575034</c:v>
                </c:pt>
                <c:pt idx="34">
                  <c:v>-6.210928160599094</c:v>
                </c:pt>
                <c:pt idx="35">
                  <c:v>3.4863996957579011</c:v>
                </c:pt>
                <c:pt idx="36">
                  <c:v>11.047993311324488</c:v>
                </c:pt>
                <c:pt idx="37">
                  <c:v>17.062871264072118</c:v>
                </c:pt>
                <c:pt idx="38">
                  <c:v>21.935587586955329</c:v>
                </c:pt>
                <c:pt idx="39">
                  <c:v>25.948027547725395</c:v>
                </c:pt>
                <c:pt idx="40">
                  <c:v>29.300225249062617</c:v>
                </c:pt>
                <c:pt idx="41">
                  <c:v>32.136860259646255</c:v>
                </c:pt>
                <c:pt idx="42">
                  <c:v>34.564527735270914</c:v>
                </c:pt>
                <c:pt idx="43">
                  <c:v>36.663139754078436</c:v>
                </c:pt>
                <c:pt idx="44">
                  <c:v>38.493575624465208</c:v>
                </c:pt>
                <c:pt idx="45">
                  <c:v>40.102904981150616</c:v>
                </c:pt>
                <c:pt idx="46">
                  <c:v>41.528015789212873</c:v>
                </c:pt>
                <c:pt idx="47">
                  <c:v>42.798176615307462</c:v>
                </c:pt>
                <c:pt idx="48">
                  <c:v>43.936874943187298</c:v>
                </c:pt>
                <c:pt idx="49">
                  <c:v>44.963155720262336</c:v>
                </c:pt>
                <c:pt idx="50">
                  <c:v>45.892609552052313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C2-4C76-BE1D-D47FE4FB4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47752"/>
        <c:axId val="791553512"/>
      </c:lineChart>
      <c:catAx>
        <c:axId val="72778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7770960"/>
        <c:crosses val="autoZero"/>
        <c:auto val="1"/>
        <c:lblAlgn val="ctr"/>
        <c:lblOffset val="100"/>
        <c:noMultiLvlLbl val="0"/>
      </c:catAx>
      <c:valAx>
        <c:axId val="72777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7781040"/>
        <c:crosses val="autoZero"/>
        <c:crossBetween val="between"/>
      </c:valAx>
      <c:valAx>
        <c:axId val="7915535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47752"/>
        <c:crosses val="max"/>
        <c:crossBetween val="between"/>
      </c:valAx>
      <c:catAx>
        <c:axId val="791547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3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'Resistencia aerodinámica sin Rr'!$C$5</c:f>
              <c:strCache>
                <c:ptCount val="1"/>
                <c:pt idx="0">
                  <c:v>Potencia necesaria para vencer resistencia aerodinámica (CV)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'Resistencia aerodinámica sin Rr'!$A$6:$A$56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28</c:v>
                </c:pt>
                <c:pt idx="18">
                  <c:v>30</c:v>
                </c:pt>
                <c:pt idx="19">
                  <c:v>32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38</c:v>
                </c:pt>
                <c:pt idx="24">
                  <c:v>40</c:v>
                </c:pt>
                <c:pt idx="25">
                  <c:v>42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48</c:v>
                </c:pt>
                <c:pt idx="30">
                  <c:v>50</c:v>
                </c:pt>
                <c:pt idx="31">
                  <c:v>52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58</c:v>
                </c:pt>
                <c:pt idx="36">
                  <c:v>60</c:v>
                </c:pt>
                <c:pt idx="37">
                  <c:v>62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68</c:v>
                </c:pt>
                <c:pt idx="42">
                  <c:v>70</c:v>
                </c:pt>
                <c:pt idx="43">
                  <c:v>72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78</c:v>
                </c:pt>
                <c:pt idx="48">
                  <c:v>80</c:v>
                </c:pt>
                <c:pt idx="49">
                  <c:v>82</c:v>
                </c:pt>
                <c:pt idx="50">
                  <c:v>84</c:v>
                </c:pt>
              </c:numCache>
            </c:numRef>
          </c:xVal>
          <c:yVal>
            <c:numRef>
              <c:f>'Resistencia aerodinámica sin Rr'!$C$6:$C$56</c:f>
              <c:numCache>
                <c:formatCode>General</c:formatCode>
                <c:ptCount val="51"/>
                <c:pt idx="0">
                  <c:v>0</c:v>
                </c:pt>
                <c:pt idx="1">
                  <c:v>8.7719123423219295E-5</c:v>
                </c:pt>
                <c:pt idx="2">
                  <c:v>7.0175298738575436E-4</c:v>
                </c:pt>
                <c:pt idx="3">
                  <c:v>1.3706113034878012E-3</c:v>
                </c:pt>
                <c:pt idx="4">
                  <c:v>2.3684163324269201E-3</c:v>
                </c:pt>
                <c:pt idx="5">
                  <c:v>5.6140238990860349E-3</c:v>
                </c:pt>
                <c:pt idx="6">
                  <c:v>1.0964890427902409E-2</c:v>
                </c:pt>
                <c:pt idx="7">
                  <c:v>1.8947330659415361E-2</c:v>
                </c:pt>
                <c:pt idx="8">
                  <c:v>3.0087659334164216E-2</c:v>
                </c:pt>
                <c:pt idx="9">
                  <c:v>3.7006505194170647E-2</c:v>
                </c:pt>
                <c:pt idx="10">
                  <c:v>4.4912191192688279E-2</c:v>
                </c:pt>
                <c:pt idx="11">
                  <c:v>6.394724097552687E-2</c:v>
                </c:pt>
                <c:pt idx="12">
                  <c:v>8.7719123423219275E-2</c:v>
                </c:pt>
                <c:pt idx="13">
                  <c:v>0.11675415327630484</c:v>
                </c:pt>
                <c:pt idx="14">
                  <c:v>0.15157864527532289</c:v>
                </c:pt>
                <c:pt idx="15">
                  <c:v>0.17132641293597517</c:v>
                </c:pt>
                <c:pt idx="16">
                  <c:v>0.1927189141608128</c:v>
                </c:pt>
                <c:pt idx="17">
                  <c:v>0.24070127467331373</c:v>
                </c:pt>
                <c:pt idx="18">
                  <c:v>0.29605204155336518</c:v>
                </c:pt>
                <c:pt idx="19">
                  <c:v>0.35929752954150623</c:v>
                </c:pt>
                <c:pt idx="20">
                  <c:v>0.43096405337827642</c:v>
                </c:pt>
                <c:pt idx="21">
                  <c:v>0.47011967709631575</c:v>
                </c:pt>
                <c:pt idx="22">
                  <c:v>0.51157792780421496</c:v>
                </c:pt>
                <c:pt idx="23">
                  <c:v>0.60166546755986106</c:v>
                </c:pt>
                <c:pt idx="24">
                  <c:v>0.7017529873857542</c:v>
                </c:pt>
                <c:pt idx="25">
                  <c:v>0.81236680202243361</c:v>
                </c:pt>
                <c:pt idx="26">
                  <c:v>0.93403322621043872</c:v>
                </c:pt>
                <c:pt idx="27">
                  <c:v>0.99917564024260719</c:v>
                </c:pt>
                <c:pt idx="28">
                  <c:v>1.0672785746903088</c:v>
                </c:pt>
                <c:pt idx="29">
                  <c:v>1.2126291622025831</c:v>
                </c:pt>
                <c:pt idx="30">
                  <c:v>1.3706113034878014</c:v>
                </c:pt>
                <c:pt idx="31">
                  <c:v>1.5417513132865024</c:v>
                </c:pt>
                <c:pt idx="32">
                  <c:v>1.7265755063392254</c:v>
                </c:pt>
                <c:pt idx="33">
                  <c:v>1.824283644942263</c:v>
                </c:pt>
                <c:pt idx="34">
                  <c:v>1.9256101973865098</c:v>
                </c:pt>
                <c:pt idx="35">
                  <c:v>2.1393817011688951</c:v>
                </c:pt>
                <c:pt idx="36">
                  <c:v>2.3684163324269214</c:v>
                </c:pt>
                <c:pt idx="37">
                  <c:v>2.6132404059011254</c:v>
                </c:pt>
                <c:pt idx="38">
                  <c:v>2.8743802363320499</c:v>
                </c:pt>
                <c:pt idx="39">
                  <c:v>3.0112330337626987</c:v>
                </c:pt>
                <c:pt idx="40">
                  <c:v>3.1523621384602309</c:v>
                </c:pt>
                <c:pt idx="41">
                  <c:v>3.4477124270262114</c:v>
                </c:pt>
                <c:pt idx="42">
                  <c:v>3.760957416770526</c:v>
                </c:pt>
                <c:pt idx="43">
                  <c:v>4.0926234224337197</c:v>
                </c:pt>
                <c:pt idx="44">
                  <c:v>4.4432367587563251</c:v>
                </c:pt>
                <c:pt idx="45">
                  <c:v>4.6258131492713286</c:v>
                </c:pt>
                <c:pt idx="46">
                  <c:v>4.8133237404788884</c:v>
                </c:pt>
                <c:pt idx="47">
                  <c:v>5.2034106823419464</c:v>
                </c:pt>
                <c:pt idx="48">
                  <c:v>5.6140238990860336</c:v>
                </c:pt>
                <c:pt idx="49">
                  <c:v>6.0456897054516974</c:v>
                </c:pt>
                <c:pt idx="50">
                  <c:v>6.4989344161794689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DB-496B-9147-B87102370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040304"/>
        <c:axId val="1366827840"/>
      </c:scatterChart>
      <c:valAx>
        <c:axId val="128504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6827840"/>
        <c:crosses val="autoZero"/>
        <c:crossBetween val="midCat"/>
      </c:valAx>
      <c:valAx>
        <c:axId val="13668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504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Resistencias y Potencia/Velocidad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'Resistencia aerodinámica con Rr'!$K$20</c:f>
              <c:strCache>
                <c:ptCount val="1"/>
                <c:pt idx="0">
                  <c:v>Resistencia a la rodadura considerando la rampa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'Resistencia aerodinámica con Rr'!$H$21:$H$143</c:f>
              <c:numCache>
                <c:formatCode>General</c:formatCode>
                <c:ptCount val="12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28</c:v>
                </c:pt>
                <c:pt idx="18">
                  <c:v>30</c:v>
                </c:pt>
                <c:pt idx="19">
                  <c:v>32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38</c:v>
                </c:pt>
                <c:pt idx="24">
                  <c:v>40</c:v>
                </c:pt>
                <c:pt idx="25">
                  <c:v>42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48</c:v>
                </c:pt>
                <c:pt idx="30">
                  <c:v>50</c:v>
                </c:pt>
                <c:pt idx="31">
                  <c:v>52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58</c:v>
                </c:pt>
                <c:pt idx="36">
                  <c:v>60</c:v>
                </c:pt>
                <c:pt idx="37">
                  <c:v>62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68</c:v>
                </c:pt>
                <c:pt idx="42">
                  <c:v>70</c:v>
                </c:pt>
                <c:pt idx="43">
                  <c:v>72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78</c:v>
                </c:pt>
                <c:pt idx="48">
                  <c:v>80</c:v>
                </c:pt>
                <c:pt idx="49">
                  <c:v>82</c:v>
                </c:pt>
                <c:pt idx="50">
                  <c:v>84</c:v>
                </c:pt>
                <c:pt idx="51">
                  <c:v>85</c:v>
                </c:pt>
                <c:pt idx="52">
                  <c:v>86</c:v>
                </c:pt>
                <c:pt idx="53">
                  <c:v>88</c:v>
                </c:pt>
                <c:pt idx="54">
                  <c:v>90</c:v>
                </c:pt>
                <c:pt idx="55">
                  <c:v>92</c:v>
                </c:pt>
                <c:pt idx="56">
                  <c:v>94</c:v>
                </c:pt>
                <c:pt idx="57">
                  <c:v>95</c:v>
                </c:pt>
                <c:pt idx="58">
                  <c:v>96</c:v>
                </c:pt>
                <c:pt idx="59">
                  <c:v>98</c:v>
                </c:pt>
                <c:pt idx="60">
                  <c:v>100</c:v>
                </c:pt>
                <c:pt idx="61">
                  <c:v>102</c:v>
                </c:pt>
                <c:pt idx="62">
                  <c:v>104</c:v>
                </c:pt>
                <c:pt idx="63">
                  <c:v>105</c:v>
                </c:pt>
                <c:pt idx="64">
                  <c:v>106</c:v>
                </c:pt>
                <c:pt idx="65">
                  <c:v>108</c:v>
                </c:pt>
                <c:pt idx="66">
                  <c:v>110</c:v>
                </c:pt>
                <c:pt idx="67">
                  <c:v>112</c:v>
                </c:pt>
                <c:pt idx="68">
                  <c:v>114</c:v>
                </c:pt>
                <c:pt idx="69">
                  <c:v>115</c:v>
                </c:pt>
                <c:pt idx="70">
                  <c:v>116</c:v>
                </c:pt>
                <c:pt idx="71">
                  <c:v>118</c:v>
                </c:pt>
                <c:pt idx="72">
                  <c:v>120</c:v>
                </c:pt>
                <c:pt idx="73">
                  <c:v>122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128</c:v>
                </c:pt>
                <c:pt idx="78">
                  <c:v>130</c:v>
                </c:pt>
                <c:pt idx="79">
                  <c:v>132</c:v>
                </c:pt>
                <c:pt idx="80">
                  <c:v>134</c:v>
                </c:pt>
                <c:pt idx="81">
                  <c:v>135</c:v>
                </c:pt>
                <c:pt idx="82">
                  <c:v>136</c:v>
                </c:pt>
                <c:pt idx="83">
                  <c:v>138</c:v>
                </c:pt>
                <c:pt idx="84">
                  <c:v>140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146</c:v>
                </c:pt>
                <c:pt idx="89">
                  <c:v>148</c:v>
                </c:pt>
                <c:pt idx="90">
                  <c:v>150</c:v>
                </c:pt>
                <c:pt idx="91">
                  <c:v>152</c:v>
                </c:pt>
                <c:pt idx="92">
                  <c:v>154</c:v>
                </c:pt>
                <c:pt idx="93">
                  <c:v>155</c:v>
                </c:pt>
                <c:pt idx="94">
                  <c:v>156</c:v>
                </c:pt>
                <c:pt idx="95">
                  <c:v>158</c:v>
                </c:pt>
                <c:pt idx="96">
                  <c:v>160</c:v>
                </c:pt>
                <c:pt idx="97">
                  <c:v>162</c:v>
                </c:pt>
                <c:pt idx="98">
                  <c:v>164</c:v>
                </c:pt>
                <c:pt idx="99">
                  <c:v>165</c:v>
                </c:pt>
                <c:pt idx="100">
                  <c:v>166</c:v>
                </c:pt>
                <c:pt idx="101">
                  <c:v>168</c:v>
                </c:pt>
                <c:pt idx="102">
                  <c:v>170</c:v>
                </c:pt>
                <c:pt idx="103">
                  <c:v>172</c:v>
                </c:pt>
                <c:pt idx="104">
                  <c:v>174</c:v>
                </c:pt>
                <c:pt idx="105">
                  <c:v>175</c:v>
                </c:pt>
                <c:pt idx="106">
                  <c:v>176</c:v>
                </c:pt>
                <c:pt idx="107">
                  <c:v>178</c:v>
                </c:pt>
                <c:pt idx="108">
                  <c:v>180</c:v>
                </c:pt>
                <c:pt idx="109">
                  <c:v>185</c:v>
                </c:pt>
                <c:pt idx="110">
                  <c:v>190</c:v>
                </c:pt>
                <c:pt idx="111">
                  <c:v>195</c:v>
                </c:pt>
                <c:pt idx="112">
                  <c:v>200</c:v>
                </c:pt>
                <c:pt idx="113">
                  <c:v>205</c:v>
                </c:pt>
                <c:pt idx="114">
                  <c:v>210</c:v>
                </c:pt>
                <c:pt idx="115">
                  <c:v>215</c:v>
                </c:pt>
                <c:pt idx="116">
                  <c:v>220</c:v>
                </c:pt>
                <c:pt idx="117">
                  <c:v>225</c:v>
                </c:pt>
                <c:pt idx="118">
                  <c:v>230</c:v>
                </c:pt>
                <c:pt idx="119">
                  <c:v>235</c:v>
                </c:pt>
                <c:pt idx="120">
                  <c:v>240</c:v>
                </c:pt>
                <c:pt idx="121">
                  <c:v>245</c:v>
                </c:pt>
                <c:pt idx="122">
                  <c:v>250</c:v>
                </c:pt>
              </c:numCache>
            </c:numRef>
          </c:cat>
          <c:val>
            <c:numRef>
              <c:f>'Resistencia aerodinámica con Rr'!$K$21:$K$143</c:f>
              <c:numCache>
                <c:formatCode>0.00</c:formatCode>
                <c:ptCount val="123"/>
                <c:pt idx="0">
                  <c:v>118.82362499999999</c:v>
                </c:pt>
                <c:pt idx="1">
                  <c:v>122.17588795441375</c:v>
                </c:pt>
                <c:pt idx="2">
                  <c:v>125.52815090882751</c:v>
                </c:pt>
                <c:pt idx="3">
                  <c:v>127.20428238603438</c:v>
                </c:pt>
                <c:pt idx="4">
                  <c:v>128.88041386324127</c:v>
                </c:pt>
                <c:pt idx="5">
                  <c:v>132.232676817655</c:v>
                </c:pt>
                <c:pt idx="6">
                  <c:v>135.58493977206876</c:v>
                </c:pt>
                <c:pt idx="7">
                  <c:v>138.93720272648252</c:v>
                </c:pt>
                <c:pt idx="8">
                  <c:v>142.28946568089628</c:v>
                </c:pt>
                <c:pt idx="9">
                  <c:v>143.96559715810315</c:v>
                </c:pt>
                <c:pt idx="10">
                  <c:v>145.64172863531005</c:v>
                </c:pt>
                <c:pt idx="11">
                  <c:v>148.99399158972378</c:v>
                </c:pt>
                <c:pt idx="12">
                  <c:v>152.34625454413757</c:v>
                </c:pt>
                <c:pt idx="13">
                  <c:v>155.6985174985513</c:v>
                </c:pt>
                <c:pt idx="14">
                  <c:v>159.05078045296506</c:v>
                </c:pt>
                <c:pt idx="15">
                  <c:v>160.72691193017192</c:v>
                </c:pt>
                <c:pt idx="16">
                  <c:v>162.40304340737882</c:v>
                </c:pt>
                <c:pt idx="17">
                  <c:v>165.75530636179258</c:v>
                </c:pt>
                <c:pt idx="18">
                  <c:v>169.10756931620634</c:v>
                </c:pt>
                <c:pt idx="19">
                  <c:v>172.45983227062007</c:v>
                </c:pt>
                <c:pt idx="20">
                  <c:v>175.81209522503386</c:v>
                </c:pt>
                <c:pt idx="21">
                  <c:v>177.48822670224069</c:v>
                </c:pt>
                <c:pt idx="22">
                  <c:v>179.16435817944759</c:v>
                </c:pt>
                <c:pt idx="23">
                  <c:v>182.51662113386135</c:v>
                </c:pt>
                <c:pt idx="24">
                  <c:v>185.86888408827511</c:v>
                </c:pt>
                <c:pt idx="25">
                  <c:v>189.22114704268884</c:v>
                </c:pt>
                <c:pt idx="26">
                  <c:v>192.57340999710263</c:v>
                </c:pt>
                <c:pt idx="27">
                  <c:v>194.24954147430947</c:v>
                </c:pt>
                <c:pt idx="28">
                  <c:v>195.92567295151636</c:v>
                </c:pt>
                <c:pt idx="29">
                  <c:v>199.27793590593015</c:v>
                </c:pt>
                <c:pt idx="30">
                  <c:v>202.63019886034388</c:v>
                </c:pt>
                <c:pt idx="31">
                  <c:v>205.98246181475761</c:v>
                </c:pt>
                <c:pt idx="32">
                  <c:v>209.3347247691714</c:v>
                </c:pt>
                <c:pt idx="33">
                  <c:v>211.01085624637824</c:v>
                </c:pt>
                <c:pt idx="34">
                  <c:v>212.68698772358519</c:v>
                </c:pt>
                <c:pt idx="35">
                  <c:v>216.03925067799887</c:v>
                </c:pt>
                <c:pt idx="36">
                  <c:v>219.39151363241265</c:v>
                </c:pt>
                <c:pt idx="37">
                  <c:v>222.74377658682639</c:v>
                </c:pt>
                <c:pt idx="38">
                  <c:v>226.09603954124017</c:v>
                </c:pt>
                <c:pt idx="39">
                  <c:v>227.77217101844707</c:v>
                </c:pt>
                <c:pt idx="40">
                  <c:v>229.44830249565391</c:v>
                </c:pt>
                <c:pt idx="41">
                  <c:v>232.80056545006769</c:v>
                </c:pt>
                <c:pt idx="42">
                  <c:v>236.15282840448143</c:v>
                </c:pt>
                <c:pt idx="43">
                  <c:v>239.50509135889516</c:v>
                </c:pt>
                <c:pt idx="44">
                  <c:v>242.85735431330895</c:v>
                </c:pt>
                <c:pt idx="45">
                  <c:v>244.53348579051578</c:v>
                </c:pt>
                <c:pt idx="46">
                  <c:v>246.20961726772273</c:v>
                </c:pt>
                <c:pt idx="47">
                  <c:v>249.56188022213641</c:v>
                </c:pt>
                <c:pt idx="48">
                  <c:v>252.9141431765502</c:v>
                </c:pt>
                <c:pt idx="49">
                  <c:v>256.26640613096396</c:v>
                </c:pt>
                <c:pt idx="50">
                  <c:v>259.61866908537775</c:v>
                </c:pt>
                <c:pt idx="51">
                  <c:v>261.29480056258461</c:v>
                </c:pt>
                <c:pt idx="52">
                  <c:v>262.97093203979148</c:v>
                </c:pt>
                <c:pt idx="53">
                  <c:v>266.32319499420521</c:v>
                </c:pt>
                <c:pt idx="54">
                  <c:v>269.675457948619</c:v>
                </c:pt>
                <c:pt idx="55">
                  <c:v>273.02772090303273</c:v>
                </c:pt>
                <c:pt idx="56">
                  <c:v>276.37998385744652</c:v>
                </c:pt>
                <c:pt idx="57">
                  <c:v>278.05611533465333</c:v>
                </c:pt>
                <c:pt idx="58">
                  <c:v>279.73224681186025</c:v>
                </c:pt>
                <c:pt idx="59">
                  <c:v>283.08450976627398</c:v>
                </c:pt>
                <c:pt idx="60">
                  <c:v>286.43677272068777</c:v>
                </c:pt>
                <c:pt idx="61">
                  <c:v>289.7890356751015</c:v>
                </c:pt>
                <c:pt idx="62">
                  <c:v>293.14129862951529</c:v>
                </c:pt>
                <c:pt idx="63">
                  <c:v>294.81743010672216</c:v>
                </c:pt>
                <c:pt idx="64">
                  <c:v>296.49356158392902</c:v>
                </c:pt>
                <c:pt idx="65">
                  <c:v>299.84582453834281</c:v>
                </c:pt>
                <c:pt idx="66">
                  <c:v>303.19808749275654</c:v>
                </c:pt>
                <c:pt idx="67">
                  <c:v>306.55035044717033</c:v>
                </c:pt>
                <c:pt idx="68">
                  <c:v>309.90261340158406</c:v>
                </c:pt>
                <c:pt idx="69">
                  <c:v>311.57874487879093</c:v>
                </c:pt>
                <c:pt idx="70">
                  <c:v>313.25487635599779</c:v>
                </c:pt>
                <c:pt idx="71">
                  <c:v>316.60713931041158</c:v>
                </c:pt>
                <c:pt idx="72">
                  <c:v>319.95940226482531</c:v>
                </c:pt>
                <c:pt idx="73">
                  <c:v>323.31166521923905</c:v>
                </c:pt>
                <c:pt idx="74">
                  <c:v>326.66392817365278</c:v>
                </c:pt>
                <c:pt idx="75">
                  <c:v>328.3400596508597</c:v>
                </c:pt>
                <c:pt idx="76">
                  <c:v>330.01619112806657</c:v>
                </c:pt>
                <c:pt idx="77">
                  <c:v>333.36845408248035</c:v>
                </c:pt>
                <c:pt idx="78">
                  <c:v>336.72071703689409</c:v>
                </c:pt>
                <c:pt idx="79">
                  <c:v>340.07297999130788</c:v>
                </c:pt>
                <c:pt idx="80">
                  <c:v>343.42524294572166</c:v>
                </c:pt>
                <c:pt idx="81">
                  <c:v>345.10137442292853</c:v>
                </c:pt>
                <c:pt idx="82">
                  <c:v>346.77750590013534</c:v>
                </c:pt>
                <c:pt idx="83">
                  <c:v>350.12976885454913</c:v>
                </c:pt>
                <c:pt idx="84">
                  <c:v>353.48203180896286</c:v>
                </c:pt>
                <c:pt idx="85">
                  <c:v>356.83429476337665</c:v>
                </c:pt>
                <c:pt idx="86">
                  <c:v>360.18655771779038</c:v>
                </c:pt>
                <c:pt idx="87">
                  <c:v>361.86268919499724</c:v>
                </c:pt>
                <c:pt idx="88">
                  <c:v>363.53882067220411</c:v>
                </c:pt>
                <c:pt idx="89">
                  <c:v>366.8910836266179</c:v>
                </c:pt>
                <c:pt idx="90">
                  <c:v>370.24334658103163</c:v>
                </c:pt>
                <c:pt idx="91">
                  <c:v>373.59560953544542</c:v>
                </c:pt>
                <c:pt idx="92">
                  <c:v>376.94787248985915</c:v>
                </c:pt>
                <c:pt idx="93">
                  <c:v>378.62400396706607</c:v>
                </c:pt>
                <c:pt idx="94">
                  <c:v>380.30013544427288</c:v>
                </c:pt>
                <c:pt idx="95">
                  <c:v>383.65239839868667</c:v>
                </c:pt>
                <c:pt idx="96">
                  <c:v>387.00466135310046</c:v>
                </c:pt>
                <c:pt idx="97">
                  <c:v>390.35692430751419</c:v>
                </c:pt>
                <c:pt idx="98">
                  <c:v>393.70918726192792</c:v>
                </c:pt>
                <c:pt idx="99">
                  <c:v>395.38531873913479</c:v>
                </c:pt>
                <c:pt idx="100">
                  <c:v>397.06145021634165</c:v>
                </c:pt>
                <c:pt idx="101">
                  <c:v>400.41371317075544</c:v>
                </c:pt>
                <c:pt idx="102">
                  <c:v>403.76597612516917</c:v>
                </c:pt>
                <c:pt idx="103">
                  <c:v>407.11823907958291</c:v>
                </c:pt>
                <c:pt idx="104">
                  <c:v>410.47050203399669</c:v>
                </c:pt>
                <c:pt idx="105">
                  <c:v>412.14663351120362</c:v>
                </c:pt>
                <c:pt idx="106">
                  <c:v>413.82276498841048</c:v>
                </c:pt>
                <c:pt idx="107">
                  <c:v>417.17502794282422</c:v>
                </c:pt>
                <c:pt idx="108">
                  <c:v>420.52729089723795</c:v>
                </c:pt>
                <c:pt idx="109">
                  <c:v>428.90794828327245</c:v>
                </c:pt>
                <c:pt idx="110">
                  <c:v>437.28860566930672</c:v>
                </c:pt>
                <c:pt idx="111">
                  <c:v>445.66926305534116</c:v>
                </c:pt>
                <c:pt idx="112">
                  <c:v>454.04992044137555</c:v>
                </c:pt>
                <c:pt idx="113">
                  <c:v>462.43057782740988</c:v>
                </c:pt>
                <c:pt idx="114">
                  <c:v>470.81123521344438</c:v>
                </c:pt>
                <c:pt idx="115">
                  <c:v>479.19189259947859</c:v>
                </c:pt>
                <c:pt idx="116">
                  <c:v>487.57254998551309</c:v>
                </c:pt>
                <c:pt idx="117">
                  <c:v>495.95320737154753</c:v>
                </c:pt>
                <c:pt idx="118">
                  <c:v>504.33386475758186</c:v>
                </c:pt>
                <c:pt idx="119">
                  <c:v>512.71452214361625</c:v>
                </c:pt>
                <c:pt idx="120">
                  <c:v>521.09517952965064</c:v>
                </c:pt>
                <c:pt idx="121">
                  <c:v>529.47583691568502</c:v>
                </c:pt>
                <c:pt idx="122">
                  <c:v>537.85649430171952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9-4C62-99C5-2FA31B034EB7}"/>
            </c:ext>
          </c:extLst>
        </c:ser>
        <c:ser>
          <c:idx val="1"/>
          <c:order val="1"/>
          <c:tx>
            <c:strRef>
              <c:f>'Resistencia aerodinámica con Rr'!$L$20</c:f>
              <c:strCache>
                <c:ptCount val="1"/>
                <c:pt idx="0">
                  <c:v>Resistencia aerodinámica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'Resistencia aerodinámica con Rr'!$H$21:$H$143</c:f>
              <c:numCache>
                <c:formatCode>General</c:formatCode>
                <c:ptCount val="12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28</c:v>
                </c:pt>
                <c:pt idx="18">
                  <c:v>30</c:v>
                </c:pt>
                <c:pt idx="19">
                  <c:v>32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38</c:v>
                </c:pt>
                <c:pt idx="24">
                  <c:v>40</c:v>
                </c:pt>
                <c:pt idx="25">
                  <c:v>42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48</c:v>
                </c:pt>
                <c:pt idx="30">
                  <c:v>50</c:v>
                </c:pt>
                <c:pt idx="31">
                  <c:v>52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58</c:v>
                </c:pt>
                <c:pt idx="36">
                  <c:v>60</c:v>
                </c:pt>
                <c:pt idx="37">
                  <c:v>62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68</c:v>
                </c:pt>
                <c:pt idx="42">
                  <c:v>70</c:v>
                </c:pt>
                <c:pt idx="43">
                  <c:v>72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78</c:v>
                </c:pt>
                <c:pt idx="48">
                  <c:v>80</c:v>
                </c:pt>
                <c:pt idx="49">
                  <c:v>82</c:v>
                </c:pt>
                <c:pt idx="50">
                  <c:v>84</c:v>
                </c:pt>
                <c:pt idx="51">
                  <c:v>85</c:v>
                </c:pt>
                <c:pt idx="52">
                  <c:v>86</c:v>
                </c:pt>
                <c:pt idx="53">
                  <c:v>88</c:v>
                </c:pt>
                <c:pt idx="54">
                  <c:v>90</c:v>
                </c:pt>
                <c:pt idx="55">
                  <c:v>92</c:v>
                </c:pt>
                <c:pt idx="56">
                  <c:v>94</c:v>
                </c:pt>
                <c:pt idx="57">
                  <c:v>95</c:v>
                </c:pt>
                <c:pt idx="58">
                  <c:v>96</c:v>
                </c:pt>
                <c:pt idx="59">
                  <c:v>98</c:v>
                </c:pt>
                <c:pt idx="60">
                  <c:v>100</c:v>
                </c:pt>
                <c:pt idx="61">
                  <c:v>102</c:v>
                </c:pt>
                <c:pt idx="62">
                  <c:v>104</c:v>
                </c:pt>
                <c:pt idx="63">
                  <c:v>105</c:v>
                </c:pt>
                <c:pt idx="64">
                  <c:v>106</c:v>
                </c:pt>
                <c:pt idx="65">
                  <c:v>108</c:v>
                </c:pt>
                <c:pt idx="66">
                  <c:v>110</c:v>
                </c:pt>
                <c:pt idx="67">
                  <c:v>112</c:v>
                </c:pt>
                <c:pt idx="68">
                  <c:v>114</c:v>
                </c:pt>
                <c:pt idx="69">
                  <c:v>115</c:v>
                </c:pt>
                <c:pt idx="70">
                  <c:v>116</c:v>
                </c:pt>
                <c:pt idx="71">
                  <c:v>118</c:v>
                </c:pt>
                <c:pt idx="72">
                  <c:v>120</c:v>
                </c:pt>
                <c:pt idx="73">
                  <c:v>122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128</c:v>
                </c:pt>
                <c:pt idx="78">
                  <c:v>130</c:v>
                </c:pt>
                <c:pt idx="79">
                  <c:v>132</c:v>
                </c:pt>
                <c:pt idx="80">
                  <c:v>134</c:v>
                </c:pt>
                <c:pt idx="81">
                  <c:v>135</c:v>
                </c:pt>
                <c:pt idx="82">
                  <c:v>136</c:v>
                </c:pt>
                <c:pt idx="83">
                  <c:v>138</c:v>
                </c:pt>
                <c:pt idx="84">
                  <c:v>140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146</c:v>
                </c:pt>
                <c:pt idx="89">
                  <c:v>148</c:v>
                </c:pt>
                <c:pt idx="90">
                  <c:v>150</c:v>
                </c:pt>
                <c:pt idx="91">
                  <c:v>152</c:v>
                </c:pt>
                <c:pt idx="92">
                  <c:v>154</c:v>
                </c:pt>
                <c:pt idx="93">
                  <c:v>155</c:v>
                </c:pt>
                <c:pt idx="94">
                  <c:v>156</c:v>
                </c:pt>
                <c:pt idx="95">
                  <c:v>158</c:v>
                </c:pt>
                <c:pt idx="96">
                  <c:v>160</c:v>
                </c:pt>
                <c:pt idx="97">
                  <c:v>162</c:v>
                </c:pt>
                <c:pt idx="98">
                  <c:v>164</c:v>
                </c:pt>
                <c:pt idx="99">
                  <c:v>165</c:v>
                </c:pt>
                <c:pt idx="100">
                  <c:v>166</c:v>
                </c:pt>
                <c:pt idx="101">
                  <c:v>168</c:v>
                </c:pt>
                <c:pt idx="102">
                  <c:v>170</c:v>
                </c:pt>
                <c:pt idx="103">
                  <c:v>172</c:v>
                </c:pt>
                <c:pt idx="104">
                  <c:v>174</c:v>
                </c:pt>
                <c:pt idx="105">
                  <c:v>175</c:v>
                </c:pt>
                <c:pt idx="106">
                  <c:v>176</c:v>
                </c:pt>
                <c:pt idx="107">
                  <c:v>178</c:v>
                </c:pt>
                <c:pt idx="108">
                  <c:v>180</c:v>
                </c:pt>
                <c:pt idx="109">
                  <c:v>185</c:v>
                </c:pt>
                <c:pt idx="110">
                  <c:v>190</c:v>
                </c:pt>
                <c:pt idx="111">
                  <c:v>195</c:v>
                </c:pt>
                <c:pt idx="112">
                  <c:v>200</c:v>
                </c:pt>
                <c:pt idx="113">
                  <c:v>205</c:v>
                </c:pt>
                <c:pt idx="114">
                  <c:v>210</c:v>
                </c:pt>
                <c:pt idx="115">
                  <c:v>215</c:v>
                </c:pt>
                <c:pt idx="116">
                  <c:v>220</c:v>
                </c:pt>
                <c:pt idx="117">
                  <c:v>225</c:v>
                </c:pt>
                <c:pt idx="118">
                  <c:v>230</c:v>
                </c:pt>
                <c:pt idx="119">
                  <c:v>235</c:v>
                </c:pt>
                <c:pt idx="120">
                  <c:v>240</c:v>
                </c:pt>
                <c:pt idx="121">
                  <c:v>245</c:v>
                </c:pt>
                <c:pt idx="122">
                  <c:v>250</c:v>
                </c:pt>
              </c:numCache>
            </c:numRef>
          </c:cat>
          <c:val>
            <c:numRef>
              <c:f>'Resistencia aerodinámica con Rr'!$L$21:$L$143</c:f>
              <c:numCache>
                <c:formatCode>0.00</c:formatCode>
                <c:ptCount val="123"/>
                <c:pt idx="0">
                  <c:v>0</c:v>
                </c:pt>
                <c:pt idx="1">
                  <c:v>0.11613134750000002</c:v>
                </c:pt>
                <c:pt idx="2">
                  <c:v>0.46452539000000009</c:v>
                </c:pt>
                <c:pt idx="3" formatCode="General">
                  <c:v>0.72582092187500002</c:v>
                </c:pt>
                <c:pt idx="4">
                  <c:v>1.0451821274999999</c:v>
                </c:pt>
                <c:pt idx="5">
                  <c:v>1.8581015600000004</c:v>
                </c:pt>
                <c:pt idx="6">
                  <c:v>2.9032836875000001</c:v>
                </c:pt>
                <c:pt idx="7" formatCode="General">
                  <c:v>4.1807285099999998</c:v>
                </c:pt>
                <c:pt idx="8">
                  <c:v>5.6904360275000005</c:v>
                </c:pt>
                <c:pt idx="9">
                  <c:v>6.532388296875002</c:v>
                </c:pt>
                <c:pt idx="10">
                  <c:v>7.4324062400000015</c:v>
                </c:pt>
                <c:pt idx="11">
                  <c:v>9.4066391475000017</c:v>
                </c:pt>
                <c:pt idx="12">
                  <c:v>11.61313475</c:v>
                </c:pt>
                <c:pt idx="13" formatCode="General">
                  <c:v>14.0518930475</c:v>
                </c:pt>
                <c:pt idx="14">
                  <c:v>16.722914039999999</c:v>
                </c:pt>
                <c:pt idx="15">
                  <c:v>18.145523046875002</c:v>
                </c:pt>
                <c:pt idx="16">
                  <c:v>19.626197727500003</c:v>
                </c:pt>
                <c:pt idx="17" formatCode="General">
                  <c:v>22.761744110000002</c:v>
                </c:pt>
                <c:pt idx="18">
                  <c:v>26.129553187500008</c:v>
                </c:pt>
                <c:pt idx="19">
                  <c:v>29.729624960000006</c:v>
                </c:pt>
                <c:pt idx="20">
                  <c:v>33.561959427500007</c:v>
                </c:pt>
                <c:pt idx="21">
                  <c:v>35.565225171874999</c:v>
                </c:pt>
                <c:pt idx="22">
                  <c:v>37.626556590000007</c:v>
                </c:pt>
                <c:pt idx="23" formatCode="General">
                  <c:v>41.923416447500003</c:v>
                </c:pt>
                <c:pt idx="24">
                  <c:v>46.452539000000002</c:v>
                </c:pt>
                <c:pt idx="25">
                  <c:v>51.213924247499996</c:v>
                </c:pt>
                <c:pt idx="26">
                  <c:v>56.20757219</c:v>
                </c:pt>
                <c:pt idx="27" formatCode="General">
                  <c:v>58.791494671875007</c:v>
                </c:pt>
                <c:pt idx="28">
                  <c:v>61.433482827500001</c:v>
                </c:pt>
                <c:pt idx="29">
                  <c:v>66.891656159999997</c:v>
                </c:pt>
                <c:pt idx="30">
                  <c:v>72.58209218750001</c:v>
                </c:pt>
                <c:pt idx="31">
                  <c:v>78.504790910000011</c:v>
                </c:pt>
                <c:pt idx="32">
                  <c:v>84.659752327500016</c:v>
                </c:pt>
                <c:pt idx="33" formatCode="General">
                  <c:v>87.824331546874987</c:v>
                </c:pt>
                <c:pt idx="34">
                  <c:v>91.046976440000009</c:v>
                </c:pt>
                <c:pt idx="35">
                  <c:v>97.666463247500005</c:v>
                </c:pt>
                <c:pt idx="36">
                  <c:v>104.51821275000003</c:v>
                </c:pt>
                <c:pt idx="37" formatCode="General">
                  <c:v>111.60222494750001</c:v>
                </c:pt>
                <c:pt idx="38">
                  <c:v>118.91849984000002</c:v>
                </c:pt>
                <c:pt idx="39">
                  <c:v>122.66373579687499</c:v>
                </c:pt>
                <c:pt idx="40">
                  <c:v>126.4670374275</c:v>
                </c:pt>
                <c:pt idx="41">
                  <c:v>134.24783771000003</c:v>
                </c:pt>
                <c:pt idx="42">
                  <c:v>142.2609006875</c:v>
                </c:pt>
                <c:pt idx="43" formatCode="General">
                  <c:v>150.50622636000003</c:v>
                </c:pt>
                <c:pt idx="44">
                  <c:v>158.98381472749998</c:v>
                </c:pt>
                <c:pt idx="45">
                  <c:v>163.309707421875</c:v>
                </c:pt>
                <c:pt idx="46">
                  <c:v>167.69366579000001</c:v>
                </c:pt>
                <c:pt idx="47" formatCode="General">
                  <c:v>176.63577954750005</c:v>
                </c:pt>
                <c:pt idx="48">
                  <c:v>185.81015600000001</c:v>
                </c:pt>
                <c:pt idx="49">
                  <c:v>195.21679514750005</c:v>
                </c:pt>
                <c:pt idx="50">
                  <c:v>204.85569698999998</c:v>
                </c:pt>
                <c:pt idx="51">
                  <c:v>209.76224642187501</c:v>
                </c:pt>
                <c:pt idx="52">
                  <c:v>214.72686152750001</c:v>
                </c:pt>
                <c:pt idx="53" formatCode="General">
                  <c:v>224.83028876</c:v>
                </c:pt>
                <c:pt idx="54">
                  <c:v>235.16597868750003</c:v>
                </c:pt>
                <c:pt idx="55">
                  <c:v>245.73393131</c:v>
                </c:pt>
                <c:pt idx="56">
                  <c:v>256.53414662750004</c:v>
                </c:pt>
                <c:pt idx="57" formatCode="General">
                  <c:v>262.02135279687502</c:v>
                </c:pt>
                <c:pt idx="58">
                  <c:v>267.56662463999999</c:v>
                </c:pt>
                <c:pt idx="59">
                  <c:v>278.83136534750003</c:v>
                </c:pt>
                <c:pt idx="60">
                  <c:v>290.32836875000004</c:v>
                </c:pt>
                <c:pt idx="61">
                  <c:v>302.05763484750003</c:v>
                </c:pt>
                <c:pt idx="62">
                  <c:v>314.01916364000004</c:v>
                </c:pt>
                <c:pt idx="63" formatCode="General">
                  <c:v>320.08702654687499</c:v>
                </c:pt>
                <c:pt idx="64">
                  <c:v>326.21295512749998</c:v>
                </c:pt>
                <c:pt idx="65">
                  <c:v>338.63900931000006</c:v>
                </c:pt>
                <c:pt idx="66">
                  <c:v>351.29732618749995</c:v>
                </c:pt>
                <c:pt idx="67" formatCode="General">
                  <c:v>364.18790576000004</c:v>
                </c:pt>
                <c:pt idx="68">
                  <c:v>377.31074802749998</c:v>
                </c:pt>
                <c:pt idx="69">
                  <c:v>383.95926767187501</c:v>
                </c:pt>
                <c:pt idx="70">
                  <c:v>390.66585299000002</c:v>
                </c:pt>
                <c:pt idx="71">
                  <c:v>404.25322064750003</c:v>
                </c:pt>
                <c:pt idx="72">
                  <c:v>418.07285100000013</c:v>
                </c:pt>
                <c:pt idx="73" formatCode="General">
                  <c:v>432.12474404749997</c:v>
                </c:pt>
                <c:pt idx="74">
                  <c:v>446.40889979000002</c:v>
                </c:pt>
                <c:pt idx="75">
                  <c:v>453.63807617187501</c:v>
                </c:pt>
                <c:pt idx="76">
                  <c:v>460.92531822750004</c:v>
                </c:pt>
                <c:pt idx="77" formatCode="General">
                  <c:v>475.6739993600001</c:v>
                </c:pt>
                <c:pt idx="78">
                  <c:v>490.65494318749995</c:v>
                </c:pt>
                <c:pt idx="79">
                  <c:v>505.86814971000001</c:v>
                </c:pt>
                <c:pt idx="80">
                  <c:v>521.31361892749999</c:v>
                </c:pt>
                <c:pt idx="81">
                  <c:v>529.12345204687506</c:v>
                </c:pt>
                <c:pt idx="82">
                  <c:v>536.99135084000011</c:v>
                </c:pt>
                <c:pt idx="83" formatCode="General">
                  <c:v>552.90134544750015</c:v>
                </c:pt>
                <c:pt idx="84">
                  <c:v>569.04360274999999</c:v>
                </c:pt>
                <c:pt idx="85">
                  <c:v>585.41812274749998</c:v>
                </c:pt>
                <c:pt idx="86">
                  <c:v>602.02490544000011</c:v>
                </c:pt>
                <c:pt idx="87" formatCode="General">
                  <c:v>610.41539529687509</c:v>
                </c:pt>
                <c:pt idx="88">
                  <c:v>618.86395082750005</c:v>
                </c:pt>
                <c:pt idx="89">
                  <c:v>635.9352589099999</c:v>
                </c:pt>
                <c:pt idx="90">
                  <c:v>653.23882968750002</c:v>
                </c:pt>
                <c:pt idx="91">
                  <c:v>670.77466316000005</c:v>
                </c:pt>
                <c:pt idx="92">
                  <c:v>688.54275932750011</c:v>
                </c:pt>
                <c:pt idx="93" formatCode="General">
                  <c:v>697.51390592187511</c:v>
                </c:pt>
                <c:pt idx="94">
                  <c:v>706.5431181900002</c:v>
                </c:pt>
                <c:pt idx="95">
                  <c:v>724.77573974749998</c:v>
                </c:pt>
                <c:pt idx="96">
                  <c:v>743.24062400000003</c:v>
                </c:pt>
                <c:pt idx="97" formatCode="General">
                  <c:v>761.9377709475001</c:v>
                </c:pt>
                <c:pt idx="98">
                  <c:v>780.8671805900002</c:v>
                </c:pt>
                <c:pt idx="99">
                  <c:v>790.41898392187522</c:v>
                </c:pt>
                <c:pt idx="100">
                  <c:v>800.0288529275</c:v>
                </c:pt>
                <c:pt idx="101">
                  <c:v>819.42278795999994</c:v>
                </c:pt>
                <c:pt idx="102">
                  <c:v>839.04898568750002</c:v>
                </c:pt>
                <c:pt idx="103" formatCode="General">
                  <c:v>858.90744611000002</c:v>
                </c:pt>
                <c:pt idx="104">
                  <c:v>878.99816922750006</c:v>
                </c:pt>
                <c:pt idx="105">
                  <c:v>889.13062929687499</c:v>
                </c:pt>
                <c:pt idx="106">
                  <c:v>899.32115504000001</c:v>
                </c:pt>
                <c:pt idx="107" formatCode="General">
                  <c:v>919.87640354749999</c:v>
                </c:pt>
                <c:pt idx="108">
                  <c:v>940.66391475000012</c:v>
                </c:pt>
                <c:pt idx="109">
                  <c:v>993.64884204687507</c:v>
                </c:pt>
                <c:pt idx="110">
                  <c:v>1048.0854111875001</c:v>
                </c:pt>
                <c:pt idx="111">
                  <c:v>1103.9736221718749</c:v>
                </c:pt>
                <c:pt idx="112">
                  <c:v>1161.3134750000002</c:v>
                </c:pt>
                <c:pt idx="113" formatCode="General">
                  <c:v>1220.1049696718751</c:v>
                </c:pt>
                <c:pt idx="114">
                  <c:v>1280.3481061875</c:v>
                </c:pt>
                <c:pt idx="115">
                  <c:v>1342.042884546875</c:v>
                </c:pt>
                <c:pt idx="116">
                  <c:v>1405.1893047499998</c:v>
                </c:pt>
                <c:pt idx="117" formatCode="General">
                  <c:v>1469.7873667968752</c:v>
                </c:pt>
                <c:pt idx="118">
                  <c:v>1535.8370706875</c:v>
                </c:pt>
                <c:pt idx="119">
                  <c:v>1603.3384164218749</c:v>
                </c:pt>
                <c:pt idx="120">
                  <c:v>1672.2914040000005</c:v>
                </c:pt>
                <c:pt idx="121">
                  <c:v>1742.6960334218754</c:v>
                </c:pt>
                <c:pt idx="122">
                  <c:v>1814.5523046875001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19-4C62-99C5-2FA31B034EB7}"/>
            </c:ext>
          </c:extLst>
        </c:ser>
        <c:ser>
          <c:idx val="2"/>
          <c:order val="2"/>
          <c:tx>
            <c:strRef>
              <c:f>'Resistencia aerodinámica con Rr'!$M$20</c:f>
              <c:strCache>
                <c:ptCount val="1"/>
                <c:pt idx="0">
                  <c:v>Resistencia gravitatoria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'Resistencia aerodinámica con Rr'!$H$21:$H$143</c:f>
              <c:numCache>
                <c:formatCode>General</c:formatCode>
                <c:ptCount val="12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28</c:v>
                </c:pt>
                <c:pt idx="18">
                  <c:v>30</c:v>
                </c:pt>
                <c:pt idx="19">
                  <c:v>32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38</c:v>
                </c:pt>
                <c:pt idx="24">
                  <c:v>40</c:v>
                </c:pt>
                <c:pt idx="25">
                  <c:v>42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48</c:v>
                </c:pt>
                <c:pt idx="30">
                  <c:v>50</c:v>
                </c:pt>
                <c:pt idx="31">
                  <c:v>52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58</c:v>
                </c:pt>
                <c:pt idx="36">
                  <c:v>60</c:v>
                </c:pt>
                <c:pt idx="37">
                  <c:v>62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68</c:v>
                </c:pt>
                <c:pt idx="42">
                  <c:v>70</c:v>
                </c:pt>
                <c:pt idx="43">
                  <c:v>72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78</c:v>
                </c:pt>
                <c:pt idx="48">
                  <c:v>80</c:v>
                </c:pt>
                <c:pt idx="49">
                  <c:v>82</c:v>
                </c:pt>
                <c:pt idx="50">
                  <c:v>84</c:v>
                </c:pt>
                <c:pt idx="51">
                  <c:v>85</c:v>
                </c:pt>
                <c:pt idx="52">
                  <c:v>86</c:v>
                </c:pt>
                <c:pt idx="53">
                  <c:v>88</c:v>
                </c:pt>
                <c:pt idx="54">
                  <c:v>90</c:v>
                </c:pt>
                <c:pt idx="55">
                  <c:v>92</c:v>
                </c:pt>
                <c:pt idx="56">
                  <c:v>94</c:v>
                </c:pt>
                <c:pt idx="57">
                  <c:v>95</c:v>
                </c:pt>
                <c:pt idx="58">
                  <c:v>96</c:v>
                </c:pt>
                <c:pt idx="59">
                  <c:v>98</c:v>
                </c:pt>
                <c:pt idx="60">
                  <c:v>100</c:v>
                </c:pt>
                <c:pt idx="61">
                  <c:v>102</c:v>
                </c:pt>
                <c:pt idx="62">
                  <c:v>104</c:v>
                </c:pt>
                <c:pt idx="63">
                  <c:v>105</c:v>
                </c:pt>
                <c:pt idx="64">
                  <c:v>106</c:v>
                </c:pt>
                <c:pt idx="65">
                  <c:v>108</c:v>
                </c:pt>
                <c:pt idx="66">
                  <c:v>110</c:v>
                </c:pt>
                <c:pt idx="67">
                  <c:v>112</c:v>
                </c:pt>
                <c:pt idx="68">
                  <c:v>114</c:v>
                </c:pt>
                <c:pt idx="69">
                  <c:v>115</c:v>
                </c:pt>
                <c:pt idx="70">
                  <c:v>116</c:v>
                </c:pt>
                <c:pt idx="71">
                  <c:v>118</c:v>
                </c:pt>
                <c:pt idx="72">
                  <c:v>120</c:v>
                </c:pt>
                <c:pt idx="73">
                  <c:v>122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128</c:v>
                </c:pt>
                <c:pt idx="78">
                  <c:v>130</c:v>
                </c:pt>
                <c:pt idx="79">
                  <c:v>132</c:v>
                </c:pt>
                <c:pt idx="80">
                  <c:v>134</c:v>
                </c:pt>
                <c:pt idx="81">
                  <c:v>135</c:v>
                </c:pt>
                <c:pt idx="82">
                  <c:v>136</c:v>
                </c:pt>
                <c:pt idx="83">
                  <c:v>138</c:v>
                </c:pt>
                <c:pt idx="84">
                  <c:v>140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146</c:v>
                </c:pt>
                <c:pt idx="89">
                  <c:v>148</c:v>
                </c:pt>
                <c:pt idx="90">
                  <c:v>150</c:v>
                </c:pt>
                <c:pt idx="91">
                  <c:v>152</c:v>
                </c:pt>
                <c:pt idx="92">
                  <c:v>154</c:v>
                </c:pt>
                <c:pt idx="93">
                  <c:v>155</c:v>
                </c:pt>
                <c:pt idx="94">
                  <c:v>156</c:v>
                </c:pt>
                <c:pt idx="95">
                  <c:v>158</c:v>
                </c:pt>
                <c:pt idx="96">
                  <c:v>160</c:v>
                </c:pt>
                <c:pt idx="97">
                  <c:v>162</c:v>
                </c:pt>
                <c:pt idx="98">
                  <c:v>164</c:v>
                </c:pt>
                <c:pt idx="99">
                  <c:v>165</c:v>
                </c:pt>
                <c:pt idx="100">
                  <c:v>166</c:v>
                </c:pt>
                <c:pt idx="101">
                  <c:v>168</c:v>
                </c:pt>
                <c:pt idx="102">
                  <c:v>170</c:v>
                </c:pt>
                <c:pt idx="103">
                  <c:v>172</c:v>
                </c:pt>
                <c:pt idx="104">
                  <c:v>174</c:v>
                </c:pt>
                <c:pt idx="105">
                  <c:v>175</c:v>
                </c:pt>
                <c:pt idx="106">
                  <c:v>176</c:v>
                </c:pt>
                <c:pt idx="107">
                  <c:v>178</c:v>
                </c:pt>
                <c:pt idx="108">
                  <c:v>180</c:v>
                </c:pt>
                <c:pt idx="109">
                  <c:v>185</c:v>
                </c:pt>
                <c:pt idx="110">
                  <c:v>190</c:v>
                </c:pt>
                <c:pt idx="111">
                  <c:v>195</c:v>
                </c:pt>
                <c:pt idx="112">
                  <c:v>200</c:v>
                </c:pt>
                <c:pt idx="113">
                  <c:v>205</c:v>
                </c:pt>
                <c:pt idx="114">
                  <c:v>210</c:v>
                </c:pt>
                <c:pt idx="115">
                  <c:v>215</c:v>
                </c:pt>
                <c:pt idx="116">
                  <c:v>220</c:v>
                </c:pt>
                <c:pt idx="117">
                  <c:v>225</c:v>
                </c:pt>
                <c:pt idx="118">
                  <c:v>230</c:v>
                </c:pt>
                <c:pt idx="119">
                  <c:v>235</c:v>
                </c:pt>
                <c:pt idx="120">
                  <c:v>240</c:v>
                </c:pt>
                <c:pt idx="121">
                  <c:v>245</c:v>
                </c:pt>
                <c:pt idx="122">
                  <c:v>250</c:v>
                </c:pt>
              </c:numCache>
            </c:numRef>
          </c:cat>
          <c:val>
            <c:numRef>
              <c:f>'Resistencia aerodinámica con Rr'!$M$21:$M$143</c:f>
              <c:numCache>
                <c:formatCode>0.00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19-4C62-99C5-2FA31B034EB7}"/>
            </c:ext>
          </c:extLst>
        </c:ser>
        <c:ser>
          <c:idx val="3"/>
          <c:order val="3"/>
          <c:tx>
            <c:strRef>
              <c:f>'Resistencia aerodinámica con Rr'!$N$20</c:f>
              <c:strCache>
                <c:ptCount val="1"/>
                <c:pt idx="0">
                  <c:v>Resistencia 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'Resistencia aerodinámica con Rr'!$H$21:$H$143</c:f>
              <c:numCache>
                <c:formatCode>General</c:formatCode>
                <c:ptCount val="12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28</c:v>
                </c:pt>
                <c:pt idx="18">
                  <c:v>30</c:v>
                </c:pt>
                <c:pt idx="19">
                  <c:v>32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38</c:v>
                </c:pt>
                <c:pt idx="24">
                  <c:v>40</c:v>
                </c:pt>
                <c:pt idx="25">
                  <c:v>42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48</c:v>
                </c:pt>
                <c:pt idx="30">
                  <c:v>50</c:v>
                </c:pt>
                <c:pt idx="31">
                  <c:v>52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58</c:v>
                </c:pt>
                <c:pt idx="36">
                  <c:v>60</c:v>
                </c:pt>
                <c:pt idx="37">
                  <c:v>62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68</c:v>
                </c:pt>
                <c:pt idx="42">
                  <c:v>70</c:v>
                </c:pt>
                <c:pt idx="43">
                  <c:v>72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78</c:v>
                </c:pt>
                <c:pt idx="48">
                  <c:v>80</c:v>
                </c:pt>
                <c:pt idx="49">
                  <c:v>82</c:v>
                </c:pt>
                <c:pt idx="50">
                  <c:v>84</c:v>
                </c:pt>
                <c:pt idx="51">
                  <c:v>85</c:v>
                </c:pt>
                <c:pt idx="52">
                  <c:v>86</c:v>
                </c:pt>
                <c:pt idx="53">
                  <c:v>88</c:v>
                </c:pt>
                <c:pt idx="54">
                  <c:v>90</c:v>
                </c:pt>
                <c:pt idx="55">
                  <c:v>92</c:v>
                </c:pt>
                <c:pt idx="56">
                  <c:v>94</c:v>
                </c:pt>
                <c:pt idx="57">
                  <c:v>95</c:v>
                </c:pt>
                <c:pt idx="58">
                  <c:v>96</c:v>
                </c:pt>
                <c:pt idx="59">
                  <c:v>98</c:v>
                </c:pt>
                <c:pt idx="60">
                  <c:v>100</c:v>
                </c:pt>
                <c:pt idx="61">
                  <c:v>102</c:v>
                </c:pt>
                <c:pt idx="62">
                  <c:v>104</c:v>
                </c:pt>
                <c:pt idx="63">
                  <c:v>105</c:v>
                </c:pt>
                <c:pt idx="64">
                  <c:v>106</c:v>
                </c:pt>
                <c:pt idx="65">
                  <c:v>108</c:v>
                </c:pt>
                <c:pt idx="66">
                  <c:v>110</c:v>
                </c:pt>
                <c:pt idx="67">
                  <c:v>112</c:v>
                </c:pt>
                <c:pt idx="68">
                  <c:v>114</c:v>
                </c:pt>
                <c:pt idx="69">
                  <c:v>115</c:v>
                </c:pt>
                <c:pt idx="70">
                  <c:v>116</c:v>
                </c:pt>
                <c:pt idx="71">
                  <c:v>118</c:v>
                </c:pt>
                <c:pt idx="72">
                  <c:v>120</c:v>
                </c:pt>
                <c:pt idx="73">
                  <c:v>122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128</c:v>
                </c:pt>
                <c:pt idx="78">
                  <c:v>130</c:v>
                </c:pt>
                <c:pt idx="79">
                  <c:v>132</c:v>
                </c:pt>
                <c:pt idx="80">
                  <c:v>134</c:v>
                </c:pt>
                <c:pt idx="81">
                  <c:v>135</c:v>
                </c:pt>
                <c:pt idx="82">
                  <c:v>136</c:v>
                </c:pt>
                <c:pt idx="83">
                  <c:v>138</c:v>
                </c:pt>
                <c:pt idx="84">
                  <c:v>140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146</c:v>
                </c:pt>
                <c:pt idx="89">
                  <c:v>148</c:v>
                </c:pt>
                <c:pt idx="90">
                  <c:v>150</c:v>
                </c:pt>
                <c:pt idx="91">
                  <c:v>152</c:v>
                </c:pt>
                <c:pt idx="92">
                  <c:v>154</c:v>
                </c:pt>
                <c:pt idx="93">
                  <c:v>155</c:v>
                </c:pt>
                <c:pt idx="94">
                  <c:v>156</c:v>
                </c:pt>
                <c:pt idx="95">
                  <c:v>158</c:v>
                </c:pt>
                <c:pt idx="96">
                  <c:v>160</c:v>
                </c:pt>
                <c:pt idx="97">
                  <c:v>162</c:v>
                </c:pt>
                <c:pt idx="98">
                  <c:v>164</c:v>
                </c:pt>
                <c:pt idx="99">
                  <c:v>165</c:v>
                </c:pt>
                <c:pt idx="100">
                  <c:v>166</c:v>
                </c:pt>
                <c:pt idx="101">
                  <c:v>168</c:v>
                </c:pt>
                <c:pt idx="102">
                  <c:v>170</c:v>
                </c:pt>
                <c:pt idx="103">
                  <c:v>172</c:v>
                </c:pt>
                <c:pt idx="104">
                  <c:v>174</c:v>
                </c:pt>
                <c:pt idx="105">
                  <c:v>175</c:v>
                </c:pt>
                <c:pt idx="106">
                  <c:v>176</c:v>
                </c:pt>
                <c:pt idx="107">
                  <c:v>178</c:v>
                </c:pt>
                <c:pt idx="108">
                  <c:v>180</c:v>
                </c:pt>
                <c:pt idx="109">
                  <c:v>185</c:v>
                </c:pt>
                <c:pt idx="110">
                  <c:v>190</c:v>
                </c:pt>
                <c:pt idx="111">
                  <c:v>195</c:v>
                </c:pt>
                <c:pt idx="112">
                  <c:v>200</c:v>
                </c:pt>
                <c:pt idx="113">
                  <c:v>205</c:v>
                </c:pt>
                <c:pt idx="114">
                  <c:v>210</c:v>
                </c:pt>
                <c:pt idx="115">
                  <c:v>215</c:v>
                </c:pt>
                <c:pt idx="116">
                  <c:v>220</c:v>
                </c:pt>
                <c:pt idx="117">
                  <c:v>225</c:v>
                </c:pt>
                <c:pt idx="118">
                  <c:v>230</c:v>
                </c:pt>
                <c:pt idx="119">
                  <c:v>235</c:v>
                </c:pt>
                <c:pt idx="120">
                  <c:v>240</c:v>
                </c:pt>
                <c:pt idx="121">
                  <c:v>245</c:v>
                </c:pt>
                <c:pt idx="122">
                  <c:v>250</c:v>
                </c:pt>
              </c:numCache>
            </c:numRef>
          </c:cat>
          <c:val>
            <c:numRef>
              <c:f>'Resistencia aerodinámica con Rr'!$N$21:$N$143</c:f>
              <c:numCache>
                <c:formatCode>0.00</c:formatCode>
                <c:ptCount val="123"/>
                <c:pt idx="0">
                  <c:v>118.82362499999999</c:v>
                </c:pt>
                <c:pt idx="1">
                  <c:v>122.29201930191375</c:v>
                </c:pt>
                <c:pt idx="2">
                  <c:v>125.99267629882752</c:v>
                </c:pt>
                <c:pt idx="3" formatCode="General">
                  <c:v>127.93010330790938</c:v>
                </c:pt>
                <c:pt idx="4">
                  <c:v>129.92559599074127</c:v>
                </c:pt>
                <c:pt idx="5">
                  <c:v>134.090778377655</c:v>
                </c:pt>
                <c:pt idx="6">
                  <c:v>138.48822345956876</c:v>
                </c:pt>
                <c:pt idx="7" formatCode="General">
                  <c:v>143.11793123648252</c:v>
                </c:pt>
                <c:pt idx="8">
                  <c:v>147.97990170839628</c:v>
                </c:pt>
                <c:pt idx="9">
                  <c:v>150.49798545497816</c:v>
                </c:pt>
                <c:pt idx="10">
                  <c:v>153.07413487531005</c:v>
                </c:pt>
                <c:pt idx="11">
                  <c:v>158.40063073722376</c:v>
                </c:pt>
                <c:pt idx="12">
                  <c:v>163.95938929413757</c:v>
                </c:pt>
                <c:pt idx="13" formatCode="General">
                  <c:v>169.75041054605128</c:v>
                </c:pt>
                <c:pt idx="14">
                  <c:v>175.77369449296506</c:v>
                </c:pt>
                <c:pt idx="15">
                  <c:v>178.87243497704694</c:v>
                </c:pt>
                <c:pt idx="16">
                  <c:v>182.02924113487882</c:v>
                </c:pt>
                <c:pt idx="17" formatCode="General">
                  <c:v>188.51705047179257</c:v>
                </c:pt>
                <c:pt idx="18">
                  <c:v>195.23712250370636</c:v>
                </c:pt>
                <c:pt idx="19">
                  <c:v>202.18945723062006</c:v>
                </c:pt>
                <c:pt idx="20">
                  <c:v>209.37405465253386</c:v>
                </c:pt>
                <c:pt idx="21">
                  <c:v>213.05345187411569</c:v>
                </c:pt>
                <c:pt idx="22">
                  <c:v>216.7909147694476</c:v>
                </c:pt>
                <c:pt idx="23" formatCode="General">
                  <c:v>224.44003758136137</c:v>
                </c:pt>
                <c:pt idx="24">
                  <c:v>232.32142308827511</c:v>
                </c:pt>
                <c:pt idx="25">
                  <c:v>240.43507129018883</c:v>
                </c:pt>
                <c:pt idx="26">
                  <c:v>248.78098218710264</c:v>
                </c:pt>
                <c:pt idx="27" formatCode="General">
                  <c:v>253.04103614618447</c:v>
                </c:pt>
                <c:pt idx="28">
                  <c:v>257.35915577901636</c:v>
                </c:pt>
                <c:pt idx="29">
                  <c:v>266.16959206593015</c:v>
                </c:pt>
                <c:pt idx="30">
                  <c:v>275.21229104784391</c:v>
                </c:pt>
                <c:pt idx="31">
                  <c:v>284.48725272475764</c:v>
                </c:pt>
                <c:pt idx="32">
                  <c:v>293.9944770966714</c:v>
                </c:pt>
                <c:pt idx="33" formatCode="General">
                  <c:v>298.83518779325323</c:v>
                </c:pt>
                <c:pt idx="34">
                  <c:v>303.7339641635852</c:v>
                </c:pt>
                <c:pt idx="35">
                  <c:v>313.70571392549886</c:v>
                </c:pt>
                <c:pt idx="36">
                  <c:v>323.90972638241271</c:v>
                </c:pt>
                <c:pt idx="37" formatCode="General">
                  <c:v>334.34600153432638</c:v>
                </c:pt>
                <c:pt idx="38">
                  <c:v>345.01453938124018</c:v>
                </c:pt>
                <c:pt idx="39">
                  <c:v>350.43590681532203</c:v>
                </c:pt>
                <c:pt idx="40">
                  <c:v>355.91533992315391</c:v>
                </c:pt>
                <c:pt idx="41">
                  <c:v>367.04840316006772</c:v>
                </c:pt>
                <c:pt idx="42">
                  <c:v>378.41372909198139</c:v>
                </c:pt>
                <c:pt idx="43" formatCode="General">
                  <c:v>390.01131771889516</c:v>
                </c:pt>
                <c:pt idx="44">
                  <c:v>401.84116904080895</c:v>
                </c:pt>
                <c:pt idx="45">
                  <c:v>407.84319321239082</c:v>
                </c:pt>
                <c:pt idx="46">
                  <c:v>413.90328305772277</c:v>
                </c:pt>
                <c:pt idx="47" formatCode="General">
                  <c:v>426.19765976963646</c:v>
                </c:pt>
                <c:pt idx="48">
                  <c:v>438.72429917655018</c:v>
                </c:pt>
                <c:pt idx="49">
                  <c:v>451.48320127846398</c:v>
                </c:pt>
                <c:pt idx="50">
                  <c:v>464.4743660753777</c:v>
                </c:pt>
                <c:pt idx="51">
                  <c:v>471.05704698445959</c:v>
                </c:pt>
                <c:pt idx="52">
                  <c:v>477.69779356729146</c:v>
                </c:pt>
                <c:pt idx="53" formatCode="General">
                  <c:v>491.15348375420524</c:v>
                </c:pt>
                <c:pt idx="54">
                  <c:v>504.84143663611906</c:v>
                </c:pt>
                <c:pt idx="55">
                  <c:v>518.76165221303268</c:v>
                </c:pt>
                <c:pt idx="56">
                  <c:v>532.91413048494655</c:v>
                </c:pt>
                <c:pt idx="57" formatCode="General">
                  <c:v>540.07746813152835</c:v>
                </c:pt>
                <c:pt idx="58">
                  <c:v>547.29887145186024</c:v>
                </c:pt>
                <c:pt idx="59">
                  <c:v>561.91587511377406</c:v>
                </c:pt>
                <c:pt idx="60">
                  <c:v>576.76514147068781</c:v>
                </c:pt>
                <c:pt idx="61">
                  <c:v>591.84667052260147</c:v>
                </c:pt>
                <c:pt idx="62">
                  <c:v>607.16046226951539</c:v>
                </c:pt>
                <c:pt idx="63" formatCode="General">
                  <c:v>614.90445665359721</c:v>
                </c:pt>
                <c:pt idx="64">
                  <c:v>622.706516711429</c:v>
                </c:pt>
                <c:pt idx="65">
                  <c:v>638.48483384834287</c:v>
                </c:pt>
                <c:pt idx="66">
                  <c:v>654.49541368025643</c:v>
                </c:pt>
                <c:pt idx="67" formatCode="General">
                  <c:v>670.73825620717037</c:v>
                </c:pt>
                <c:pt idx="68">
                  <c:v>687.21336142908399</c:v>
                </c:pt>
                <c:pt idx="69">
                  <c:v>695.53801255066594</c:v>
                </c:pt>
                <c:pt idx="70">
                  <c:v>703.92072934599787</c:v>
                </c:pt>
                <c:pt idx="71">
                  <c:v>720.86035995791167</c:v>
                </c:pt>
                <c:pt idx="72">
                  <c:v>738.03225326482539</c:v>
                </c:pt>
                <c:pt idx="73" formatCode="General">
                  <c:v>755.43640926673902</c:v>
                </c:pt>
                <c:pt idx="74">
                  <c:v>773.0728279636528</c:v>
                </c:pt>
                <c:pt idx="75">
                  <c:v>781.97813582273466</c:v>
                </c:pt>
                <c:pt idx="76">
                  <c:v>790.94150935556661</c:v>
                </c:pt>
                <c:pt idx="77" formatCode="General">
                  <c:v>809.04245344248045</c:v>
                </c:pt>
                <c:pt idx="78">
                  <c:v>827.3756602243941</c:v>
                </c:pt>
                <c:pt idx="79">
                  <c:v>845.94112970130789</c:v>
                </c:pt>
                <c:pt idx="80">
                  <c:v>864.73886187322159</c:v>
                </c:pt>
                <c:pt idx="81">
                  <c:v>874.22482646980359</c:v>
                </c:pt>
                <c:pt idx="82">
                  <c:v>883.76885674013545</c:v>
                </c:pt>
                <c:pt idx="83" formatCode="General">
                  <c:v>903.03111430204922</c:v>
                </c:pt>
                <c:pt idx="84">
                  <c:v>922.52563455896279</c:v>
                </c:pt>
                <c:pt idx="85">
                  <c:v>942.25241751087663</c:v>
                </c:pt>
                <c:pt idx="86">
                  <c:v>962.21146315779049</c:v>
                </c:pt>
                <c:pt idx="87" formatCode="General">
                  <c:v>972.27808449187228</c:v>
                </c:pt>
                <c:pt idx="88">
                  <c:v>982.40277149970416</c:v>
                </c:pt>
                <c:pt idx="89">
                  <c:v>1002.8263425366179</c:v>
                </c:pt>
                <c:pt idx="90">
                  <c:v>1023.4821762685317</c:v>
                </c:pt>
                <c:pt idx="91">
                  <c:v>1044.3702726954455</c:v>
                </c:pt>
                <c:pt idx="92">
                  <c:v>1065.4906318173594</c:v>
                </c:pt>
                <c:pt idx="93" formatCode="General">
                  <c:v>1076.1379098889411</c:v>
                </c:pt>
                <c:pt idx="94">
                  <c:v>1086.843253634273</c:v>
                </c:pt>
                <c:pt idx="95">
                  <c:v>1108.4281381461867</c:v>
                </c:pt>
                <c:pt idx="96">
                  <c:v>1130.2452853531004</c:v>
                </c:pt>
                <c:pt idx="97" formatCode="General">
                  <c:v>1152.2946952550142</c:v>
                </c:pt>
                <c:pt idx="98">
                  <c:v>1174.5763678519281</c:v>
                </c:pt>
                <c:pt idx="99">
                  <c:v>1185.8043026610101</c:v>
                </c:pt>
                <c:pt idx="100">
                  <c:v>1197.0903031438415</c:v>
                </c:pt>
                <c:pt idx="101">
                  <c:v>1219.8365011307553</c:v>
                </c:pt>
                <c:pt idx="102">
                  <c:v>1242.8149618126693</c:v>
                </c:pt>
                <c:pt idx="103" formatCode="General">
                  <c:v>1266.0256851895829</c:v>
                </c:pt>
                <c:pt idx="104">
                  <c:v>1289.4686712614966</c:v>
                </c:pt>
                <c:pt idx="105">
                  <c:v>1301.2772628080786</c:v>
                </c:pt>
                <c:pt idx="106">
                  <c:v>1313.1439200284105</c:v>
                </c:pt>
                <c:pt idx="107" formatCode="General">
                  <c:v>1337.0514314903241</c:v>
                </c:pt>
                <c:pt idx="108">
                  <c:v>1361.1912056472381</c:v>
                </c:pt>
                <c:pt idx="109">
                  <c:v>1422.5567903301476</c:v>
                </c:pt>
                <c:pt idx="110">
                  <c:v>1485.3740168568067</c:v>
                </c:pt>
                <c:pt idx="111">
                  <c:v>1549.6428852272161</c:v>
                </c:pt>
                <c:pt idx="112">
                  <c:v>1615.3633954413758</c:v>
                </c:pt>
                <c:pt idx="113" formatCode="General">
                  <c:v>1682.535547499285</c:v>
                </c:pt>
                <c:pt idx="114">
                  <c:v>1751.1593414009444</c:v>
                </c:pt>
                <c:pt idx="115">
                  <c:v>1821.2347771463537</c:v>
                </c:pt>
                <c:pt idx="116">
                  <c:v>1892.7618547355128</c:v>
                </c:pt>
                <c:pt idx="117" formatCode="General">
                  <c:v>1965.7405741684227</c:v>
                </c:pt>
                <c:pt idx="118">
                  <c:v>2040.1709354450818</c:v>
                </c:pt>
                <c:pt idx="119">
                  <c:v>2116.0529385654909</c:v>
                </c:pt>
                <c:pt idx="120">
                  <c:v>2193.386583529651</c:v>
                </c:pt>
                <c:pt idx="121">
                  <c:v>2272.1718703375604</c:v>
                </c:pt>
                <c:pt idx="122">
                  <c:v>2352.4087989892196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19-4C62-99C5-2FA31B034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978495"/>
        <c:axId val="250978975"/>
      </c:lineChart>
      <c:lineChart>
        <c:grouping val="standard"/>
        <c:varyColors val="0"/>
        <c:ser>
          <c:idx val="4"/>
          <c:order val="4"/>
          <c:tx>
            <c:strRef>
              <c:f>'Resistencia aerodinámica con Rr'!$P$20</c:f>
              <c:strCache>
                <c:ptCount val="1"/>
                <c:pt idx="0">
                  <c:v>Potencia necesaria (CV)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'Resistencia aerodinámica con Rr'!$P$21:$P$143</c:f>
              <c:numCache>
                <c:formatCode>0.00</c:formatCode>
                <c:ptCount val="123"/>
                <c:pt idx="0">
                  <c:v>0</c:v>
                </c:pt>
                <c:pt idx="1">
                  <c:v>9.1108913180140222E-2</c:v>
                </c:pt>
                <c:pt idx="2">
                  <c:v>0.18773188752250411</c:v>
                </c:pt>
                <c:pt idx="3" formatCode="General">
                  <c:v>0.23827337102496199</c:v>
                </c:pt>
                <c:pt idx="4">
                  <c:v>0.29038803789250639</c:v>
                </c:pt>
                <c:pt idx="5">
                  <c:v>0.39959647915556207</c:v>
                </c:pt>
                <c:pt idx="6">
                  <c:v>0.5158763261770859</c:v>
                </c:pt>
                <c:pt idx="7" formatCode="General">
                  <c:v>0.63974669382249261</c:v>
                </c:pt>
                <c:pt idx="8">
                  <c:v>0.7717266969571972</c:v>
                </c:pt>
                <c:pt idx="9">
                  <c:v>0.84092003522847847</c:v>
                </c:pt>
                <c:pt idx="10">
                  <c:v>0.91233545044661479</c:v>
                </c:pt>
                <c:pt idx="11">
                  <c:v>1.0620920691561591</c:v>
                </c:pt>
                <c:pt idx="12">
                  <c:v>1.2215156679512464</c:v>
                </c:pt>
                <c:pt idx="13" formatCode="General">
                  <c:v>1.3911253616972903</c:v>
                </c:pt>
                <c:pt idx="14">
                  <c:v>1.5714402652597068</c:v>
                </c:pt>
                <c:pt idx="15">
                  <c:v>1.6657743941174965</c:v>
                </c:pt>
                <c:pt idx="16">
                  <c:v>1.7629794935039098</c:v>
                </c:pt>
                <c:pt idx="17" formatCode="General">
                  <c:v>1.9662621612953144</c:v>
                </c:pt>
                <c:pt idx="18">
                  <c:v>2.1818073834993363</c:v>
                </c:pt>
                <c:pt idx="19">
                  <c:v>2.4101342749813881</c:v>
                </c:pt>
                <c:pt idx="20">
                  <c:v>2.651761950606887</c:v>
                </c:pt>
                <c:pt idx="21">
                  <c:v>2.7777258058688696</c:v>
                </c:pt>
                <c:pt idx="22">
                  <c:v>2.9072095252412464</c:v>
                </c:pt>
                <c:pt idx="23" formatCode="General">
                  <c:v>3.1769961137498819</c:v>
                </c:pt>
                <c:pt idx="24">
                  <c:v>3.4616408309982076</c:v>
                </c:pt>
                <c:pt idx="25">
                  <c:v>3.7616627918516388</c:v>
                </c:pt>
                <c:pt idx="26">
                  <c:v>4.0775811111755917</c:v>
                </c:pt>
                <c:pt idx="27" formatCode="General">
                  <c:v>4.2416636286594533</c:v>
                </c:pt>
                <c:pt idx="28">
                  <c:v>4.4099149038354772</c:v>
                </c:pt>
                <c:pt idx="29">
                  <c:v>4.7591832846967153</c:v>
                </c:pt>
                <c:pt idx="30">
                  <c:v>5.1259053686247178</c:v>
                </c:pt>
                <c:pt idx="31">
                  <c:v>5.5106002704848986</c:v>
                </c:pt>
                <c:pt idx="32">
                  <c:v>5.9137871051426742</c:v>
                </c:pt>
                <c:pt idx="33" formatCode="General">
                  <c:v>6.1224772206661005</c:v>
                </c:pt>
                <c:pt idx="34">
                  <c:v>6.3359849874634611</c:v>
                </c:pt>
                <c:pt idx="35">
                  <c:v>6.7777130323126684</c:v>
                </c:pt>
                <c:pt idx="36">
                  <c:v>7.239490354555719</c:v>
                </c:pt>
                <c:pt idx="37" formatCode="General">
                  <c:v>7.7218360690580186</c:v>
                </c:pt>
                <c:pt idx="38">
                  <c:v>8.2252692906849916</c:v>
                </c:pt>
                <c:pt idx="39">
                  <c:v>8.4850559400656671</c:v>
                </c:pt>
                <c:pt idx="40">
                  <c:v>8.7503091343020447</c:v>
                </c:pt>
                <c:pt idx="41">
                  <c:v>9.297474714774598</c:v>
                </c:pt>
                <c:pt idx="42">
                  <c:v>9.8672851469680616</c:v>
                </c:pt>
                <c:pt idx="43" formatCode="General">
                  <c:v>10.460259545747855</c:v>
                </c:pt>
                <c:pt idx="44">
                  <c:v>11.076917025979393</c:v>
                </c:pt>
                <c:pt idx="45">
                  <c:v>11.394289145035007</c:v>
                </c:pt>
                <c:pt idx="46">
                  <c:v>11.71777670252809</c:v>
                </c:pt>
                <c:pt idx="47" formatCode="General">
                  <c:v>12.383357690259356</c:v>
                </c:pt>
                <c:pt idx="48">
                  <c:v>13.074179104038608</c:v>
                </c:pt>
                <c:pt idx="49">
                  <c:v>13.790760058731266</c:v>
                </c:pt>
                <c:pt idx="50">
                  <c:v>14.533619669202738</c:v>
                </c:pt>
                <c:pt idx="51">
                  <c:v>14.915066193750972</c:v>
                </c:pt>
                <c:pt idx="52">
                  <c:v>15.303277050318442</c:v>
                </c:pt>
                <c:pt idx="53" formatCode="General">
                  <c:v>16.100251316943794</c:v>
                </c:pt>
                <c:pt idx="54">
                  <c:v>16.92506158394421</c:v>
                </c:pt>
                <c:pt idx="55">
                  <c:v>17.778226966185095</c:v>
                </c:pt>
                <c:pt idx="56">
                  <c:v>18.660266578531878</c:v>
                </c:pt>
                <c:pt idx="57" formatCode="General">
                  <c:v>19.112276444390421</c:v>
                </c:pt>
                <c:pt idx="58">
                  <c:v>19.571699535849962</c:v>
                </c:pt>
                <c:pt idx="59">
                  <c:v>20.513044953004773</c:v>
                </c:pt>
                <c:pt idx="60">
                  <c:v>21.484821944861718</c:v>
                </c:pt>
                <c:pt idx="61">
                  <c:v>22.487549626286206</c:v>
                </c:pt>
                <c:pt idx="62">
                  <c:v>23.521747112143672</c:v>
                </c:pt>
                <c:pt idx="63" formatCode="General">
                  <c:v>24.050809255130204</c:v>
                </c:pt>
                <c:pt idx="64">
                  <c:v>24.587933517299501</c:v>
                </c:pt>
                <c:pt idx="65">
                  <c:v>25.686627956619144</c:v>
                </c:pt>
                <c:pt idx="66">
                  <c:v>26.81834954496798</c:v>
                </c:pt>
                <c:pt idx="67" formatCode="General">
                  <c:v>27.983617397211454</c:v>
                </c:pt>
                <c:pt idx="68">
                  <c:v>29.182950628214954</c:v>
                </c:pt>
                <c:pt idx="69">
                  <c:v>29.795553984147169</c:v>
                </c:pt>
                <c:pt idx="70">
                  <c:v>30.416868352843927</c:v>
                </c:pt>
                <c:pt idx="71">
                  <c:v>31.685889685963762</c:v>
                </c:pt>
                <c:pt idx="72">
                  <c:v>32.990533742439872</c:v>
                </c:pt>
                <c:pt idx="73" formatCode="General">
                  <c:v>34.331319637137682</c:v>
                </c:pt>
                <c:pt idx="74">
                  <c:v>35.708766484922606</c:v>
                </c:pt>
                <c:pt idx="75">
                  <c:v>36.411399989618182</c:v>
                </c:pt>
                <c:pt idx="76">
                  <c:v>37.123393400660071</c:v>
                </c:pt>
                <c:pt idx="77" formatCode="General">
                  <c:v>38.575719499215474</c:v>
                </c:pt>
                <c:pt idx="78">
                  <c:v>40.06626389545422</c:v>
                </c:pt>
                <c:pt idx="79">
                  <c:v>41.595545704241758</c:v>
                </c:pt>
                <c:pt idx="80">
                  <c:v>43.164084040443477</c:v>
                </c:pt>
                <c:pt idx="81">
                  <c:v>43.9632366297201</c:v>
                </c:pt>
                <c:pt idx="82">
                  <c:v>44.772398018924797</c:v>
                </c:pt>
                <c:pt idx="83" formatCode="General">
                  <c:v>46.421006754551136</c:v>
                </c:pt>
                <c:pt idx="84">
                  <c:v>48.110429362187894</c:v>
                </c:pt>
                <c:pt idx="85">
                  <c:v>49.841184956700516</c:v>
                </c:pt>
                <c:pt idx="86">
                  <c:v>51.613792652954409</c:v>
                </c:pt>
                <c:pt idx="87" formatCode="General">
                  <c:v>52.515953262629758</c:v>
                </c:pt>
                <c:pt idx="88">
                  <c:v>53.428771565814969</c:v>
                </c:pt>
                <c:pt idx="89">
                  <c:v>55.286640810147603</c:v>
                </c:pt>
                <c:pt idx="90">
                  <c:v>57.187919500817763</c:v>
                </c:pt>
                <c:pt idx="91">
                  <c:v>59.133126752690849</c:v>
                </c:pt>
                <c:pt idx="92">
                  <c:v>61.122781680632265</c:v>
                </c:pt>
                <c:pt idx="93" formatCode="General">
                  <c:v>62.134439246524032</c:v>
                </c:pt>
                <c:pt idx="94">
                  <c:v>63.157403399507423</c:v>
                </c:pt>
                <c:pt idx="95">
                  <c:v>65.237511024181742</c:v>
                </c:pt>
                <c:pt idx="96">
                  <c:v>67.363623669520649</c:v>
                </c:pt>
                <c:pt idx="97" formatCode="General">
                  <c:v>69.536260450389562</c:v>
                </c:pt>
                <c:pt idx="98">
                  <c:v>71.755940481653894</c:v>
                </c:pt>
                <c:pt idx="99">
                  <c:v>72.883583939579779</c:v>
                </c:pt>
                <c:pt idx="100">
                  <c:v>74.023182878179</c:v>
                </c:pt>
                <c:pt idx="101">
                  <c:v>76.338506754830391</c:v>
                </c:pt>
                <c:pt idx="102">
                  <c:v>78.702431226473436</c:v>
                </c:pt>
                <c:pt idx="103" formatCode="General">
                  <c:v>81.115475407973534</c:v>
                </c:pt>
                <c:pt idx="104">
                  <c:v>83.578158414196125</c:v>
                </c:pt>
                <c:pt idx="105">
                  <c:v>84.828276699973799</c:v>
                </c:pt>
                <c:pt idx="106">
                  <c:v>86.09099936000662</c:v>
                </c:pt>
                <c:pt idx="107" formatCode="General">
                  <c:v>88.654517360270404</c:v>
                </c:pt>
                <c:pt idx="108">
                  <c:v>91.269231529852973</c:v>
                </c:pt>
                <c:pt idx="109">
                  <c:v>98.033406885883025</c:v>
                </c:pt>
                <c:pt idx="110">
                  <c:v>105.12891393783607</c:v>
                </c:pt>
                <c:pt idx="111">
                  <c:v>112.56386385548423</c:v>
                </c:pt>
                <c:pt idx="112">
                  <c:v>120.34636780859965</c:v>
                </c:pt>
                <c:pt idx="113" formatCode="General">
                  <c:v>128.48453696695435</c:v>
                </c:pt>
                <c:pt idx="114">
                  <c:v>136.98648250032051</c:v>
                </c:pt>
                <c:pt idx="115">
                  <c:v>145.86031557847019</c:v>
                </c:pt>
                <c:pt idx="116">
                  <c:v>155.11414737117551</c:v>
                </c:pt>
                <c:pt idx="117" formatCode="General">
                  <c:v>164.75608904820865</c:v>
                </c:pt>
                <c:pt idx="118">
                  <c:v>174.79425177934158</c:v>
                </c:pt>
                <c:pt idx="119">
                  <c:v>185.23674673434644</c:v>
                </c:pt>
                <c:pt idx="120">
                  <c:v>196.09168508299553</c:v>
                </c:pt>
                <c:pt idx="121">
                  <c:v>207.3671779950607</c:v>
                </c:pt>
                <c:pt idx="122">
                  <c:v>219.07133664031412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5F-4CB6-8DF3-1D9113E4A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401824"/>
        <c:axId val="530401464"/>
      </c:lineChart>
      <c:catAx>
        <c:axId val="25097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0978975"/>
        <c:crosses val="autoZero"/>
        <c:auto val="1"/>
        <c:lblAlgn val="ctr"/>
        <c:lblOffset val="100"/>
        <c:noMultiLvlLbl val="0"/>
      </c:catAx>
      <c:valAx>
        <c:axId val="25097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0978495"/>
        <c:crosses val="autoZero"/>
        <c:crossBetween val="between"/>
      </c:valAx>
      <c:valAx>
        <c:axId val="530401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401824"/>
        <c:crosses val="max"/>
        <c:crossBetween val="between"/>
      </c:valAx>
      <c:catAx>
        <c:axId val="530401824"/>
        <c:scaling>
          <c:orientation val="minMax"/>
        </c:scaling>
        <c:delete val="1"/>
        <c:axPos val="b"/>
        <c:majorTickMark val="out"/>
        <c:minorTickMark val="none"/>
        <c:tickLblPos val="nextTo"/>
        <c:crossAx val="530401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Curva de par/potencia original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Prestaciones!$C$2</c:f>
              <c:strCache>
                <c:ptCount val="1"/>
                <c:pt idx="0">
                  <c:v>CV</c:v>
                </c:pt>
              </c:strCache>
            </c:strRef>
          </c:tx>
          <c:spPr>
            <a:ln w="19050" cap="rnd">
              <a:solidFill>
                <a:srgbClr val="CC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00"/>
              </a:solidFill>
              <a:ln w="9525">
                <a:solidFill>
                  <a:srgbClr val="CC0000"/>
                </a:solidFill>
              </a:ln>
              <a:effectLst/>
            </c:spPr>
          </c:marker>
          <c:xVal>
            <c:numRef>
              <c:f>Prestaciones!$B$3:$B$19</c:f>
              <c:numCache>
                <c:formatCode>General</c:formatCode>
                <c:ptCount val="17"/>
                <c:pt idx="0">
                  <c:v>1000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2750</c:v>
                </c:pt>
                <c:pt idx="8">
                  <c:v>3000</c:v>
                </c:pt>
                <c:pt idx="9">
                  <c:v>3250</c:v>
                </c:pt>
                <c:pt idx="10">
                  <c:v>3500</c:v>
                </c:pt>
                <c:pt idx="11">
                  <c:v>3750</c:v>
                </c:pt>
                <c:pt idx="12">
                  <c:v>4000</c:v>
                </c:pt>
                <c:pt idx="13">
                  <c:v>4250</c:v>
                </c:pt>
                <c:pt idx="14">
                  <c:v>4500</c:v>
                </c:pt>
                <c:pt idx="15">
                  <c:v>4750</c:v>
                </c:pt>
                <c:pt idx="16">
                  <c:v>5000</c:v>
                </c:pt>
              </c:numCache>
            </c:numRef>
          </c:xVal>
          <c:yVal>
            <c:numRef>
              <c:f>Prestaciones!$C$3:$C$19</c:f>
              <c:numCache>
                <c:formatCode>General</c:formatCode>
                <c:ptCount val="17"/>
                <c:pt idx="0">
                  <c:v>13</c:v>
                </c:pt>
                <c:pt idx="1">
                  <c:v>19</c:v>
                </c:pt>
                <c:pt idx="2">
                  <c:v>38</c:v>
                </c:pt>
                <c:pt idx="3">
                  <c:v>56</c:v>
                </c:pt>
                <c:pt idx="4">
                  <c:v>66</c:v>
                </c:pt>
                <c:pt idx="5">
                  <c:v>72</c:v>
                </c:pt>
                <c:pt idx="6">
                  <c:v>79</c:v>
                </c:pt>
                <c:pt idx="7">
                  <c:v>86</c:v>
                </c:pt>
                <c:pt idx="8">
                  <c:v>93</c:v>
                </c:pt>
                <c:pt idx="9">
                  <c:v>99</c:v>
                </c:pt>
                <c:pt idx="10">
                  <c:v>105</c:v>
                </c:pt>
                <c:pt idx="11">
                  <c:v>108</c:v>
                </c:pt>
                <c:pt idx="12">
                  <c:v>110</c:v>
                </c:pt>
                <c:pt idx="13">
                  <c:v>110</c:v>
                </c:pt>
                <c:pt idx="14">
                  <c:v>106</c:v>
                </c:pt>
                <c:pt idx="15">
                  <c:v>99</c:v>
                </c:pt>
                <c:pt idx="16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7-4504-A231-6F787587A2AF}"/>
            </c:ext>
          </c:extLst>
        </c:ser>
        <c:ser>
          <c:idx val="1"/>
          <c:order val="1"/>
          <c:tx>
            <c:strRef>
              <c:f>Prestaciones!$D$2</c:f>
              <c:strCache>
                <c:ptCount val="1"/>
                <c:pt idx="0">
                  <c:v>Par (N/m)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Prestaciones!$B$3:$B$19</c:f>
              <c:numCache>
                <c:formatCode>General</c:formatCode>
                <c:ptCount val="17"/>
                <c:pt idx="0">
                  <c:v>1000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2750</c:v>
                </c:pt>
                <c:pt idx="8">
                  <c:v>3000</c:v>
                </c:pt>
                <c:pt idx="9">
                  <c:v>3250</c:v>
                </c:pt>
                <c:pt idx="10">
                  <c:v>3500</c:v>
                </c:pt>
                <c:pt idx="11">
                  <c:v>3750</c:v>
                </c:pt>
                <c:pt idx="12">
                  <c:v>4000</c:v>
                </c:pt>
                <c:pt idx="13">
                  <c:v>4250</c:v>
                </c:pt>
                <c:pt idx="14">
                  <c:v>4500</c:v>
                </c:pt>
                <c:pt idx="15">
                  <c:v>4750</c:v>
                </c:pt>
                <c:pt idx="16">
                  <c:v>5000</c:v>
                </c:pt>
              </c:numCache>
            </c:numRef>
          </c:xVal>
          <c:yVal>
            <c:numRef>
              <c:f>Prestaciones!$D$3:$D$19</c:f>
              <c:numCache>
                <c:formatCode>General</c:formatCode>
                <c:ptCount val="17"/>
                <c:pt idx="0">
                  <c:v>88</c:v>
                </c:pt>
                <c:pt idx="1">
                  <c:v>106</c:v>
                </c:pt>
                <c:pt idx="2">
                  <c:v>178</c:v>
                </c:pt>
                <c:pt idx="3">
                  <c:v>223</c:v>
                </c:pt>
                <c:pt idx="4">
                  <c:v>231</c:v>
                </c:pt>
                <c:pt idx="5">
                  <c:v>225</c:v>
                </c:pt>
                <c:pt idx="6">
                  <c:v>221</c:v>
                </c:pt>
                <c:pt idx="7">
                  <c:v>220</c:v>
                </c:pt>
                <c:pt idx="8">
                  <c:v>218</c:v>
                </c:pt>
                <c:pt idx="9">
                  <c:v>215</c:v>
                </c:pt>
                <c:pt idx="10">
                  <c:v>210</c:v>
                </c:pt>
                <c:pt idx="11">
                  <c:v>203</c:v>
                </c:pt>
                <c:pt idx="12">
                  <c:v>193</c:v>
                </c:pt>
                <c:pt idx="13">
                  <c:v>181</c:v>
                </c:pt>
                <c:pt idx="14">
                  <c:v>166</c:v>
                </c:pt>
                <c:pt idx="15">
                  <c:v>147</c:v>
                </c:pt>
                <c:pt idx="16">
                  <c:v>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C7-4504-A231-6F787587A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478016"/>
        <c:axId val="769475136"/>
      </c:scatterChart>
      <c:valAx>
        <c:axId val="76947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9475136"/>
        <c:crosses val="autoZero"/>
        <c:crossBetween val="midCat"/>
      </c:valAx>
      <c:valAx>
        <c:axId val="76947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947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Curva de par/potencia polinómica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Prestaciones!$C$2</c:f>
              <c:strCache>
                <c:ptCount val="1"/>
                <c:pt idx="0">
                  <c:v>CV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00"/>
              </a:solidFill>
              <a:ln w="9525">
                <a:solidFill>
                  <a:srgbClr val="CC0000"/>
                </a:solidFill>
              </a:ln>
              <a:effectLst/>
            </c:spPr>
          </c:marker>
          <c:xVal>
            <c:numRef>
              <c:f>Prestaciones!$M$3:$M$19</c:f>
              <c:numCache>
                <c:formatCode>General</c:formatCode>
                <c:ptCount val="17"/>
                <c:pt idx="0">
                  <c:v>1000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2750</c:v>
                </c:pt>
                <c:pt idx="8">
                  <c:v>3000</c:v>
                </c:pt>
                <c:pt idx="9">
                  <c:v>3250</c:v>
                </c:pt>
                <c:pt idx="10">
                  <c:v>3500</c:v>
                </c:pt>
                <c:pt idx="11">
                  <c:v>3750</c:v>
                </c:pt>
                <c:pt idx="12">
                  <c:v>4000</c:v>
                </c:pt>
                <c:pt idx="13">
                  <c:v>4250</c:v>
                </c:pt>
                <c:pt idx="14">
                  <c:v>4500</c:v>
                </c:pt>
                <c:pt idx="15">
                  <c:v>4750</c:v>
                </c:pt>
                <c:pt idx="16">
                  <c:v>5000</c:v>
                </c:pt>
              </c:numCache>
            </c:numRef>
          </c:xVal>
          <c:yVal>
            <c:numRef>
              <c:f>Prestaciones!$N$3:$N$19</c:f>
              <c:numCache>
                <c:formatCode>General</c:formatCode>
                <c:ptCount val="17"/>
                <c:pt idx="0">
                  <c:v>10.024767801857806</c:v>
                </c:pt>
                <c:pt idx="1">
                  <c:v>25.001676986584414</c:v>
                </c:pt>
                <c:pt idx="2">
                  <c:v>39.010061919504921</c:v>
                </c:pt>
                <c:pt idx="3">
                  <c:v>51.678405572755622</c:v>
                </c:pt>
                <c:pt idx="4">
                  <c:v>62.850003969199136</c:v>
                </c:pt>
                <c:pt idx="5">
                  <c:v>72.530870445344249</c:v>
                </c:pt>
                <c:pt idx="6">
                  <c:v>80.837639914265438</c:v>
                </c:pt>
                <c:pt idx="7">
                  <c:v>87.945473128522821</c:v>
                </c:pt>
                <c:pt idx="8">
                  <c:v>94.035960943081932</c:v>
                </c:pt>
                <c:pt idx="9">
                  <c:v>99.245028578233132</c:v>
                </c:pt>
                <c:pt idx="10">
                  <c:v>103.61083988251193</c:v>
                </c:pt>
                <c:pt idx="11">
                  <c:v>107.02170159561823</c:v>
                </c:pt>
                <c:pt idx="12">
                  <c:v>109.16396761133606</c:v>
                </c:pt>
                <c:pt idx="13">
                  <c:v>109.46994324045397</c:v>
                </c:pt>
                <c:pt idx="14">
                  <c:v>107.06578947368382</c:v>
                </c:pt>
                <c:pt idx="15">
                  <c:v>100.71942724458154</c:v>
                </c:pt>
                <c:pt idx="16">
                  <c:v>88.78844169246608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FF-4938-B99A-4E267BA1C10B}"/>
            </c:ext>
          </c:extLst>
        </c:ser>
        <c:ser>
          <c:idx val="1"/>
          <c:order val="1"/>
          <c:tx>
            <c:strRef>
              <c:f>Prestaciones!$D$2</c:f>
              <c:strCache>
                <c:ptCount val="1"/>
                <c:pt idx="0">
                  <c:v>Par (N/m)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Prestaciones!$M$3:$M$19</c:f>
              <c:numCache>
                <c:formatCode>General</c:formatCode>
                <c:ptCount val="17"/>
                <c:pt idx="0">
                  <c:v>1000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2750</c:v>
                </c:pt>
                <c:pt idx="8">
                  <c:v>3000</c:v>
                </c:pt>
                <c:pt idx="9">
                  <c:v>3250</c:v>
                </c:pt>
                <c:pt idx="10">
                  <c:v>3500</c:v>
                </c:pt>
                <c:pt idx="11">
                  <c:v>3750</c:v>
                </c:pt>
                <c:pt idx="12">
                  <c:v>4000</c:v>
                </c:pt>
                <c:pt idx="13">
                  <c:v>4250</c:v>
                </c:pt>
                <c:pt idx="14">
                  <c:v>4500</c:v>
                </c:pt>
                <c:pt idx="15">
                  <c:v>4750</c:v>
                </c:pt>
                <c:pt idx="16">
                  <c:v>5000</c:v>
                </c:pt>
              </c:numCache>
            </c:numRef>
          </c:xVal>
          <c:yVal>
            <c:numRef>
              <c:f>Prestaciones!$O$3:$O$19</c:f>
              <c:numCache>
                <c:formatCode>General</c:formatCode>
                <c:ptCount val="17"/>
                <c:pt idx="0">
                  <c:v>71.385473937590831</c:v>
                </c:pt>
                <c:pt idx="1">
                  <c:v>142.42776261340495</c:v>
                </c:pt>
                <c:pt idx="2">
                  <c:v>185.19143874451623</c:v>
                </c:pt>
                <c:pt idx="3">
                  <c:v>210.28417085511109</c:v>
                </c:pt>
                <c:pt idx="4">
                  <c:v>223.77462545762336</c:v>
                </c:pt>
                <c:pt idx="5">
                  <c:v>229.54925969068853</c:v>
                </c:pt>
                <c:pt idx="6">
                  <c:v>230.25503837432424</c:v>
                </c:pt>
                <c:pt idx="7">
                  <c:v>227.72794176228589</c:v>
                </c:pt>
                <c:pt idx="8">
                  <c:v>223.20721941824451</c:v>
                </c:pt>
                <c:pt idx="9">
                  <c:v>217.45075768757394</c:v>
                </c:pt>
                <c:pt idx="10">
                  <c:v>210.80100396694493</c:v>
                </c:pt>
                <c:pt idx="11">
                  <c:v>203.22452126608016</c:v>
                </c:pt>
                <c:pt idx="12">
                  <c:v>194.33670980885165</c:v>
                </c:pt>
                <c:pt idx="13">
                  <c:v>183.41780336340366</c:v>
                </c:pt>
                <c:pt idx="14">
                  <c:v>169.42353346223229</c:v>
                </c:pt>
                <c:pt idx="15">
                  <c:v>150.99242597382195</c:v>
                </c:pt>
                <c:pt idx="16">
                  <c:v>126.45090870278779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FF-4938-B99A-4E267BA1C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478016"/>
        <c:axId val="769475136"/>
      </c:scatterChart>
      <c:valAx>
        <c:axId val="76947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9475136"/>
        <c:crosses val="autoZero"/>
        <c:crossBetween val="midCat"/>
      </c:valAx>
      <c:valAx>
        <c:axId val="76947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947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Prestaciones!$Z$3:$Z$92</c:f>
              <c:numCache>
                <c:formatCode>General</c:formatCode>
                <c:ptCount val="9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</c:numCache>
            </c:numRef>
          </c:cat>
          <c:val>
            <c:numRef>
              <c:f>Prestaciones!$AF$3:$AF$92</c:f>
              <c:numCache>
                <c:formatCode>0.00</c:formatCode>
                <c:ptCount val="90"/>
                <c:pt idx="0">
                  <c:v>0.13089633725846966</c:v>
                </c:pt>
                <c:pt idx="1">
                  <c:v>0.26186898886766707</c:v>
                </c:pt>
                <c:pt idx="2">
                  <c:v>0.39292316343840383</c:v>
                </c:pt>
                <c:pt idx="3">
                  <c:v>0.52406408887478884</c:v>
                </c:pt>
                <c:pt idx="4">
                  <c:v>0.85025758875006741</c:v>
                </c:pt>
                <c:pt idx="5">
                  <c:v>1.0094370922904909</c:v>
                </c:pt>
                <c:pt idx="6">
                  <c:v>1.1408698499062331</c:v>
                </c:pt>
                <c:pt idx="7">
                  <c:v>1.2723026075219752</c:v>
                </c:pt>
                <c:pt idx="8">
                  <c:v>1.4038432462755985</c:v>
                </c:pt>
                <c:pt idx="9">
                  <c:v>1.5354398278498138</c:v>
                </c:pt>
                <c:pt idx="10">
                  <c:v>1.6672122873695474</c:v>
                </c:pt>
                <c:pt idx="11">
                  <c:v>1.7991087421884433</c:v>
                </c:pt>
                <c:pt idx="12">
                  <c:v>1.9311346216532668</c:v>
                </c:pt>
                <c:pt idx="13">
                  <c:v>2.0632953864063284</c:v>
                </c:pt>
                <c:pt idx="14">
                  <c:v>2.19545615115939</c:v>
                </c:pt>
                <c:pt idx="15">
                  <c:v>2.3276864164644011</c:v>
                </c:pt>
                <c:pt idx="16">
                  <c:v>2.4599875598612524</c:v>
                </c:pt>
                <c:pt idx="17">
                  <c:v>2.592586078675795</c:v>
                </c:pt>
                <c:pt idx="18">
                  <c:v>2.7253416669656758</c:v>
                </c:pt>
                <c:pt idx="19">
                  <c:v>2.8992263049175362</c:v>
                </c:pt>
                <c:pt idx="20">
                  <c:v>3.072898373401165</c:v>
                </c:pt>
                <c:pt idx="21">
                  <c:v>3.246367177102266</c:v>
                </c:pt>
                <c:pt idx="22">
                  <c:v>3.4211852475540097</c:v>
                </c:pt>
                <c:pt idx="23">
                  <c:v>3.5971225984445083</c:v>
                </c:pt>
                <c:pt idx="24">
                  <c:v>3.7758017978585832</c:v>
                </c:pt>
                <c:pt idx="25">
                  <c:v>3.9565012477808934</c:v>
                </c:pt>
                <c:pt idx="26">
                  <c:v>4.1400155651571096</c:v>
                </c:pt>
                <c:pt idx="27">
                  <c:v>4.3261630149136625</c:v>
                </c:pt>
                <c:pt idx="28">
                  <c:v>4.5153169052129565</c:v>
                </c:pt>
                <c:pt idx="29">
                  <c:v>4.7081290211177427</c:v>
                </c:pt>
                <c:pt idx="30">
                  <c:v>4.9047955579526281</c:v>
                </c:pt>
                <c:pt idx="31">
                  <c:v>5.1067341362663514</c:v>
                </c:pt>
                <c:pt idx="32">
                  <c:v>5.3129767299708588</c:v>
                </c:pt>
                <c:pt idx="33">
                  <c:v>5.5254520620408973</c:v>
                </c:pt>
                <c:pt idx="34">
                  <c:v>5.8101596842771794</c:v>
                </c:pt>
                <c:pt idx="35">
                  <c:v>6.095913042788867</c:v>
                </c:pt>
                <c:pt idx="36">
                  <c:v>6.3848761798552562</c:v>
                </c:pt>
                <c:pt idx="37">
                  <c:v>6.6770287035210725</c:v>
                </c:pt>
                <c:pt idx="38">
                  <c:v>6.9733321907494359</c:v>
                </c:pt>
                <c:pt idx="39">
                  <c:v>7.2726842759445134</c:v>
                </c:pt>
                <c:pt idx="40">
                  <c:v>7.5761552017934903</c:v>
                </c:pt>
                <c:pt idx="41">
                  <c:v>7.8847616256960391</c:v>
                </c:pt>
                <c:pt idx="42">
                  <c:v>8.1957911394683833</c:v>
                </c:pt>
                <c:pt idx="43">
                  <c:v>8.5118093212927022</c:v>
                </c:pt>
                <c:pt idx="44">
                  <c:v>8.8347689931880637</c:v>
                </c:pt>
                <c:pt idx="45">
                  <c:v>9.1616371670919428</c:v>
                </c:pt>
                <c:pt idx="46">
                  <c:v>9.4946718697467691</c:v>
                </c:pt>
                <c:pt idx="47">
                  <c:v>9.8341445932282436</c:v>
                </c:pt>
                <c:pt idx="48">
                  <c:v>10.178636427130757</c:v>
                </c:pt>
                <c:pt idx="49">
                  <c:v>10.530987286367978</c:v>
                </c:pt>
                <c:pt idx="50">
                  <c:v>10.891547057029193</c:v>
                </c:pt>
                <c:pt idx="51">
                  <c:v>11.258464128685802</c:v>
                </c:pt>
                <c:pt idx="52">
                  <c:v>11.638622869993309</c:v>
                </c:pt>
                <c:pt idx="53">
                  <c:v>12.115781141473784</c:v>
                </c:pt>
                <c:pt idx="54">
                  <c:v>12.600250553560414</c:v>
                </c:pt>
                <c:pt idx="55">
                  <c:v>13.092868369039826</c:v>
                </c:pt>
                <c:pt idx="56">
                  <c:v>13.589394598067559</c:v>
                </c:pt>
                <c:pt idx="57">
                  <c:v>14.094506462428345</c:v>
                </c:pt>
                <c:pt idx="58">
                  <c:v>14.604060847836804</c:v>
                </c:pt>
                <c:pt idx="59">
                  <c:v>15.128658494741096</c:v>
                </c:pt>
                <c:pt idx="60">
                  <c:v>15.663873426256323</c:v>
                </c:pt>
                <c:pt idx="61">
                  <c:v>16.210233252981428</c:v>
                </c:pt>
                <c:pt idx="62">
                  <c:v>16.765176522681074</c:v>
                </c:pt>
                <c:pt idx="63">
                  <c:v>17.326704556151132</c:v>
                </c:pt>
                <c:pt idx="64">
                  <c:v>17.898194967416508</c:v>
                </c:pt>
                <c:pt idx="65">
                  <c:v>18.483493654389289</c:v>
                </c:pt>
                <c:pt idx="66">
                  <c:v>19.094293535738245</c:v>
                </c:pt>
                <c:pt idx="67">
                  <c:v>19.718579701825856</c:v>
                </c:pt>
                <c:pt idx="68">
                  <c:v>20.356955908617937</c:v>
                </c:pt>
                <c:pt idx="69">
                  <c:v>21.010104652584779</c:v>
                </c:pt>
                <c:pt idx="70">
                  <c:v>21.673950513906103</c:v>
                </c:pt>
                <c:pt idx="71">
                  <c:v>22.357187718928625</c:v>
                </c:pt>
                <c:pt idx="72">
                  <c:v>23.205793490305236</c:v>
                </c:pt>
                <c:pt idx="73">
                  <c:v>24.09365512856435</c:v>
                </c:pt>
                <c:pt idx="74">
                  <c:v>25.000109957723438</c:v>
                </c:pt>
                <c:pt idx="75">
                  <c:v>25.926017259062398</c:v>
                </c:pt>
                <c:pt idx="76">
                  <c:v>26.882847790161549</c:v>
                </c:pt>
                <c:pt idx="77">
                  <c:v>27.850486339226862</c:v>
                </c:pt>
                <c:pt idx="78">
                  <c:v>28.851752032166836</c:v>
                </c:pt>
                <c:pt idx="79">
                  <c:v>29.892286553933729</c:v>
                </c:pt>
                <c:pt idx="80">
                  <c:v>30.989446262711272</c:v>
                </c:pt>
                <c:pt idx="81">
                  <c:v>32.118248136413875</c:v>
                </c:pt>
                <c:pt idx="82">
                  <c:v>33.297669792425467</c:v>
                </c:pt>
                <c:pt idx="83">
                  <c:v>34.532919019097008</c:v>
                </c:pt>
                <c:pt idx="84">
                  <c:v>35.778936208277976</c:v>
                </c:pt>
                <c:pt idx="85">
                  <c:v>37.104770951314876</c:v>
                </c:pt>
                <c:pt idx="86">
                  <c:v>38.507248919690959</c:v>
                </c:pt>
                <c:pt idx="87">
                  <c:v>39.996435667298492</c:v>
                </c:pt>
                <c:pt idx="88">
                  <c:v>41.584510782148875</c:v>
                </c:pt>
                <c:pt idx="89">
                  <c:v>41.584510782148875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B-40E8-A52A-DDCBE79A3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373088"/>
        <c:axId val="597376328"/>
      </c:lineChart>
      <c:lineChart>
        <c:grouping val="standard"/>
        <c:varyColors val="0"/>
        <c:ser>
          <c:idx val="1"/>
          <c:order val="1"/>
          <c:tx>
            <c:v>Distancia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Prestaciones!$AH$3:$AH$92</c:f>
              <c:numCache>
                <c:formatCode>0.00</c:formatCode>
                <c:ptCount val="90"/>
                <c:pt idx="0">
                  <c:v>0</c:v>
                </c:pt>
                <c:pt idx="1">
                  <c:v>7.2762584227331895E-2</c:v>
                </c:pt>
                <c:pt idx="2">
                  <c:v>0.21837833375037277</c:v>
                </c:pt>
                <c:pt idx="3">
                  <c:v>0.43694654281101442</c:v>
                </c:pt>
                <c:pt idx="4">
                  <c:v>1.1618209869783001</c:v>
                </c:pt>
                <c:pt idx="5">
                  <c:v>1.6039862745905875</c:v>
                </c:pt>
                <c:pt idx="6">
                  <c:v>2.0420954666430609</c:v>
                </c:pt>
                <c:pt idx="7">
                  <c:v>2.5532228573709466</c:v>
                </c:pt>
                <c:pt idx="8">
                  <c:v>3.1378479184981609</c:v>
                </c:pt>
                <c:pt idx="9">
                  <c:v>3.7958308263692375</c:v>
                </c:pt>
                <c:pt idx="10">
                  <c:v>4.5279000459233139</c:v>
                </c:pt>
                <c:pt idx="11">
                  <c:v>5.3339339364832341</c:v>
                </c:pt>
                <c:pt idx="12">
                  <c:v>6.2141064662487233</c:v>
                </c:pt>
                <c:pt idx="13">
                  <c:v>7.1686008783541686</c:v>
                </c:pt>
                <c:pt idx="14">
                  <c:v>8.1965179375446482</c:v>
                </c:pt>
                <c:pt idx="15">
                  <c:v>9.2984368150864096</c:v>
                </c:pt>
                <c:pt idx="16">
                  <c:v>10.474446978613978</c:v>
                </c:pt>
                <c:pt idx="17">
                  <c:v>11.726766322973548</c:v>
                </c:pt>
                <c:pt idx="18">
                  <c:v>13.054322205872356</c:v>
                </c:pt>
                <c:pt idx="19">
                  <c:v>14.889771162030881</c:v>
                </c:pt>
                <c:pt idx="20">
                  <c:v>16.819460811848977</c:v>
                </c:pt>
                <c:pt idx="21">
                  <c:v>18.843263521695153</c:v>
                </c:pt>
                <c:pt idx="22">
                  <c:v>20.979928827216465</c:v>
                </c:pt>
                <c:pt idx="23">
                  <c:v>23.228017199706169</c:v>
                </c:pt>
                <c:pt idx="24">
                  <c:v>25.61040652522717</c:v>
                </c:pt>
                <c:pt idx="25">
                  <c:v>28.120121107481477</c:v>
                </c:pt>
                <c:pt idx="26">
                  <c:v>30.770883469582373</c:v>
                </c:pt>
                <c:pt idx="27">
                  <c:v>33.563095215930673</c:v>
                </c:pt>
                <c:pt idx="28">
                  <c:v>36.505489065030808</c:v>
                </c:pt>
                <c:pt idx="29">
                  <c:v>39.611906487941248</c:v>
                </c:pt>
                <c:pt idx="30">
                  <c:v>42.88968210185601</c:v>
                </c:pt>
                <c:pt idx="31">
                  <c:v>46.367513172814583</c:v>
                </c:pt>
                <c:pt idx="32">
                  <c:v>50.034048172005825</c:v>
                </c:pt>
                <c:pt idx="33">
                  <c:v>53.929429259956528</c:v>
                </c:pt>
                <c:pt idx="34">
                  <c:v>59.307239902197416</c:v>
                </c:pt>
                <c:pt idx="35">
                  <c:v>64.863555206591343</c:v>
                </c:pt>
                <c:pt idx="36">
                  <c:v>70.642817947919127</c:v>
                </c:pt>
                <c:pt idx="37">
                  <c:v>76.64817537882756</c:v>
                </c:pt>
                <c:pt idx="38">
                  <c:v>82.903471220315225</c:v>
                </c:pt>
                <c:pt idx="39">
                  <c:v>89.389433066208568</c:v>
                </c:pt>
                <c:pt idx="40">
                  <c:v>96.133231418408059</c:v>
                </c:pt>
                <c:pt idx="41">
                  <c:v>103.16259996285501</c:v>
                </c:pt>
                <c:pt idx="42">
                  <c:v>110.41995528420972</c:v>
                </c:pt>
                <c:pt idx="43">
                  <c:v>117.96927851667955</c:v>
                </c:pt>
                <c:pt idx="44">
                  <c:v>125.86384827412172</c:v>
                </c:pt>
                <c:pt idx="45">
                  <c:v>134.03555262171867</c:v>
                </c:pt>
                <c:pt idx="46">
                  <c:v>142.546439467342</c:v>
                </c:pt>
                <c:pt idx="47">
                  <c:v>151.41044946935824</c:v>
                </c:pt>
                <c:pt idx="48">
                  <c:v>160.59689837342523</c:v>
                </c:pt>
                <c:pt idx="49">
                  <c:v>170.18867176377182</c:v>
                </c:pt>
                <c:pt idx="50">
                  <c:v>180.20422094880558</c:v>
                </c:pt>
                <c:pt idx="51">
                  <c:v>190.60020464574282</c:v>
                </c:pt>
                <c:pt idx="52">
                  <c:v>201.58256828351526</c:v>
                </c:pt>
                <c:pt idx="53">
                  <c:v>215.63222849932922</c:v>
                </c:pt>
                <c:pt idx="54">
                  <c:v>230.16631086192814</c:v>
                </c:pt>
                <c:pt idx="55">
                  <c:v>245.21852189046572</c:v>
                </c:pt>
                <c:pt idx="56">
                  <c:v>260.66600457132853</c:v>
                </c:pt>
                <c:pt idx="57">
                  <c:v>276.66121360942009</c:v>
                </c:pt>
                <c:pt idx="58">
                  <c:v>293.0801882503593</c:v>
                </c:pt>
                <c:pt idx="59">
                  <c:v>310.27533334333333</c:v>
                </c:pt>
                <c:pt idx="60">
                  <c:v>328.11583106050756</c:v>
                </c:pt>
                <c:pt idx="61">
                  <c:v>346.63135852174725</c:v>
                </c:pt>
                <c:pt idx="62">
                  <c:v>365.74607114473503</c:v>
                </c:pt>
                <c:pt idx="63">
                  <c:v>385.399552316187</c:v>
                </c:pt>
                <c:pt idx="64">
                  <c:v>405.71921138340036</c:v>
                </c:pt>
                <c:pt idx="65">
                  <c:v>426.85499730186189</c:v>
                </c:pt>
                <c:pt idx="66">
                  <c:v>449.25099295132367</c:v>
                </c:pt>
                <c:pt idx="67">
                  <c:v>472.48831135569588</c:v>
                </c:pt>
                <c:pt idx="68">
                  <c:v>496.60474583450792</c:v>
                </c:pt>
                <c:pt idx="69">
                  <c:v>521.64211435323682</c:v>
                </c:pt>
                <c:pt idx="70">
                  <c:v>547.45834229351055</c:v>
                </c:pt>
                <c:pt idx="71">
                  <c:v>574.40825426939898</c:v>
                </c:pt>
                <c:pt idx="72">
                  <c:v>608.35248512446344</c:v>
                </c:pt>
                <c:pt idx="73">
                  <c:v>644.36020712052755</c:v>
                </c:pt>
                <c:pt idx="74">
                  <c:v>681.62557231929009</c:v>
                </c:pt>
                <c:pt idx="75">
                  <c:v>720.20504320841337</c:v>
                </c:pt>
                <c:pt idx="76">
                  <c:v>760.60455452148858</c:v>
                </c:pt>
                <c:pt idx="77">
                  <c:v>801.99798134261584</c:v>
                </c:pt>
                <c:pt idx="78">
                  <c:v>845.38616137001475</c:v>
                </c:pt>
                <c:pt idx="79">
                  <c:v>891.05406538089505</c:v>
                </c:pt>
                <c:pt idx="80">
                  <c:v>939.81671910434147</c:v>
                </c:pt>
                <c:pt idx="81">
                  <c:v>990.61280342095858</c:v>
                </c:pt>
                <c:pt idx="82">
                  <c:v>1044.3420121948197</c:v>
                </c:pt>
                <c:pt idx="83">
                  <c:v>1101.3007265357853</c:v>
                </c:pt>
                <c:pt idx="84">
                  <c:v>1159.4481953642305</c:v>
                </c:pt>
                <c:pt idx="85">
                  <c:v>1222.0570582298617</c:v>
                </c:pt>
                <c:pt idx="86">
                  <c:v>1289.0643389411634</c:v>
                </c:pt>
                <c:pt idx="87">
                  <c:v>1361.0416984088606</c:v>
                </c:pt>
                <c:pt idx="88">
                  <c:v>1438.6809262459903</c:v>
                </c:pt>
                <c:pt idx="89">
                  <c:v>1438.6809262459903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7B-40E8-A52A-DDCBE79A3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763976"/>
        <c:axId val="756762896"/>
      </c:lineChart>
      <c:catAx>
        <c:axId val="59737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7376328"/>
        <c:crosses val="autoZero"/>
        <c:auto val="1"/>
        <c:lblAlgn val="ctr"/>
        <c:lblOffset val="100"/>
        <c:noMultiLvlLbl val="0"/>
      </c:catAx>
      <c:valAx>
        <c:axId val="59737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7373088"/>
        <c:crosses val="autoZero"/>
        <c:crossBetween val="between"/>
      </c:valAx>
      <c:valAx>
        <c:axId val="75676289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6763976"/>
        <c:crosses val="max"/>
        <c:crossBetween val="between"/>
      </c:valAx>
      <c:catAx>
        <c:axId val="756763976"/>
        <c:scaling>
          <c:orientation val="minMax"/>
        </c:scaling>
        <c:delete val="1"/>
        <c:axPos val="b"/>
        <c:majorTickMark val="out"/>
        <c:minorTickMark val="none"/>
        <c:tickLblPos val="nextTo"/>
        <c:crossAx val="756762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752475</xdr:colOff>
      <xdr:row>19</xdr:row>
      <xdr:rowOff>180975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9ECABEEA-6E5E-42AC-ACAA-FC909D610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761999</xdr:colOff>
      <xdr:row>1</xdr:row>
      <xdr:rowOff>0</xdr:rowOff>
    </xdr:from>
    <xdr:to>
      <xdr:col>20</xdr:col>
      <xdr:colOff>9524</xdr:colOff>
      <xdr:row>20</xdr:row>
      <xdr:rowOff>7934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1299296-6384-5F28-74DA-B1526C495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96399" y="190500"/>
          <a:ext cx="6105525" cy="36274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15</xdr:col>
      <xdr:colOff>0</xdr:colOff>
      <xdr:row>14</xdr:row>
      <xdr:rowOff>100012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573AE8D-7464-43B9-A9D6-724BB9BA7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14</xdr:col>
      <xdr:colOff>1047750</xdr:colOff>
      <xdr:row>30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A1002D0-59FA-4D6A-A63C-2428C5CCC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32</xdr:row>
      <xdr:rowOff>0</xdr:rowOff>
    </xdr:from>
    <xdr:to>
      <xdr:col>14</xdr:col>
      <xdr:colOff>1047750</xdr:colOff>
      <xdr:row>46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BC6663B-AA2D-4F19-92B3-A0531CC401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5601</xdr:colOff>
      <xdr:row>36</xdr:row>
      <xdr:rowOff>186016</xdr:rowOff>
    </xdr:from>
    <xdr:to>
      <xdr:col>6</xdr:col>
      <xdr:colOff>750793</xdr:colOff>
      <xdr:row>55</xdr:row>
      <xdr:rowOff>179293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572BA4-280B-2983-1F49-D747E2FC7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37</xdr:row>
      <xdr:rowOff>5194</xdr:rowOff>
    </xdr:from>
    <xdr:to>
      <xdr:col>15</xdr:col>
      <xdr:colOff>0</xdr:colOff>
      <xdr:row>56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37C6FE3-1C89-D6D4-C032-AD55AA3D5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</xdr:row>
      <xdr:rowOff>23812</xdr:rowOff>
    </xdr:from>
    <xdr:ext cx="1879810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5926B7D-0AAD-82C0-D25C-3DBDDEA04C74}"/>
                </a:ext>
              </a:extLst>
            </xdr:cNvPr>
            <xdr:cNvSpPr txBox="1"/>
          </xdr:nvSpPr>
          <xdr:spPr>
            <a:xfrm>
              <a:off x="5267325" y="214312"/>
              <a:ext cx="187981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sSub>
                          <m:sSubPr>
                            <m:ctrlPr>
                              <a:rPr lang="es-E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𝑓𝑟𝑜𝑛𝑡𝑎𝑙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5926B7D-0AAD-82C0-D25C-3DBDDEA04C74}"/>
                </a:ext>
              </a:extLst>
            </xdr:cNvPr>
            <xdr:cNvSpPr txBox="1"/>
          </xdr:nvSpPr>
          <xdr:spPr>
            <a:xfrm>
              <a:off x="5267325" y="214312"/>
              <a:ext cx="187981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𝐹_(𝑋_𝑎 )=1/2∗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𝜌∗𝐶_𝑥∗𝐴_𝑓𝑟𝑜𝑛𝑡𝑎𝑙∗𝑉^2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5</xdr:col>
      <xdr:colOff>142875</xdr:colOff>
      <xdr:row>1</xdr:row>
      <xdr:rowOff>376237</xdr:rowOff>
    </xdr:from>
    <xdr:ext cx="184999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5FA3085D-E603-4EDC-B7F6-BBCF7AD73576}"/>
                </a:ext>
              </a:extLst>
            </xdr:cNvPr>
            <xdr:cNvSpPr txBox="1"/>
          </xdr:nvSpPr>
          <xdr:spPr>
            <a:xfrm>
              <a:off x="5324475" y="566737"/>
              <a:ext cx="184999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+mn-lt"/>
                </a:rPr>
                <a:t>Potencia</a:t>
              </a:r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𝑓𝑢𝑒𝑟𝑧𝑎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𝑥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𝑣𝑒𝑙𝑜𝑐𝑖𝑑𝑎𝑑</m:t>
                  </m:r>
                </m:oMath>
              </a14:m>
              <a:endParaRPr lang="es-ES" sz="1100" b="0" i="0">
                <a:latin typeface="+mn-lt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5FA3085D-E603-4EDC-B7F6-BBCF7AD73576}"/>
                </a:ext>
              </a:extLst>
            </xdr:cNvPr>
            <xdr:cNvSpPr txBox="1"/>
          </xdr:nvSpPr>
          <xdr:spPr>
            <a:xfrm>
              <a:off x="5324475" y="566737"/>
              <a:ext cx="184999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+mn-lt"/>
                </a:rPr>
                <a:t>Potencia</a:t>
              </a:r>
              <a:r>
                <a:rPr lang="es-ES" sz="1100" b="0" i="0">
                  <a:latin typeface="Cambria Math" panose="02040503050406030204" pitchFamily="18" charset="0"/>
                </a:rPr>
                <a:t>=𝑓𝑢𝑒𝑟𝑧𝑎 𝑥 𝑣𝑒𝑙𝑜𝑐𝑖𝑑𝑎𝑑</a:t>
              </a:r>
              <a:endParaRPr lang="es-ES" sz="1100" b="0" i="0">
                <a:latin typeface="+mn-lt"/>
              </a:endParaRPr>
            </a:p>
          </xdr:txBody>
        </xdr:sp>
      </mc:Fallback>
    </mc:AlternateContent>
    <xdr:clientData/>
  </xdr:oneCellAnchor>
  <xdr:twoCellAnchor>
    <xdr:from>
      <xdr:col>4</xdr:col>
      <xdr:colOff>9525</xdr:colOff>
      <xdr:row>4</xdr:row>
      <xdr:rowOff>14287</xdr:rowOff>
    </xdr:from>
    <xdr:to>
      <xdr:col>10</xdr:col>
      <xdr:colOff>9525</xdr:colOff>
      <xdr:row>16</xdr:row>
      <xdr:rowOff>33337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4720FA0-F89A-F167-783C-9C0FC6573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</xdr:colOff>
      <xdr:row>10</xdr:row>
      <xdr:rowOff>23812</xdr:rowOff>
    </xdr:from>
    <xdr:ext cx="3397084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5FFB1DB-4FC8-4CD2-400B-AACBA9B4B368}"/>
                </a:ext>
              </a:extLst>
            </xdr:cNvPr>
            <xdr:cNvSpPr txBox="1"/>
          </xdr:nvSpPr>
          <xdr:spPr>
            <a:xfrm>
              <a:off x="8582025" y="1928812"/>
              <a:ext cx="3397084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𝑇𝑟𝑎𝑐𝑐𝑖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ó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𝑑𝑒𝑙𝑎𝑛𝑡𝑒𝑟𝑎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→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𝑑𝑒𝑙𝑎𝑛𝑡𝑒𝑟𝑎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𝑐𝑜𝑠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5FFB1DB-4FC8-4CD2-400B-AACBA9B4B368}"/>
                </a:ext>
              </a:extLst>
            </xdr:cNvPr>
            <xdr:cNvSpPr txBox="1"/>
          </xdr:nvSpPr>
          <xdr:spPr>
            <a:xfrm>
              <a:off x="8582025" y="1928812"/>
              <a:ext cx="3397084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𝑇𝑟𝑎𝑐𝑐𝑖ó𝑛 𝑑𝑒𝑙𝑎𝑛𝑡𝑒𝑟𝑎 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→𝐹_(𝜏 𝑑𝑒𝑙𝑎𝑛𝑡𝑒𝑟𝑎)=(𝑃𝜇(𝑙_2+ℎ𝑓_𝑟))/(𝐿+𝜇ℎ) 𝑐𝑜𝑠𝜃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7</xdr:col>
      <xdr:colOff>28575</xdr:colOff>
      <xdr:row>12</xdr:row>
      <xdr:rowOff>114300</xdr:rowOff>
    </xdr:from>
    <xdr:ext cx="3128357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6B984CD-7903-43C1-B047-AE73F2188B7E}"/>
                </a:ext>
              </a:extLst>
            </xdr:cNvPr>
            <xdr:cNvSpPr txBox="1"/>
          </xdr:nvSpPr>
          <xdr:spPr>
            <a:xfrm>
              <a:off x="8572500" y="2400300"/>
              <a:ext cx="3128357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𝑇𝑟𝑎𝑐𝑐𝑖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ó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𝑡𝑟𝑎𝑠𝑒𝑟𝑎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→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𝑡𝑟𝑎𝑠𝑒𝑟𝑎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𝑐𝑜𝑠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6B984CD-7903-43C1-B047-AE73F2188B7E}"/>
                </a:ext>
              </a:extLst>
            </xdr:cNvPr>
            <xdr:cNvSpPr txBox="1"/>
          </xdr:nvSpPr>
          <xdr:spPr>
            <a:xfrm>
              <a:off x="8572500" y="2400300"/>
              <a:ext cx="3128357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𝑇𝑟𝑎𝑐𝑐𝑖ó𝑛 𝑡𝑟𝑎𝑠𝑒𝑟𝑎 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→𝐹_(𝜏 𝑡𝑟𝑎𝑠𝑒𝑟𝑎)=(𝑃𝜇(𝑙_1−ℎ𝑓_𝑟))/(𝐿−𝜇ℎ) 𝑐𝑜𝑠𝜃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15</xdr:row>
      <xdr:rowOff>0</xdr:rowOff>
    </xdr:from>
    <xdr:ext cx="220772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F9F0D17-7463-40AD-A262-FEC9AE381C3C}"/>
                </a:ext>
              </a:extLst>
            </xdr:cNvPr>
            <xdr:cNvSpPr txBox="1"/>
          </xdr:nvSpPr>
          <xdr:spPr>
            <a:xfrm>
              <a:off x="8543925" y="2857500"/>
              <a:ext cx="22077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𝑇𝑟𝑎𝑐𝑐𝑖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ó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𝑡𝑜𝑡𝑎𝑙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→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𝑡𝑜𝑡𝑎𝑙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𝑃𝑐𝑜𝑠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F9F0D17-7463-40AD-A262-FEC9AE381C3C}"/>
                </a:ext>
              </a:extLst>
            </xdr:cNvPr>
            <xdr:cNvSpPr txBox="1"/>
          </xdr:nvSpPr>
          <xdr:spPr>
            <a:xfrm>
              <a:off x="8543925" y="2857500"/>
              <a:ext cx="22077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𝑇𝑟𝑎𝑐𝑐𝑖ó𝑛 𝑡𝑜𝑡𝑎𝑙 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→𝐹_(𝜏 𝑡𝑜𝑡𝑎𝑙)=𝜇𝑃𝑐𝑜𝑠𝜃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10</xdr:col>
      <xdr:colOff>963146</xdr:colOff>
      <xdr:row>12</xdr:row>
      <xdr:rowOff>89366</xdr:rowOff>
    </xdr:from>
    <xdr:ext cx="1726242" cy="3204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0C7F742-C65B-F3C9-3F78-B7D342F20D18}"/>
                </a:ext>
              </a:extLst>
            </xdr:cNvPr>
            <xdr:cNvSpPr txBox="1"/>
          </xdr:nvSpPr>
          <xdr:spPr>
            <a:xfrm>
              <a:off x="12359528" y="2375366"/>
              <a:ext cx="1726242" cy="320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E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𝑜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f>
                          <m:f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num>
                          <m:den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100</m:t>
                            </m:r>
                          </m:den>
                        </m:f>
                        <m:sSup>
                          <m:sSup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𝑃𝑐𝑜𝑠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0C7F742-C65B-F3C9-3F78-B7D342F20D18}"/>
                </a:ext>
              </a:extLst>
            </xdr:cNvPr>
            <xdr:cNvSpPr txBox="1"/>
          </xdr:nvSpPr>
          <xdr:spPr>
            <a:xfrm>
              <a:off x="12359528" y="2375366"/>
              <a:ext cx="1726242" cy="320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𝑅_</a:t>
              </a:r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</a:t>
              </a:r>
              <a:r>
                <a:rPr lang="es-ES" sz="1100" b="0" i="0">
                  <a:latin typeface="Cambria Math" panose="02040503050406030204" pitchFamily="18" charset="0"/>
                </a:rPr>
                <a:t>=(𝑓_𝑜+𝑓_𝑣 (𝑉/100 )^𝑛 )𝑃𝑐𝑜𝑠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endParaRPr lang="es-ES" sz="1100"/>
            </a:p>
          </xdr:txBody>
        </xdr:sp>
      </mc:Fallback>
    </mc:AlternateContent>
    <xdr:clientData/>
  </xdr:oneCellAnchor>
  <xdr:twoCellAnchor>
    <xdr:from>
      <xdr:col>0</xdr:col>
      <xdr:colOff>47623</xdr:colOff>
      <xdr:row>20</xdr:row>
      <xdr:rowOff>2721</xdr:rowOff>
    </xdr:from>
    <xdr:to>
      <xdr:col>4</xdr:col>
      <xdr:colOff>1170214</xdr:colOff>
      <xdr:row>86</xdr:row>
      <xdr:rowOff>81643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F246280-DA77-7553-0804-5258B799B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20</xdr:row>
      <xdr:rowOff>0</xdr:rowOff>
    </xdr:from>
    <xdr:to>
      <xdr:col>7</xdr:col>
      <xdr:colOff>761999</xdr:colOff>
      <xdr:row>31</xdr:row>
      <xdr:rowOff>180975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0AD720D-C8FC-8F59-E556-B5C2D8916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20</xdr:row>
      <xdr:rowOff>0</xdr:rowOff>
    </xdr:from>
    <xdr:to>
      <xdr:col>14</xdr:col>
      <xdr:colOff>752475</xdr:colOff>
      <xdr:row>31</xdr:row>
      <xdr:rowOff>180975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71928CD-10A4-4657-AB56-0E429C72D8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</xdr:colOff>
      <xdr:row>55</xdr:row>
      <xdr:rowOff>9524</xdr:rowOff>
    </xdr:from>
    <xdr:to>
      <xdr:col>22</xdr:col>
      <xdr:colOff>755197</xdr:colOff>
      <xdr:row>76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FAE3C0F-B274-78A0-2E37-EDB217E72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45</xdr:row>
      <xdr:rowOff>9525</xdr:rowOff>
    </xdr:from>
    <xdr:to>
      <xdr:col>13</xdr:col>
      <xdr:colOff>819150</xdr:colOff>
      <xdr:row>54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154146-886C-D906-5668-DE76F7F9A8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0" t="1886" r="1158" b="6658"/>
        <a:stretch/>
      </xdr:blipFill>
      <xdr:spPr>
        <a:xfrm>
          <a:off x="10687050" y="9353550"/>
          <a:ext cx="3228975" cy="2076450"/>
        </a:xfrm>
        <a:prstGeom prst="rect">
          <a:avLst/>
        </a:prstGeom>
      </xdr:spPr>
    </xdr:pic>
    <xdr:clientData/>
  </xdr:twoCellAnchor>
  <xdr:twoCellAnchor>
    <xdr:from>
      <xdr:col>10</xdr:col>
      <xdr:colOff>676275</xdr:colOff>
      <xdr:row>51</xdr:row>
      <xdr:rowOff>180975</xdr:rowOff>
    </xdr:from>
    <xdr:to>
      <xdr:col>12</xdr:col>
      <xdr:colOff>533400</xdr:colOff>
      <xdr:row>52</xdr:row>
      <xdr:rowOff>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5B8F06EF-93B8-CE1E-9913-EC3FDCF86BB8}"/>
            </a:ext>
          </a:extLst>
        </xdr:cNvPr>
        <xdr:cNvCxnSpPr/>
      </xdr:nvCxnSpPr>
      <xdr:spPr>
        <a:xfrm flipV="1">
          <a:off x="11363325" y="10858500"/>
          <a:ext cx="1381125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676275</xdr:colOff>
      <xdr:row>48</xdr:row>
      <xdr:rowOff>76200</xdr:rowOff>
    </xdr:from>
    <xdr:to>
      <xdr:col>10</xdr:col>
      <xdr:colOff>676275</xdr:colOff>
      <xdr:row>52</xdr:row>
      <xdr:rowOff>9525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219E97A4-C448-444B-9634-144E0DBD89D5}"/>
            </a:ext>
          </a:extLst>
        </xdr:cNvPr>
        <xdr:cNvCxnSpPr/>
      </xdr:nvCxnSpPr>
      <xdr:spPr>
        <a:xfrm flipV="1">
          <a:off x="11363325" y="9991725"/>
          <a:ext cx="0" cy="885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47</xdr:row>
      <xdr:rowOff>9524</xdr:rowOff>
    </xdr:from>
    <xdr:to>
      <xdr:col>11</xdr:col>
      <xdr:colOff>76200</xdr:colOff>
      <xdr:row>48</xdr:row>
      <xdr:rowOff>133349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896AF48D-5899-081E-0E20-7A481965F72C}"/>
            </a:ext>
          </a:extLst>
        </xdr:cNvPr>
        <xdr:cNvSpPr txBox="1"/>
      </xdr:nvSpPr>
      <xdr:spPr>
        <a:xfrm>
          <a:off x="11229975" y="9734549"/>
          <a:ext cx="295275" cy="3143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rgbClr val="FF0000"/>
              </a:solidFill>
            </a:rPr>
            <a:t>Z</a:t>
          </a:r>
          <a:endParaRPr lang="es-E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485775</xdr:colOff>
      <xdr:row>51</xdr:row>
      <xdr:rowOff>38100</xdr:rowOff>
    </xdr:from>
    <xdr:to>
      <xdr:col>12</xdr:col>
      <xdr:colOff>781050</xdr:colOff>
      <xdr:row>52</xdr:row>
      <xdr:rowOff>161925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2E2C1D8F-5E8F-43C4-B40A-809709B36693}"/>
            </a:ext>
          </a:extLst>
        </xdr:cNvPr>
        <xdr:cNvSpPr txBox="1"/>
      </xdr:nvSpPr>
      <xdr:spPr>
        <a:xfrm>
          <a:off x="12696825" y="10715625"/>
          <a:ext cx="295275" cy="3143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rgbClr val="FF0000"/>
              </a:solidFill>
            </a:rPr>
            <a:t>X</a:t>
          </a:r>
          <a:endParaRPr lang="es-E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13</xdr:col>
      <xdr:colOff>762000</xdr:colOff>
      <xdr:row>45</xdr:row>
      <xdr:rowOff>9526</xdr:rowOff>
    </xdr:from>
    <xdr:to>
      <xdr:col>17</xdr:col>
      <xdr:colOff>9525</xdr:colOff>
      <xdr:row>54</xdr:row>
      <xdr:rowOff>187276</xdr:rowOff>
    </xdr:to>
    <xdr:pic>
      <xdr:nvPicPr>
        <xdr:cNvPr id="12" name="Imagen 11" descr="NISSAN Sunny (1991) - 5990 € en León | Coches.net">
          <a:extLst>
            <a:ext uri="{FF2B5EF4-FFF2-40B4-BE49-F238E27FC236}">
              <a16:creationId xmlns:a16="http://schemas.microsoft.com/office/drawing/2014/main" id="{E10A6D6D-2214-69EF-B5D5-F6C63F7ADC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36" r="5829"/>
        <a:stretch/>
      </xdr:blipFill>
      <xdr:spPr bwMode="auto">
        <a:xfrm>
          <a:off x="13858875" y="9353551"/>
          <a:ext cx="2400300" cy="208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285750</xdr:colOff>
      <xdr:row>48</xdr:row>
      <xdr:rowOff>142875</xdr:rowOff>
    </xdr:from>
    <xdr:to>
      <xdr:col>15</xdr:col>
      <xdr:colOff>285750</xdr:colOff>
      <xdr:row>52</xdr:row>
      <xdr:rowOff>76200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250ADBF6-5676-4538-B247-1DD7858FEBCE}"/>
            </a:ext>
          </a:extLst>
        </xdr:cNvPr>
        <xdr:cNvCxnSpPr/>
      </xdr:nvCxnSpPr>
      <xdr:spPr>
        <a:xfrm flipV="1">
          <a:off x="15011400" y="10058400"/>
          <a:ext cx="0" cy="885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47</xdr:row>
      <xdr:rowOff>19049</xdr:rowOff>
    </xdr:from>
    <xdr:to>
      <xdr:col>15</xdr:col>
      <xdr:colOff>447675</xdr:colOff>
      <xdr:row>48</xdr:row>
      <xdr:rowOff>142874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73EF9A2D-80F3-4ACC-A801-B8BDB6AF75DE}"/>
            </a:ext>
          </a:extLst>
        </xdr:cNvPr>
        <xdr:cNvSpPr txBox="1"/>
      </xdr:nvSpPr>
      <xdr:spPr>
        <a:xfrm>
          <a:off x="14878050" y="9744074"/>
          <a:ext cx="295275" cy="3143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rgbClr val="FF0000"/>
              </a:solidFill>
            </a:rPr>
            <a:t>Z</a:t>
          </a:r>
          <a:endParaRPr lang="es-E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314325</xdr:colOff>
      <xdr:row>52</xdr:row>
      <xdr:rowOff>76200</xdr:rowOff>
    </xdr:from>
    <xdr:to>
      <xdr:col>15</xdr:col>
      <xdr:colOff>276225</xdr:colOff>
      <xdr:row>52</xdr:row>
      <xdr:rowOff>76200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22FEB764-51AA-45B9-B546-82B8202F2C4F}"/>
            </a:ext>
          </a:extLst>
        </xdr:cNvPr>
        <xdr:cNvCxnSpPr/>
      </xdr:nvCxnSpPr>
      <xdr:spPr>
        <a:xfrm flipH="1">
          <a:off x="14277975" y="10944225"/>
          <a:ext cx="7239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51</xdr:row>
      <xdr:rowOff>76200</xdr:rowOff>
    </xdr:from>
    <xdr:to>
      <xdr:col>14</xdr:col>
      <xdr:colOff>342900</xdr:colOff>
      <xdr:row>53</xdr:row>
      <xdr:rowOff>9525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DC51A4E7-A156-406A-A348-214603981F60}"/>
            </a:ext>
          </a:extLst>
        </xdr:cNvPr>
        <xdr:cNvSpPr txBox="1"/>
      </xdr:nvSpPr>
      <xdr:spPr>
        <a:xfrm>
          <a:off x="14011275" y="10753725"/>
          <a:ext cx="295275" cy="3143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rgbClr val="FF0000"/>
              </a:solidFill>
            </a:rPr>
            <a:t>Y</a:t>
          </a:r>
          <a:endParaRPr lang="es-ES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247650</xdr:colOff>
      <xdr:row>1</xdr:row>
      <xdr:rowOff>19050</xdr:rowOff>
    </xdr:from>
    <xdr:ext cx="1531620" cy="1740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DB89C7D-85BA-4BD2-9775-AD2BD5A9D9CA}"/>
                </a:ext>
              </a:extLst>
            </xdr:cNvPr>
            <xdr:cNvSpPr txBox="1"/>
          </xdr:nvSpPr>
          <xdr:spPr>
            <a:xfrm>
              <a:off x="5619750" y="209550"/>
              <a:ext cx="1531620" cy="174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𝑠𝑡</m:t>
                        </m:r>
                      </m:sub>
                    </m:sSub>
                    <m:r>
                      <a:rPr lang="es-ES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∗(2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𝑊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)²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DB89C7D-85BA-4BD2-9775-AD2BD5A9D9CA}"/>
                </a:ext>
              </a:extLst>
            </xdr:cNvPr>
            <xdr:cNvSpPr txBox="1"/>
          </xdr:nvSpPr>
          <xdr:spPr>
            <a:xfrm>
              <a:off x="5619750" y="209550"/>
              <a:ext cx="1531620" cy="174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𝑘_𝑠𝑡=𝑚_𝑠∗(2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𝜋𝑊𝑛_𝑠)²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5</xdr:col>
      <xdr:colOff>457199</xdr:colOff>
      <xdr:row>4</xdr:row>
      <xdr:rowOff>9525</xdr:rowOff>
    </xdr:from>
    <xdr:ext cx="954405" cy="3490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6400335-66AA-4618-A897-44D1DEEB9CD6}"/>
                </a:ext>
              </a:extLst>
            </xdr:cNvPr>
            <xdr:cNvSpPr txBox="1"/>
          </xdr:nvSpPr>
          <xdr:spPr>
            <a:xfrm>
              <a:off x="5829299" y="771525"/>
              <a:ext cx="954405" cy="349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𝑠𝑡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𝑠𝑡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6400335-66AA-4618-A897-44D1DEEB9CD6}"/>
                </a:ext>
              </a:extLst>
            </xdr:cNvPr>
            <xdr:cNvSpPr txBox="1"/>
          </xdr:nvSpPr>
          <xdr:spPr>
            <a:xfrm>
              <a:off x="5829299" y="771525"/>
              <a:ext cx="954405" cy="349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𝐾_𝑠=(𝑘_𝑠𝑡∗𝑘_𝑡)/(𝑘_𝑡−𝑘_𝑠𝑡 )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5</xdr:col>
      <xdr:colOff>200024</xdr:colOff>
      <xdr:row>7</xdr:row>
      <xdr:rowOff>57150</xdr:rowOff>
    </xdr:from>
    <xdr:ext cx="1552575" cy="3654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AEAC821-7CB3-43DD-B44D-00B6D34403F6}"/>
                </a:ext>
              </a:extLst>
            </xdr:cNvPr>
            <xdr:cNvSpPr txBox="1"/>
          </xdr:nvSpPr>
          <xdr:spPr>
            <a:xfrm>
              <a:off x="5572124" y="1390650"/>
              <a:ext cx="1552575" cy="365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𝑐𝑜𝑚𝑝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2∗</m:t>
                        </m:r>
                        <m:rad>
                          <m:radPr>
                            <m:degHide m:val="on"/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𝑠𝑡</m:t>
                                </m:r>
                              </m:sub>
                            </m:s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sSub>
                              <m:sSub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sub>
                            </m:sSub>
                          </m:e>
                        </m:rad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𝑀𝑅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²</m:t>
                        </m:r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AEAC821-7CB3-43DD-B44D-00B6D34403F6}"/>
                </a:ext>
              </a:extLst>
            </xdr:cNvPr>
            <xdr:cNvSpPr txBox="1"/>
          </xdr:nvSpPr>
          <xdr:spPr>
            <a:xfrm>
              <a:off x="5572124" y="1390650"/>
              <a:ext cx="1552575" cy="365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𝑐_(𝑠 𝑐𝑜𝑚𝑝)=(2∗√(𝑘_𝑠𝑡∗𝑚_𝑠 ))/𝑀𝑅²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5</xdr:col>
      <xdr:colOff>209550</xdr:colOff>
      <xdr:row>9</xdr:row>
      <xdr:rowOff>85725</xdr:rowOff>
    </xdr:from>
    <xdr:ext cx="1714499" cy="3654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9802803-99C7-49F8-B9B1-1150991C81F3}"/>
                </a:ext>
              </a:extLst>
            </xdr:cNvPr>
            <xdr:cNvSpPr txBox="1"/>
          </xdr:nvSpPr>
          <xdr:spPr>
            <a:xfrm>
              <a:off x="5581650" y="1800225"/>
              <a:ext cx="1714499" cy="365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𝑒𝑥𝑡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2∗</m:t>
                        </m:r>
                        <m:rad>
                          <m:radPr>
                            <m:degHide m:val="on"/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sub>
                            </m:s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sub>
                            </m:s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sSub>
                              <m:sSub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sub>
                            </m:sSub>
                          </m:e>
                        </m:rad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𝑀𝑅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²</m:t>
                        </m:r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9802803-99C7-49F8-B9B1-1150991C81F3}"/>
                </a:ext>
              </a:extLst>
            </xdr:cNvPr>
            <xdr:cNvSpPr txBox="1"/>
          </xdr:nvSpPr>
          <xdr:spPr>
            <a:xfrm>
              <a:off x="5581650" y="1800225"/>
              <a:ext cx="1714499" cy="365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𝑐_(𝑠 𝑒𝑥𝑡)=(2∗√(〖(𝑘〗_𝑠+𝑘_(𝑡))∗𝑚_𝑠 ))/𝑀𝑅²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9</xdr:col>
      <xdr:colOff>381000</xdr:colOff>
      <xdr:row>15</xdr:row>
      <xdr:rowOff>19050</xdr:rowOff>
    </xdr:from>
    <xdr:ext cx="866775" cy="3306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131B116-4639-4F3D-9E60-48F8C28DB0C2}"/>
                </a:ext>
              </a:extLst>
            </xdr:cNvPr>
            <xdr:cNvSpPr txBox="1"/>
          </xdr:nvSpPr>
          <xdr:spPr>
            <a:xfrm>
              <a:off x="10801350" y="2876550"/>
              <a:ext cx="866775" cy="3306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𝑟𝑒𝑎𝑙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𝑀</m:t>
                        </m:r>
                        <m:sSup>
                          <m:sSup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131B116-4639-4F3D-9E60-48F8C28DB0C2}"/>
                </a:ext>
              </a:extLst>
            </xdr:cNvPr>
            <xdr:cNvSpPr txBox="1"/>
          </xdr:nvSpPr>
          <xdr:spPr>
            <a:xfrm>
              <a:off x="10801350" y="2876550"/>
              <a:ext cx="866775" cy="3306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𝐾_(𝑠 𝑟𝑒𝑎𝑙)=𝑘_𝑠/(𝑀𝑅^2 )</a:t>
              </a:r>
              <a:endParaRPr lang="es-ES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</xdr:colOff>
      <xdr:row>0</xdr:row>
      <xdr:rowOff>38100</xdr:rowOff>
    </xdr:from>
    <xdr:to>
      <xdr:col>20</xdr:col>
      <xdr:colOff>424310</xdr:colOff>
      <xdr:row>11</xdr:row>
      <xdr:rowOff>16852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DED5D71-E324-5177-7723-FC7518F846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937"/>
        <a:stretch/>
      </xdr:blipFill>
      <xdr:spPr>
        <a:xfrm>
          <a:off x="16630650" y="38100"/>
          <a:ext cx="2691260" cy="2074252"/>
        </a:xfrm>
        <a:prstGeom prst="rect">
          <a:avLst/>
        </a:prstGeom>
      </xdr:spPr>
    </xdr:pic>
    <xdr:clientData/>
  </xdr:twoCellAnchor>
  <xdr:twoCellAnchor editAs="oneCell">
    <xdr:from>
      <xdr:col>18</xdr:col>
      <xdr:colOff>264305</xdr:colOff>
      <xdr:row>11</xdr:row>
      <xdr:rowOff>70073</xdr:rowOff>
    </xdr:from>
    <xdr:to>
      <xdr:col>20</xdr:col>
      <xdr:colOff>304135</xdr:colOff>
      <xdr:row>16</xdr:row>
      <xdr:rowOff>82376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973A90E-6ECD-988A-83A9-B6EB7EB34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37905" y="2165573"/>
          <a:ext cx="1563830" cy="964803"/>
        </a:xfrm>
        <a:prstGeom prst="rect">
          <a:avLst/>
        </a:prstGeom>
      </xdr:spPr>
    </xdr:pic>
    <xdr:clientData/>
  </xdr:twoCellAnchor>
  <xdr:twoCellAnchor editAs="oneCell">
    <xdr:from>
      <xdr:col>17</xdr:col>
      <xdr:colOff>104775</xdr:colOff>
      <xdr:row>19</xdr:row>
      <xdr:rowOff>49795</xdr:rowOff>
    </xdr:from>
    <xdr:to>
      <xdr:col>21</xdr:col>
      <xdr:colOff>428625</xdr:colOff>
      <xdr:row>24</xdr:row>
      <xdr:rowOff>171449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D4886F9-A87D-6D4C-3D71-93F1C1FED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16375" y="3669295"/>
          <a:ext cx="3371850" cy="1655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s://zeperfs.com/es/perfs.php?Action=Fiche" TargetMode="External"/><Relationship Id="rId1" Type="http://schemas.openxmlformats.org/officeDocument/2006/relationships/hyperlink" Target="https://es.kolhosniki.ru/gearbox&amp;code=FF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FCE9-A76D-4D54-96E9-FBCE3426993C}">
  <dimension ref="A1:T3"/>
  <sheetViews>
    <sheetView tabSelected="1" workbookViewId="0">
      <selection activeCell="G28" sqref="G28"/>
    </sheetView>
  </sheetViews>
  <sheetFormatPr baseColWidth="10" defaultRowHeight="15" x14ac:dyDescent="0.25"/>
  <cols>
    <col min="1" max="1" width="13.7109375" customWidth="1"/>
  </cols>
  <sheetData>
    <row r="1" spans="1:20" ht="21" x14ac:dyDescent="0.35">
      <c r="M1" s="195" t="s">
        <v>218</v>
      </c>
      <c r="N1" s="195"/>
      <c r="O1" s="195"/>
      <c r="P1" s="195"/>
      <c r="Q1" s="195"/>
      <c r="R1" s="195"/>
      <c r="S1" s="195"/>
      <c r="T1" s="195"/>
    </row>
    <row r="2" spans="1:20" x14ac:dyDescent="0.25">
      <c r="A2" s="1" t="s">
        <v>82</v>
      </c>
      <c r="B2" s="131">
        <v>6</v>
      </c>
      <c r="C2" s="92" t="s">
        <v>80</v>
      </c>
    </row>
    <row r="3" spans="1:20" x14ac:dyDescent="0.25">
      <c r="A3" s="1" t="s">
        <v>146</v>
      </c>
      <c r="B3" s="131">
        <v>0</v>
      </c>
      <c r="C3" s="92" t="s">
        <v>81</v>
      </c>
    </row>
  </sheetData>
  <mergeCells count="1">
    <mergeCell ref="M1:T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D386-CB41-47A6-A153-1523294E32AB}">
  <dimension ref="B2:AM54"/>
  <sheetViews>
    <sheetView zoomScale="55" zoomScaleNormal="55" zoomScaleSheetLayoutView="80" workbookViewId="0">
      <selection activeCell="X25" sqref="X25"/>
    </sheetView>
  </sheetViews>
  <sheetFormatPr baseColWidth="10" defaultRowHeight="15" x14ac:dyDescent="0.25"/>
  <cols>
    <col min="12" max="12" width="19.140625" customWidth="1"/>
    <col min="13" max="13" width="17" customWidth="1"/>
    <col min="14" max="14" width="16.28515625" customWidth="1"/>
    <col min="15" max="15" width="16.140625" customWidth="1"/>
    <col min="16" max="16" width="11.42578125" customWidth="1"/>
    <col min="17" max="17" width="16.28515625" customWidth="1"/>
    <col min="18" max="18" width="19.140625" customWidth="1"/>
    <col min="19" max="19" width="18.28515625" customWidth="1"/>
    <col min="22" max="22" width="8.42578125" customWidth="1"/>
    <col min="23" max="24" width="18.7109375" customWidth="1"/>
    <col min="25" max="25" width="17.42578125" customWidth="1"/>
    <col min="29" max="29" width="19" customWidth="1"/>
    <col min="30" max="30" width="19.42578125" customWidth="1"/>
    <col min="31" max="31" width="18.85546875" customWidth="1"/>
    <col min="35" max="35" width="20.42578125" customWidth="1"/>
    <col min="36" max="36" width="18.5703125" customWidth="1"/>
  </cols>
  <sheetData>
    <row r="2" spans="2:39" x14ac:dyDescent="0.25">
      <c r="B2" s="199" t="s">
        <v>10</v>
      </c>
      <c r="C2" s="199"/>
      <c r="D2" s="199"/>
      <c r="E2" s="199"/>
      <c r="F2" s="199"/>
      <c r="G2" s="199"/>
      <c r="H2" s="199"/>
      <c r="I2" s="199"/>
      <c r="J2" s="199"/>
      <c r="Q2" s="196" t="s">
        <v>13</v>
      </c>
      <c r="R2" s="196"/>
      <c r="S2" s="196"/>
      <c r="T2" s="196"/>
      <c r="U2" s="196"/>
      <c r="W2" s="196" t="s">
        <v>29</v>
      </c>
      <c r="X2" s="196"/>
      <c r="Y2" s="196"/>
      <c r="Z2" s="196"/>
      <c r="AA2" s="196"/>
      <c r="AC2" s="196" t="s">
        <v>30</v>
      </c>
      <c r="AD2" s="196"/>
      <c r="AE2" s="196"/>
      <c r="AF2" s="196"/>
      <c r="AG2" s="196"/>
      <c r="AI2" s="196" t="s">
        <v>31</v>
      </c>
      <c r="AJ2" s="196"/>
      <c r="AK2" s="196"/>
      <c r="AL2" s="196"/>
      <c r="AM2" s="196"/>
    </row>
    <row r="3" spans="2:39" ht="43.5" customHeight="1" x14ac:dyDescent="0.25">
      <c r="B3" s="1"/>
      <c r="C3" s="3" t="s">
        <v>0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Q3" s="4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W3" s="4" t="s">
        <v>14</v>
      </c>
      <c r="X3" s="3" t="s">
        <v>15</v>
      </c>
      <c r="Y3" s="3" t="s">
        <v>20</v>
      </c>
      <c r="Z3" s="3" t="s">
        <v>21</v>
      </c>
      <c r="AA3" s="3" t="s">
        <v>22</v>
      </c>
      <c r="AC3" s="4" t="s">
        <v>14</v>
      </c>
      <c r="AD3" s="3" t="s">
        <v>15</v>
      </c>
      <c r="AE3" s="3" t="s">
        <v>23</v>
      </c>
      <c r="AF3" s="3" t="s">
        <v>24</v>
      </c>
      <c r="AG3" s="3" t="s">
        <v>25</v>
      </c>
      <c r="AI3" s="4" t="s">
        <v>14</v>
      </c>
      <c r="AJ3" s="3" t="s">
        <v>15</v>
      </c>
      <c r="AK3" s="3" t="s">
        <v>26</v>
      </c>
      <c r="AL3" s="3" t="s">
        <v>27</v>
      </c>
      <c r="AM3" s="3" t="s">
        <v>28</v>
      </c>
    </row>
    <row r="4" spans="2:39" x14ac:dyDescent="0.25">
      <c r="B4" s="200" t="s">
        <v>19</v>
      </c>
      <c r="C4" s="2">
        <v>2</v>
      </c>
      <c r="D4" s="7">
        <v>0.17799999999999999</v>
      </c>
      <c r="E4" s="7">
        <v>1.55</v>
      </c>
      <c r="F4" s="7">
        <v>2193</v>
      </c>
      <c r="G4" s="7">
        <v>0.432</v>
      </c>
      <c r="H4" s="7">
        <v>0</v>
      </c>
      <c r="I4" s="7">
        <v>25</v>
      </c>
      <c r="J4" s="7">
        <v>605</v>
      </c>
      <c r="Q4" s="1">
        <v>0</v>
      </c>
      <c r="R4" s="1">
        <v>0</v>
      </c>
      <c r="S4" s="1">
        <f>$F$4*
SIN($E$4*
ATAN($D$4*
(Q4+$H$4)
-$G$4*
($D$4*(Q4+$H$4)
-ATAN($D$4*(Q4+$H$4)))))
+$I$4</f>
        <v>25</v>
      </c>
      <c r="T4" s="1">
        <f>$F$9*SIN($E$9*ATAN($D$9*(R4+$H$9)-$G$9*($D$9*(R4+$H$9)-ATAN($D$9*(R4+$H$9)))))+$I$9</f>
        <v>-315.78820828548362</v>
      </c>
      <c r="U4" s="1">
        <f>$F$14*SIN($E$14*ATAN($D$14*(R4+$H$14)-$G$14*($D$14*(R4+$H$14)-ATAN($D$14*(R4+$H$14)))))+$I$14</f>
        <v>-7.9543239944461446</v>
      </c>
      <c r="W4" s="1">
        <v>0</v>
      </c>
      <c r="X4" s="1">
        <v>0</v>
      </c>
      <c r="Y4" s="1">
        <f>$F$5*SIN($E$5*ATAN($D$5*(W4+$H$5)-$G$5*($D$5*(W4+$H$5)-ATAN($D$5*(W4+$H$5)))))+$I$5</f>
        <v>70.599999999999994</v>
      </c>
      <c r="Z4" s="1">
        <f t="shared" ref="Z4:Z35" si="0">$F$10*SIN($E$10*ATAN($D$10*(X4+$H$10)-$G$10*($D$10*(X4+$H$10)-ATAN($D$10*(X4+$H$10)))))+$I$10</f>
        <v>-206.86433314016747</v>
      </c>
      <c r="AA4" s="1">
        <f t="shared" ref="AA4:AA35" si="1">$F$15*SIN($E$15*ATAN($D$15*(X4+$H$15)-$G$15*($D$15*(X4+$H$15)-ATAN($D$15*(X4+$H$15)))))+$I$15</f>
        <v>-9.2041240502068469</v>
      </c>
      <c r="AC4" s="1">
        <v>0</v>
      </c>
      <c r="AD4" s="1">
        <v>0</v>
      </c>
      <c r="AE4" s="1">
        <f t="shared" ref="AE4:AE35" si="2">$F$6*SIN($E$6*ATAN($D$6*(AC4+$H$6)-$G$6*($D$6*(AC4+$H$6)-ATAN($D$6*(AC4+$H$6)))))+$I$6</f>
        <v>80.099999999999994</v>
      </c>
      <c r="AF4" s="1">
        <f t="shared" ref="AF4:AF35" si="3">$F$11*SIN($E$11*ATAN($D$11*(AD4+$H$11)-$G$11*($D$11*(AD4+$H$11)-ATAN($D$11*(AD4+$H$11)))))+$I$11</f>
        <v>-318.43219439108509</v>
      </c>
      <c r="AG4" s="1">
        <f t="shared" ref="AG4:AG35" si="4">$F$16*SIN($E$16*ATAN($D$16*(AD4+$H$16)-$G$16*($D$16*(AD4+$H$16)-ATAN($D$16*(AD4+$H$16)))))+$I$16</f>
        <v>-0.32820483865603833</v>
      </c>
      <c r="AI4" s="1">
        <v>0</v>
      </c>
      <c r="AJ4" s="1">
        <v>0</v>
      </c>
      <c r="AK4" s="1">
        <f t="shared" ref="AK4:AK35" si="5">$F$7*SIN($E$7*ATAN($D$7*(AI4+$H$7)-$G$7*($D$7*(AI4+$H$7)-ATAN($D$7*(AI4+$H$7)))))+$I$7</f>
        <v>104</v>
      </c>
      <c r="AL4" s="1">
        <f t="shared" ref="AL4:AL35" si="6">$F$12*SIN($E$12*ATAN($D$12*(AJ4+$H$12)-$G$12*($D$12*(AJ4+$H$12)-ATAN($D$12*(AJ4+$H$12)))))+$I$12</f>
        <v>-112.86797272339153</v>
      </c>
      <c r="AM4" s="1">
        <f t="shared" ref="AM4:AM35" si="7">$F$17*SIN($E$17*ATAN($D$17*(AJ4+$H$17)-$G$17*($D$17*(AJ4+$H$17)-ATAN($D$17*(AJ4+$H$17)))))+$I$17</f>
        <v>-4.7469605597246849</v>
      </c>
    </row>
    <row r="5" spans="2:39" x14ac:dyDescent="0.25">
      <c r="B5" s="200"/>
      <c r="C5" s="2">
        <v>4</v>
      </c>
      <c r="D5" s="7">
        <v>0.17100000000000001</v>
      </c>
      <c r="E5" s="7">
        <v>1.69</v>
      </c>
      <c r="F5" s="7">
        <v>4236</v>
      </c>
      <c r="G5" s="7">
        <v>0.61899999999999999</v>
      </c>
      <c r="H5" s="7">
        <v>0</v>
      </c>
      <c r="I5" s="7">
        <v>70.599999999999994</v>
      </c>
      <c r="J5" s="7">
        <v>1224</v>
      </c>
      <c r="Q5" s="1">
        <v>2</v>
      </c>
      <c r="R5" s="1">
        <v>0.5</v>
      </c>
      <c r="S5" s="1">
        <f>$F$4*SIN($E$4*ATAN($D$4*(Q5+$H$4)-$G$4*($D$4*(Q5+$H$4)-ATAN($D$4*(Q5+$H$4)))))+$I$4</f>
        <v>1118.0547291086461</v>
      </c>
      <c r="T5" s="1">
        <f t="shared" ref="T5:T54" si="8">$F$9*SIN($E$9*ATAN($D$9*(R5+$H$9)-$G$9*($D$9*(R5+$H$9)-ATAN($D$9*(R5+$H$9)))))+$I$9</f>
        <v>37.588947663609872</v>
      </c>
      <c r="U5" s="1">
        <f t="shared" ref="U5:U54" si="9">$F$14*SIN($E$14*ATAN($D$14*(R5+$H$14)-$G$14*($D$14*(R5+$H$14)-ATAN($D$14*(R5+$H$14)))))+$I$14</f>
        <v>-12.853514130763813</v>
      </c>
      <c r="W5" s="1">
        <v>2</v>
      </c>
      <c r="X5" s="1">
        <v>0.5</v>
      </c>
      <c r="Y5" s="1">
        <f t="shared" ref="Y5:Y54" si="10">$F$5*SIN($E$5*ATAN($D$5*(W5+$H$5)-$G$5*($D$5*(W5+$H$5)-ATAN($D$5*(W5+$H$5)))))+$I$5</f>
        <v>2267.3423441392338</v>
      </c>
      <c r="Z5" s="1">
        <f t="shared" si="0"/>
        <v>310.30975849857447</v>
      </c>
      <c r="AA5" s="1">
        <f t="shared" si="1"/>
        <v>-24.262825527893536</v>
      </c>
      <c r="AC5" s="1">
        <v>2</v>
      </c>
      <c r="AD5" s="1">
        <v>0.5</v>
      </c>
      <c r="AE5" s="1">
        <f t="shared" si="2"/>
        <v>3727.4326922374321</v>
      </c>
      <c r="AF5" s="1">
        <f t="shared" si="3"/>
        <v>226.84002412147362</v>
      </c>
      <c r="AG5" s="1">
        <f t="shared" si="4"/>
        <v>-22.977119451865939</v>
      </c>
      <c r="AI5" s="1">
        <v>2</v>
      </c>
      <c r="AJ5" s="1">
        <v>0.5</v>
      </c>
      <c r="AK5" s="1">
        <f t="shared" si="5"/>
        <v>5023.4743456833085</v>
      </c>
      <c r="AL5" s="1">
        <f t="shared" si="6"/>
        <v>395.87515886213339</v>
      </c>
      <c r="AM5" s="1">
        <f t="shared" si="7"/>
        <v>-33.992001087629177</v>
      </c>
    </row>
    <row r="6" spans="2:39" x14ac:dyDescent="0.25">
      <c r="B6" s="200"/>
      <c r="C6" s="2">
        <v>6</v>
      </c>
      <c r="D6" s="7">
        <v>0.21</v>
      </c>
      <c r="E6" s="7">
        <v>1.67</v>
      </c>
      <c r="F6" s="7">
        <v>6090</v>
      </c>
      <c r="G6" s="7">
        <v>0.68600000000000005</v>
      </c>
      <c r="H6" s="7">
        <v>0</v>
      </c>
      <c r="I6" s="7">
        <v>80.099999999999994</v>
      </c>
      <c r="J6" s="7">
        <v>2136</v>
      </c>
      <c r="Q6" s="1">
        <v>4</v>
      </c>
      <c r="R6" s="1">
        <v>1</v>
      </c>
      <c r="S6" s="1">
        <f>$F$4*SIN($E$4*ATAN($D$4*(Q6+$H$4)-$G$4*($D$4*(Q6+$H$4)-ATAN($D$4*(Q6+$H$4)))))+$I$4</f>
        <v>1765.4973734772523</v>
      </c>
      <c r="T6" s="1">
        <f t="shared" si="8"/>
        <v>381.95068011052331</v>
      </c>
      <c r="U6" s="1">
        <f t="shared" si="9"/>
        <v>-17.745036682520745</v>
      </c>
      <c r="W6" s="1">
        <v>4</v>
      </c>
      <c r="X6" s="1">
        <v>1</v>
      </c>
      <c r="Y6" s="1">
        <f t="shared" si="10"/>
        <v>3522.2501838458725</v>
      </c>
      <c r="Z6" s="1">
        <f t="shared" si="0"/>
        <v>813.58312266429527</v>
      </c>
      <c r="AA6" s="1">
        <f t="shared" si="1"/>
        <v>-37.939952380062685</v>
      </c>
      <c r="AC6" s="1">
        <v>4</v>
      </c>
      <c r="AD6" s="1">
        <v>1</v>
      </c>
      <c r="AE6" s="1">
        <f t="shared" si="2"/>
        <v>5413.9954709967169</v>
      </c>
      <c r="AF6" s="1">
        <f t="shared" si="3"/>
        <v>770.73102968850628</v>
      </c>
      <c r="AG6" s="1">
        <f t="shared" si="4"/>
        <v>-45.146050775400411</v>
      </c>
      <c r="AI6" s="1">
        <v>4</v>
      </c>
      <c r="AJ6" s="1">
        <v>1</v>
      </c>
      <c r="AK6" s="1">
        <f t="shared" si="5"/>
        <v>7091.3165954115848</v>
      </c>
      <c r="AL6" s="1">
        <f t="shared" si="6"/>
        <v>905.23268504353746</v>
      </c>
      <c r="AM6" s="1">
        <f t="shared" si="7"/>
        <v>-63.021274960696218</v>
      </c>
    </row>
    <row r="7" spans="2:39" x14ac:dyDescent="0.25">
      <c r="B7" s="200"/>
      <c r="C7" s="2">
        <v>8</v>
      </c>
      <c r="D7" s="7">
        <v>0.214</v>
      </c>
      <c r="E7" s="7">
        <v>1.78</v>
      </c>
      <c r="F7" s="7">
        <v>7711</v>
      </c>
      <c r="G7" s="7">
        <v>0.78300000000000003</v>
      </c>
      <c r="H7" s="7">
        <v>0</v>
      </c>
      <c r="I7" s="7">
        <v>104</v>
      </c>
      <c r="J7" s="7">
        <v>2937</v>
      </c>
      <c r="Q7" s="1">
        <v>6</v>
      </c>
      <c r="R7" s="1">
        <v>1.5</v>
      </c>
      <c r="S7" s="1">
        <f t="shared" ref="S7:S54" si="11">$F$4*SIN($E$4*ATAN($D$4*(Q7+$H$4)-$G$4*($D$4*(Q7+$H$4)-ATAN($D$4*(Q7+$H$4)))))+$I$4</f>
        <v>2057.4986616266219</v>
      </c>
      <c r="T7" s="1">
        <f t="shared" si="8"/>
        <v>698.74461775249472</v>
      </c>
      <c r="U7" s="1">
        <f t="shared" si="9"/>
        <v>-22.405660708284806</v>
      </c>
      <c r="W7" s="1">
        <v>6</v>
      </c>
      <c r="X7" s="1">
        <v>1.5</v>
      </c>
      <c r="Y7" s="1">
        <f t="shared" si="10"/>
        <v>4054.9299031723463</v>
      </c>
      <c r="Z7" s="1">
        <f t="shared" si="0"/>
        <v>1287.3884422441463</v>
      </c>
      <c r="AA7" s="1">
        <f t="shared" si="1"/>
        <v>-48.856335983414894</v>
      </c>
      <c r="AC7" s="1">
        <v>6</v>
      </c>
      <c r="AD7" s="1">
        <v>1.5</v>
      </c>
      <c r="AE7" s="1">
        <f t="shared" si="2"/>
        <v>5983.1824243087094</v>
      </c>
      <c r="AF7" s="1">
        <f t="shared" si="3"/>
        <v>1309.8533781505535</v>
      </c>
      <c r="AG7" s="1">
        <f t="shared" si="4"/>
        <v>-66.071810018216738</v>
      </c>
      <c r="AI7" s="1">
        <v>6</v>
      </c>
      <c r="AJ7" s="1">
        <v>1.5</v>
      </c>
      <c r="AK7" s="1">
        <f t="shared" si="5"/>
        <v>7688.5894396985705</v>
      </c>
      <c r="AL7" s="1">
        <f t="shared" si="6"/>
        <v>1414.7551708687217</v>
      </c>
      <c r="AM7" s="1">
        <f t="shared" si="7"/>
        <v>-91.44239585822271</v>
      </c>
    </row>
    <row r="8" spans="2:39" x14ac:dyDescent="0.25">
      <c r="B8" s="201"/>
      <c r="C8" s="202"/>
      <c r="D8" s="202"/>
      <c r="E8" s="202"/>
      <c r="F8" s="202"/>
      <c r="G8" s="202"/>
      <c r="H8" s="202"/>
      <c r="I8" s="202"/>
      <c r="J8" s="203"/>
      <c r="Q8" s="1">
        <v>8</v>
      </c>
      <c r="R8" s="1">
        <v>2</v>
      </c>
      <c r="S8" s="1">
        <f t="shared" si="11"/>
        <v>2174.93622589605</v>
      </c>
      <c r="T8" s="1">
        <f t="shared" si="8"/>
        <v>974.80935251640494</v>
      </c>
      <c r="U8" s="1">
        <f t="shared" si="9"/>
        <v>-26.139099724947911</v>
      </c>
      <c r="W8" s="1">
        <v>8</v>
      </c>
      <c r="X8" s="1">
        <v>2</v>
      </c>
      <c r="Y8" s="1">
        <f t="shared" si="10"/>
        <v>4251.8733164894957</v>
      </c>
      <c r="Z8" s="1">
        <f t="shared" si="0"/>
        <v>1717.2306403328819</v>
      </c>
      <c r="AA8" s="1">
        <f t="shared" si="1"/>
        <v>-56.183447677209514</v>
      </c>
      <c r="AC8" s="1">
        <v>8</v>
      </c>
      <c r="AD8" s="1">
        <v>2</v>
      </c>
      <c r="AE8" s="1">
        <f t="shared" si="2"/>
        <v>6149.1022983598923</v>
      </c>
      <c r="AF8" s="1">
        <f t="shared" si="3"/>
        <v>1837.7514805383314</v>
      </c>
      <c r="AG8" s="1">
        <f t="shared" si="4"/>
        <v>-84.776328941897646</v>
      </c>
      <c r="AI8" s="1">
        <v>8</v>
      </c>
      <c r="AJ8" s="1">
        <v>2</v>
      </c>
      <c r="AK8" s="1">
        <f t="shared" si="5"/>
        <v>7813.3658621518707</v>
      </c>
      <c r="AL8" s="1">
        <f t="shared" si="6"/>
        <v>1922.544885583427</v>
      </c>
      <c r="AM8" s="1">
        <f t="shared" si="7"/>
        <v>-118.55554791898689</v>
      </c>
    </row>
    <row r="9" spans="2:39" x14ac:dyDescent="0.25">
      <c r="B9" s="200" t="s">
        <v>1</v>
      </c>
      <c r="C9" s="2">
        <v>2</v>
      </c>
      <c r="D9" s="8">
        <v>0.24399999999999999</v>
      </c>
      <c r="E9" s="9">
        <v>1.5</v>
      </c>
      <c r="F9" s="10">
        <v>1936</v>
      </c>
      <c r="G9" s="8">
        <v>-0.13200000000000001</v>
      </c>
      <c r="H9" s="11">
        <v>-0.28000000000000003</v>
      </c>
      <c r="I9" s="12">
        <v>-118</v>
      </c>
      <c r="J9" s="13">
        <v>780.6</v>
      </c>
      <c r="Q9" s="1">
        <v>10</v>
      </c>
      <c r="R9" s="1">
        <v>2.5</v>
      </c>
      <c r="S9" s="1">
        <f t="shared" si="11"/>
        <v>2213.6894949017255</v>
      </c>
      <c r="T9" s="1">
        <f t="shared" si="8"/>
        <v>1203.8591421872916</v>
      </c>
      <c r="U9" s="1">
        <f t="shared" si="9"/>
        <v>-27.953232305469015</v>
      </c>
      <c r="W9" s="1">
        <v>10</v>
      </c>
      <c r="X9" s="1">
        <v>2.5</v>
      </c>
      <c r="Y9" s="1">
        <f t="shared" si="10"/>
        <v>4305.0995138823355</v>
      </c>
      <c r="Z9" s="1">
        <f t="shared" si="0"/>
        <v>2092.2474146107938</v>
      </c>
      <c r="AA9" s="1">
        <f t="shared" si="1"/>
        <v>-59.758827999582778</v>
      </c>
      <c r="AC9" s="1">
        <v>10</v>
      </c>
      <c r="AD9" s="1">
        <v>2.5</v>
      </c>
      <c r="AE9" s="1">
        <f t="shared" si="2"/>
        <v>6166.4859264331017</v>
      </c>
      <c r="AF9" s="1">
        <f t="shared" si="3"/>
        <v>2344.751106306258</v>
      </c>
      <c r="AG9" s="1">
        <f t="shared" si="4"/>
        <v>-100.14380160407356</v>
      </c>
      <c r="AI9" s="1">
        <v>10</v>
      </c>
      <c r="AJ9" s="1">
        <v>2.5</v>
      </c>
      <c r="AK9" s="1">
        <f t="shared" si="5"/>
        <v>7782.6264313739048</v>
      </c>
      <c r="AL9" s="1">
        <f t="shared" si="6"/>
        <v>2424.9649352446017</v>
      </c>
      <c r="AM9" s="1">
        <f t="shared" si="7"/>
        <v>-143.32394598014906</v>
      </c>
    </row>
    <row r="10" spans="2:39" x14ac:dyDescent="0.25">
      <c r="B10" s="200"/>
      <c r="C10" s="2">
        <v>4</v>
      </c>
      <c r="D10" s="5">
        <v>0.23899999999999999</v>
      </c>
      <c r="E10" s="14">
        <v>1.19</v>
      </c>
      <c r="F10" s="15">
        <v>3650</v>
      </c>
      <c r="G10" s="5">
        <v>-0.67800000000000005</v>
      </c>
      <c r="H10" s="6">
        <v>-4.9000000000000002E-2</v>
      </c>
      <c r="I10" s="16">
        <v>-156</v>
      </c>
      <c r="J10" s="17">
        <v>1038</v>
      </c>
      <c r="Q10" s="1">
        <v>12</v>
      </c>
      <c r="R10" s="1">
        <v>3</v>
      </c>
      <c r="S10" s="1">
        <f t="shared" si="11"/>
        <v>2216.1721593052544</v>
      </c>
      <c r="T10" s="1">
        <f t="shared" si="8"/>
        <v>1385.8434637058831</v>
      </c>
      <c r="U10" s="1">
        <f t="shared" si="9"/>
        <v>-27.38840080794558</v>
      </c>
      <c r="W10" s="1">
        <v>12</v>
      </c>
      <c r="X10" s="1">
        <v>3</v>
      </c>
      <c r="Y10" s="1">
        <f t="shared" si="10"/>
        <v>4294.3257940556259</v>
      </c>
      <c r="Z10" s="1">
        <f t="shared" si="0"/>
        <v>2407.3599475756619</v>
      </c>
      <c r="AA10" s="1">
        <f t="shared" si="1"/>
        <v>-59.998050466646276</v>
      </c>
      <c r="AC10" s="1">
        <v>12</v>
      </c>
      <c r="AD10" s="1">
        <v>3</v>
      </c>
      <c r="AE10" s="1">
        <f t="shared" si="2"/>
        <v>6123.2628527087445</v>
      </c>
      <c r="AF10" s="1">
        <f t="shared" si="3"/>
        <v>2819.2947623197274</v>
      </c>
      <c r="AG10" s="1">
        <f t="shared" si="4"/>
        <v>-111.16282222969376</v>
      </c>
      <c r="AI10" s="1">
        <v>12</v>
      </c>
      <c r="AJ10" s="1">
        <v>3</v>
      </c>
      <c r="AK10" s="1">
        <f t="shared" si="5"/>
        <v>7695.0452072611233</v>
      </c>
      <c r="AL10" s="1">
        <f t="shared" si="6"/>
        <v>2916.6895172975474</v>
      </c>
      <c r="AM10" s="1">
        <f t="shared" si="7"/>
        <v>-164.47920840294796</v>
      </c>
    </row>
    <row r="11" spans="2:39" x14ac:dyDescent="0.25">
      <c r="B11" s="200"/>
      <c r="C11" s="2">
        <v>6</v>
      </c>
      <c r="D11" s="18">
        <v>0.16400000000000001</v>
      </c>
      <c r="E11" s="19">
        <v>1.27</v>
      </c>
      <c r="F11" s="20">
        <v>5237</v>
      </c>
      <c r="G11" s="18">
        <v>-1.61</v>
      </c>
      <c r="H11" s="21">
        <v>-0.126</v>
      </c>
      <c r="I11" s="22">
        <v>-181</v>
      </c>
      <c r="J11" s="23">
        <v>1091</v>
      </c>
      <c r="Q11" s="1">
        <v>14</v>
      </c>
      <c r="R11" s="1">
        <v>3.5</v>
      </c>
      <c r="S11" s="1">
        <f t="shared" si="11"/>
        <v>2201.514560705124</v>
      </c>
      <c r="T11" s="1">
        <f t="shared" si="8"/>
        <v>1525.0278444884343</v>
      </c>
      <c r="U11" s="1">
        <f t="shared" si="9"/>
        <v>-24.984742445432666</v>
      </c>
      <c r="W11" s="1">
        <v>14</v>
      </c>
      <c r="X11" s="1">
        <v>3.5</v>
      </c>
      <c r="Y11" s="1">
        <f t="shared" si="10"/>
        <v>4253.6726714328361</v>
      </c>
      <c r="Z11" s="1">
        <f t="shared" si="0"/>
        <v>2663.5645532464982</v>
      </c>
      <c r="AA11" s="1">
        <f t="shared" si="1"/>
        <v>-57.659993367352982</v>
      </c>
      <c r="AC11" s="1">
        <v>14</v>
      </c>
      <c r="AD11" s="1">
        <v>3.5</v>
      </c>
      <c r="AE11" s="1">
        <f t="shared" si="2"/>
        <v>6053.551558840345</v>
      </c>
      <c r="AF11" s="1">
        <f t="shared" si="3"/>
        <v>3250.2621072997649</v>
      </c>
      <c r="AG11" s="1">
        <f t="shared" si="4"/>
        <v>-117.22744677936372</v>
      </c>
      <c r="AI11" s="1">
        <v>14</v>
      </c>
      <c r="AJ11" s="1">
        <v>3.5</v>
      </c>
      <c r="AK11" s="1">
        <f t="shared" si="5"/>
        <v>7585.3776185863035</v>
      </c>
      <c r="AL11" s="1">
        <f t="shared" si="6"/>
        <v>3391.1145251515209</v>
      </c>
      <c r="AM11" s="1">
        <f t="shared" si="7"/>
        <v>-180.75802311217467</v>
      </c>
    </row>
    <row r="12" spans="2:39" x14ac:dyDescent="0.25">
      <c r="B12" s="200"/>
      <c r="C12" s="2">
        <v>8</v>
      </c>
      <c r="D12" s="24">
        <v>0.112</v>
      </c>
      <c r="E12" s="25">
        <v>1.36</v>
      </c>
      <c r="F12" s="26">
        <v>6677</v>
      </c>
      <c r="G12" s="24">
        <v>-2.16</v>
      </c>
      <c r="H12" s="27">
        <v>0.125</v>
      </c>
      <c r="I12" s="28">
        <v>-240</v>
      </c>
      <c r="J12" s="29">
        <v>1017</v>
      </c>
      <c r="Q12" s="1">
        <v>16</v>
      </c>
      <c r="R12" s="1">
        <v>4</v>
      </c>
      <c r="S12" s="1">
        <f t="shared" si="11"/>
        <v>2178.8481946120864</v>
      </c>
      <c r="T12" s="1">
        <f t="shared" si="8"/>
        <v>1627.8550210352739</v>
      </c>
      <c r="U12" s="1">
        <f t="shared" si="9"/>
        <v>-21.765211771426586</v>
      </c>
      <c r="W12" s="1">
        <v>16</v>
      </c>
      <c r="X12" s="1">
        <v>4</v>
      </c>
      <c r="Y12" s="1">
        <f t="shared" si="10"/>
        <v>4198.8916375156432</v>
      </c>
      <c r="Z12" s="1">
        <f t="shared" si="0"/>
        <v>2866.4380049237825</v>
      </c>
      <c r="AA12" s="1">
        <f t="shared" si="1"/>
        <v>-53.589769457740871</v>
      </c>
      <c r="AC12" s="1">
        <v>16</v>
      </c>
      <c r="AD12" s="1">
        <v>4</v>
      </c>
      <c r="AE12" s="1">
        <f t="shared" si="2"/>
        <v>5972.3078511504946</v>
      </c>
      <c r="AF12" s="1">
        <f t="shared" si="3"/>
        <v>3629.3119549872199</v>
      </c>
      <c r="AG12" s="1">
        <f t="shared" si="4"/>
        <v>-118.33449830610624</v>
      </c>
      <c r="AI12" s="1">
        <v>16</v>
      </c>
      <c r="AJ12" s="1">
        <v>4</v>
      </c>
      <c r="AK12" s="1">
        <f t="shared" si="5"/>
        <v>7467.54391743818</v>
      </c>
      <c r="AL12" s="1">
        <f t="shared" si="6"/>
        <v>3841.0669698804936</v>
      </c>
      <c r="AM12" s="1">
        <f t="shared" si="7"/>
        <v>-191.20327848553637</v>
      </c>
    </row>
    <row r="13" spans="2:39" x14ac:dyDescent="0.25">
      <c r="B13" s="201"/>
      <c r="C13" s="202"/>
      <c r="D13" s="202"/>
      <c r="E13" s="202"/>
      <c r="F13" s="202"/>
      <c r="G13" s="202"/>
      <c r="H13" s="202"/>
      <c r="I13" s="202"/>
      <c r="J13" s="203"/>
      <c r="Q13" s="1">
        <v>18</v>
      </c>
      <c r="R13" s="1">
        <v>4.5</v>
      </c>
      <c r="S13" s="1">
        <f t="shared" si="11"/>
        <v>2152.7584400180203</v>
      </c>
      <c r="T13" s="1">
        <f t="shared" si="8"/>
        <v>1701.2715858998342</v>
      </c>
      <c r="U13" s="1">
        <f t="shared" si="9"/>
        <v>-18.539598195860947</v>
      </c>
      <c r="W13" s="1">
        <v>18</v>
      </c>
      <c r="X13" s="1">
        <v>4.5</v>
      </c>
      <c r="Y13" s="1">
        <f t="shared" si="10"/>
        <v>4137.8046927179403</v>
      </c>
      <c r="Z13" s="1">
        <f t="shared" si="0"/>
        <v>3023.9464607912246</v>
      </c>
      <c r="AA13" s="1">
        <f t="shared" si="1"/>
        <v>-48.536941885618504</v>
      </c>
      <c r="AC13" s="1">
        <v>18</v>
      </c>
      <c r="AD13" s="1">
        <v>4.5</v>
      </c>
      <c r="AE13" s="1">
        <f t="shared" si="2"/>
        <v>5886.752556061354</v>
      </c>
      <c r="AF13" s="1">
        <f t="shared" si="3"/>
        <v>3952.3336589838837</v>
      </c>
      <c r="AG13" s="1">
        <f t="shared" si="4"/>
        <v>-115.07066266196809</v>
      </c>
      <c r="AI13" s="1">
        <v>18</v>
      </c>
      <c r="AJ13" s="1">
        <v>4.5</v>
      </c>
      <c r="AK13" s="1">
        <f t="shared" si="5"/>
        <v>7347.746211295912</v>
      </c>
      <c r="AL13" s="1">
        <f t="shared" si="6"/>
        <v>4259.6711674939415</v>
      </c>
      <c r="AM13" s="1">
        <f t="shared" si="7"/>
        <v>-195.41438839329311</v>
      </c>
    </row>
    <row r="14" spans="2:39" x14ac:dyDescent="0.25">
      <c r="B14" s="200" t="s">
        <v>2</v>
      </c>
      <c r="C14" s="2">
        <v>2</v>
      </c>
      <c r="D14" s="30">
        <v>0.247</v>
      </c>
      <c r="E14" s="31">
        <v>2.56</v>
      </c>
      <c r="F14" s="32">
        <v>-15.53</v>
      </c>
      <c r="G14" s="30">
        <v>-3.92</v>
      </c>
      <c r="H14" s="33">
        <v>-0.46400000000000002</v>
      </c>
      <c r="I14" s="34">
        <v>-12.5</v>
      </c>
      <c r="J14" s="35">
        <v>-9.82</v>
      </c>
      <c r="Q14" s="1">
        <v>20</v>
      </c>
      <c r="R14" s="1">
        <v>5</v>
      </c>
      <c r="S14" s="1">
        <f t="shared" si="11"/>
        <v>2125.6275665807298</v>
      </c>
      <c r="T14" s="1">
        <f t="shared" si="8"/>
        <v>1751.7169161274865</v>
      </c>
      <c r="U14" s="1">
        <f t="shared" si="9"/>
        <v>-15.701159895361414</v>
      </c>
      <c r="W14" s="1">
        <v>20</v>
      </c>
      <c r="X14" s="1">
        <v>5</v>
      </c>
      <c r="Y14" s="1">
        <f t="shared" si="10"/>
        <v>4074.5235168481613</v>
      </c>
      <c r="Z14" s="1">
        <f t="shared" si="0"/>
        <v>3144.5591127335133</v>
      </c>
      <c r="AA14" s="1">
        <f t="shared" si="1"/>
        <v>-43.074424507808516</v>
      </c>
      <c r="AC14" s="1">
        <v>20</v>
      </c>
      <c r="AD14" s="1">
        <v>5</v>
      </c>
      <c r="AE14" s="1">
        <f t="shared" si="2"/>
        <v>5800.6136989004144</v>
      </c>
      <c r="AF14" s="1">
        <f t="shared" si="3"/>
        <v>4219.6265995428193</v>
      </c>
      <c r="AG14" s="1">
        <f t="shared" si="4"/>
        <v>-108.41393799005846</v>
      </c>
      <c r="AI14" s="1">
        <v>20</v>
      </c>
      <c r="AJ14" s="1">
        <v>5</v>
      </c>
      <c r="AK14" s="1">
        <f t="shared" si="5"/>
        <v>7228.9776105447054</v>
      </c>
      <c r="AL14" s="1">
        <f t="shared" si="6"/>
        <v>4641.1824716250203</v>
      </c>
      <c r="AM14" s="1">
        <f t="shared" si="7"/>
        <v>-193.64255027561407</v>
      </c>
    </row>
    <row r="15" spans="2:39" x14ac:dyDescent="0.25">
      <c r="B15" s="200"/>
      <c r="C15" s="2">
        <v>4</v>
      </c>
      <c r="D15" s="36">
        <v>0.23400000000000001</v>
      </c>
      <c r="E15" s="37">
        <v>2.68</v>
      </c>
      <c r="F15" s="38">
        <v>-48.56</v>
      </c>
      <c r="G15" s="36">
        <v>-0.46</v>
      </c>
      <c r="H15" s="39">
        <v>-8.2000000000000003E-2</v>
      </c>
      <c r="I15" s="40">
        <v>-11.7</v>
      </c>
      <c r="J15" s="41">
        <v>-30.45</v>
      </c>
      <c r="Q15" s="1">
        <v>22</v>
      </c>
      <c r="R15" s="1">
        <v>5.5</v>
      </c>
      <c r="S15" s="1">
        <f t="shared" si="11"/>
        <v>2098.7104831216679</v>
      </c>
      <c r="T15" s="1">
        <f t="shared" si="8"/>
        <v>1784.6676499703806</v>
      </c>
      <c r="U15" s="1">
        <f t="shared" si="9"/>
        <v>-13.350824635918336</v>
      </c>
      <c r="W15" s="1">
        <v>22</v>
      </c>
      <c r="X15" s="1">
        <v>5.5</v>
      </c>
      <c r="Y15" s="1">
        <f t="shared" si="10"/>
        <v>4011.2914839222171</v>
      </c>
      <c r="Z15" s="1">
        <f t="shared" si="0"/>
        <v>3236.0725756637316</v>
      </c>
      <c r="AA15" s="1">
        <f t="shared" si="1"/>
        <v>-37.592494046552844</v>
      </c>
      <c r="AC15" s="1">
        <v>22</v>
      </c>
      <c r="AD15" s="1">
        <v>5.5</v>
      </c>
      <c r="AE15" s="1">
        <f t="shared" si="2"/>
        <v>5715.8905793585864</v>
      </c>
      <c r="AF15" s="1">
        <f t="shared" si="3"/>
        <v>4435.0437874586951</v>
      </c>
      <c r="AG15" s="1">
        <f t="shared" si="4"/>
        <v>-99.468407618248648</v>
      </c>
      <c r="AI15" s="1">
        <v>22</v>
      </c>
      <c r="AJ15" s="1">
        <v>5.5</v>
      </c>
      <c r="AK15" s="1">
        <f t="shared" si="5"/>
        <v>7112.7582667456854</v>
      </c>
      <c r="AL15" s="1">
        <f t="shared" si="6"/>
        <v>4981.6104909911555</v>
      </c>
      <c r="AM15" s="1">
        <f t="shared" si="7"/>
        <v>-186.70102474264027</v>
      </c>
    </row>
    <row r="16" spans="2:39" x14ac:dyDescent="0.25">
      <c r="B16" s="200"/>
      <c r="C16" s="2">
        <v>6</v>
      </c>
      <c r="D16" s="42">
        <v>0.16400000000000001</v>
      </c>
      <c r="E16" s="43">
        <v>2.46</v>
      </c>
      <c r="F16" s="44">
        <v>-112.5</v>
      </c>
      <c r="G16" s="42">
        <v>-2.04</v>
      </c>
      <c r="H16" s="45">
        <v>-0.125</v>
      </c>
      <c r="I16" s="46">
        <v>-6</v>
      </c>
      <c r="J16" s="47">
        <v>-45.39</v>
      </c>
      <c r="Q16" s="1">
        <v>24</v>
      </c>
      <c r="R16" s="1">
        <v>6</v>
      </c>
      <c r="S16" s="1">
        <f t="shared" si="11"/>
        <v>2072.660454575504</v>
      </c>
      <c r="T16" s="1">
        <f t="shared" si="8"/>
        <v>1804.5390563078377</v>
      </c>
      <c r="U16" s="1">
        <f t="shared" si="9"/>
        <v>-11.454045928068387</v>
      </c>
      <c r="W16" s="1">
        <v>24</v>
      </c>
      <c r="X16" s="1">
        <v>6</v>
      </c>
      <c r="Y16" s="1">
        <f t="shared" si="10"/>
        <v>3949.3518936687951</v>
      </c>
      <c r="Z16" s="1">
        <f t="shared" si="0"/>
        <v>3305.0882806899908</v>
      </c>
      <c r="AA16" s="1">
        <f t="shared" si="1"/>
        <v>-32.330256318209948</v>
      </c>
      <c r="AC16" s="1">
        <v>24</v>
      </c>
      <c r="AD16" s="1">
        <v>6</v>
      </c>
      <c r="AE16" s="1">
        <f t="shared" si="2"/>
        <v>5633.6633907773075</v>
      </c>
      <c r="AF16" s="1">
        <f t="shared" si="3"/>
        <v>4604.6584323735542</v>
      </c>
      <c r="AG16" s="1">
        <f t="shared" si="4"/>
        <v>-89.247868293748283</v>
      </c>
      <c r="AI16" s="1">
        <v>24</v>
      </c>
      <c r="AJ16" s="1">
        <v>6</v>
      </c>
      <c r="AK16" s="1">
        <f t="shared" si="5"/>
        <v>6999.8734395558722</v>
      </c>
      <c r="AL16" s="1">
        <f t="shared" si="6"/>
        <v>5279.0219036827511</v>
      </c>
      <c r="AM16" s="1">
        <f t="shared" si="7"/>
        <v>-175.7476223390168</v>
      </c>
    </row>
    <row r="17" spans="2:39" x14ac:dyDescent="0.25">
      <c r="B17" s="200"/>
      <c r="C17" s="2">
        <v>8</v>
      </c>
      <c r="D17" s="48">
        <v>0.127</v>
      </c>
      <c r="E17" s="49">
        <v>2.41</v>
      </c>
      <c r="F17" s="50">
        <v>-191.3</v>
      </c>
      <c r="G17" s="48">
        <v>-3.21</v>
      </c>
      <c r="H17" s="51">
        <v>8.9999999999999993E-3</v>
      </c>
      <c r="I17" s="52">
        <v>-4.22</v>
      </c>
      <c r="J17" s="53">
        <v>-58.55</v>
      </c>
      <c r="Q17" s="1">
        <v>26</v>
      </c>
      <c r="R17" s="1">
        <v>6.5</v>
      </c>
      <c r="S17" s="1">
        <f t="shared" si="11"/>
        <v>2047.799939355416</v>
      </c>
      <c r="T17" s="1">
        <f t="shared" si="8"/>
        <v>1814.7707228711122</v>
      </c>
      <c r="U17" s="1">
        <f t="shared" si="9"/>
        <v>-9.9342476033073517</v>
      </c>
      <c r="W17" s="1">
        <v>26</v>
      </c>
      <c r="X17" s="1">
        <v>6.5</v>
      </c>
      <c r="Y17" s="1">
        <f t="shared" si="10"/>
        <v>3889.386277741527</v>
      </c>
      <c r="Z17" s="1">
        <f t="shared" si="0"/>
        <v>3356.9164744284653</v>
      </c>
      <c r="AA17" s="1">
        <f t="shared" si="1"/>
        <v>-27.416838641481082</v>
      </c>
      <c r="AC17" s="1">
        <v>26</v>
      </c>
      <c r="AD17" s="1">
        <v>6.5</v>
      </c>
      <c r="AE17" s="1">
        <f t="shared" si="2"/>
        <v>5554.4968097445408</v>
      </c>
      <c r="AF17" s="1">
        <f t="shared" si="3"/>
        <v>4735.4695898060563</v>
      </c>
      <c r="AG17" s="1">
        <f t="shared" si="4"/>
        <v>-78.558798663810535</v>
      </c>
      <c r="AI17" s="1">
        <v>26</v>
      </c>
      <c r="AJ17" s="1">
        <v>6.5</v>
      </c>
      <c r="AK17" s="1">
        <f t="shared" si="5"/>
        <v>6890.7155787219554</v>
      </c>
      <c r="AL17" s="1">
        <f t="shared" si="6"/>
        <v>5533.5088200604478</v>
      </c>
      <c r="AM17" s="1">
        <f t="shared" si="7"/>
        <v>-162.03799695902066</v>
      </c>
    </row>
    <row r="18" spans="2:39" x14ac:dyDescent="0.25">
      <c r="Q18" s="1">
        <v>28</v>
      </c>
      <c r="R18" s="1">
        <v>7</v>
      </c>
      <c r="S18" s="1">
        <f t="shared" si="11"/>
        <v>2024.2662041774236</v>
      </c>
      <c r="T18" s="1">
        <f t="shared" si="8"/>
        <v>1817.9834058716465</v>
      </c>
      <c r="U18" s="1">
        <f t="shared" si="9"/>
        <v>-8.7134444654434322</v>
      </c>
      <c r="W18" s="1">
        <v>28</v>
      </c>
      <c r="X18" s="1">
        <v>7</v>
      </c>
      <c r="Y18" s="1">
        <f t="shared" si="10"/>
        <v>3831.7490519024345</v>
      </c>
      <c r="Z18" s="1">
        <f t="shared" si="0"/>
        <v>3395.6963433383394</v>
      </c>
      <c r="AA18" s="1">
        <f t="shared" si="1"/>
        <v>-22.908253975825318</v>
      </c>
      <c r="AC18" s="1">
        <v>28</v>
      </c>
      <c r="AD18" s="1">
        <v>7</v>
      </c>
      <c r="AE18" s="1">
        <f t="shared" si="2"/>
        <v>5478.6552848445481</v>
      </c>
      <c r="AF18" s="1">
        <f t="shared" si="3"/>
        <v>4834.431891494216</v>
      </c>
      <c r="AG18" s="1">
        <f t="shared" si="4"/>
        <v>-67.972763626590151</v>
      </c>
      <c r="AI18" s="1">
        <v>28</v>
      </c>
      <c r="AJ18" s="1">
        <v>7</v>
      </c>
      <c r="AK18" s="1">
        <f t="shared" si="5"/>
        <v>6785.4553178343031</v>
      </c>
      <c r="AL18" s="1">
        <f t="shared" si="6"/>
        <v>5746.8923086197728</v>
      </c>
      <c r="AM18" s="1">
        <f t="shared" si="7"/>
        <v>-146.73023531259562</v>
      </c>
    </row>
    <row r="19" spans="2:39" x14ac:dyDescent="0.25">
      <c r="B19" s="197" t="s">
        <v>11</v>
      </c>
      <c r="C19" s="197"/>
      <c r="D19" s="197"/>
      <c r="E19" s="197"/>
      <c r="F19" s="197"/>
      <c r="G19" s="197"/>
      <c r="H19" s="197"/>
      <c r="I19" s="197"/>
      <c r="J19" s="197"/>
      <c r="Q19" s="1">
        <v>30</v>
      </c>
      <c r="R19" s="1">
        <v>7.5</v>
      </c>
      <c r="S19" s="1">
        <f t="shared" si="11"/>
        <v>2002.0922848478847</v>
      </c>
      <c r="T19" s="1">
        <f t="shared" si="8"/>
        <v>1816.1456301742462</v>
      </c>
      <c r="U19" s="1">
        <f t="shared" si="9"/>
        <v>-7.7255440441944074</v>
      </c>
      <c r="W19" s="1">
        <v>30</v>
      </c>
      <c r="X19" s="1">
        <v>7.5</v>
      </c>
      <c r="Y19" s="1">
        <f t="shared" si="10"/>
        <v>3776.5994341205537</v>
      </c>
      <c r="Z19" s="1">
        <f t="shared" si="0"/>
        <v>3424.5943008926943</v>
      </c>
      <c r="AA19" s="1">
        <f t="shared" si="1"/>
        <v>-18.815401712361702</v>
      </c>
      <c r="AC19" s="1">
        <v>30</v>
      </c>
      <c r="AD19" s="1">
        <v>7.5</v>
      </c>
      <c r="AE19" s="1">
        <f t="shared" si="2"/>
        <v>5406.224307410469</v>
      </c>
      <c r="AF19" s="1">
        <f t="shared" si="3"/>
        <v>4907.8709058871555</v>
      </c>
      <c r="AG19" s="1">
        <f t="shared" si="4"/>
        <v>-57.852944684907349</v>
      </c>
      <c r="AI19" s="1">
        <v>30</v>
      </c>
      <c r="AJ19" s="1">
        <v>7.5</v>
      </c>
      <c r="AK19" s="1">
        <f t="shared" si="5"/>
        <v>6684.1327949905835</v>
      </c>
      <c r="AL19" s="1">
        <f t="shared" si="6"/>
        <v>5922.2746667173651</v>
      </c>
      <c r="AM19" s="1">
        <f t="shared" si="7"/>
        <v>-130.77384474886031</v>
      </c>
    </row>
    <row r="20" spans="2:39" x14ac:dyDescent="0.25">
      <c r="B20" s="198" t="s">
        <v>12</v>
      </c>
      <c r="C20" s="198"/>
      <c r="D20" s="198"/>
      <c r="E20" s="198"/>
      <c r="F20" s="198"/>
      <c r="G20" s="198"/>
      <c r="H20" s="198"/>
      <c r="I20" s="198"/>
      <c r="J20" s="198"/>
      <c r="Q20" s="1">
        <v>32</v>
      </c>
      <c r="R20" s="1">
        <v>8</v>
      </c>
      <c r="S20" s="1">
        <f t="shared" si="11"/>
        <v>1981.2531587430624</v>
      </c>
      <c r="T20" s="1">
        <f t="shared" si="8"/>
        <v>1810.7225270084568</v>
      </c>
      <c r="U20" s="1">
        <f t="shared" si="9"/>
        <v>-6.9183807131782853</v>
      </c>
      <c r="W20" s="1">
        <v>32</v>
      </c>
      <c r="X20" s="1">
        <v>8</v>
      </c>
      <c r="Y20" s="1">
        <f t="shared" si="10"/>
        <v>3723.9786176448206</v>
      </c>
      <c r="Z20" s="1">
        <f t="shared" si="0"/>
        <v>3446.007647086903</v>
      </c>
      <c r="AA20" s="1">
        <f t="shared" si="1"/>
        <v>-15.123400878551109</v>
      </c>
      <c r="AC20" s="1">
        <v>32</v>
      </c>
      <c r="AD20" s="1">
        <v>8</v>
      </c>
      <c r="AE20" s="1">
        <f t="shared" si="2"/>
        <v>5337.1817158467702</v>
      </c>
      <c r="AF20" s="1">
        <f t="shared" si="3"/>
        <v>4961.2175199977082</v>
      </c>
      <c r="AG20" s="1">
        <f t="shared" si="4"/>
        <v>-48.401796612227933</v>
      </c>
      <c r="AI20" s="1">
        <v>32</v>
      </c>
      <c r="AJ20" s="1">
        <v>8</v>
      </c>
      <c r="AK20" s="1">
        <f t="shared" si="5"/>
        <v>6586.7093071172521</v>
      </c>
      <c r="AL20" s="1">
        <f t="shared" si="6"/>
        <v>6063.5542523362265</v>
      </c>
      <c r="AM20" s="1">
        <f t="shared" si="7"/>
        <v>-114.87560294686558</v>
      </c>
    </row>
    <row r="21" spans="2:39" x14ac:dyDescent="0.25">
      <c r="Q21" s="1">
        <v>34</v>
      </c>
      <c r="R21" s="1">
        <v>8.5</v>
      </c>
      <c r="S21" s="1">
        <f t="shared" si="11"/>
        <v>1961.6925532107089</v>
      </c>
      <c r="T21" s="1">
        <f t="shared" si="8"/>
        <v>1802.7981314078779</v>
      </c>
      <c r="U21" s="1">
        <f t="shared" si="9"/>
        <v>-6.251974848011697</v>
      </c>
      <c r="W21" s="1">
        <v>34</v>
      </c>
      <c r="X21" s="1">
        <v>8.5</v>
      </c>
      <c r="Y21" s="1">
        <f t="shared" si="10"/>
        <v>3673.8563677531474</v>
      </c>
      <c r="Z21" s="1">
        <f t="shared" si="0"/>
        <v>3461.7427564697855</v>
      </c>
      <c r="AA21" s="1">
        <f t="shared" si="1"/>
        <v>-11.804094968718525</v>
      </c>
      <c r="AC21" s="1">
        <v>34</v>
      </c>
      <c r="AD21" s="1">
        <v>8.5</v>
      </c>
      <c r="AE21" s="1">
        <f t="shared" si="2"/>
        <v>5271.441022276972</v>
      </c>
      <c r="AF21" s="1">
        <f t="shared" si="3"/>
        <v>4998.955853242137</v>
      </c>
      <c r="AG21" s="1">
        <f t="shared" si="4"/>
        <v>-39.709307730016938</v>
      </c>
      <c r="AI21" s="1">
        <v>34</v>
      </c>
      <c r="AJ21" s="1">
        <v>8.5</v>
      </c>
      <c r="AK21" s="1">
        <f t="shared" si="5"/>
        <v>6493.0979928628276</v>
      </c>
      <c r="AL21" s="1">
        <f t="shared" si="6"/>
        <v>6174.9875429490339</v>
      </c>
      <c r="AM21" s="1">
        <f t="shared" si="7"/>
        <v>-99.516149666533764</v>
      </c>
    </row>
    <row r="22" spans="2:39" x14ac:dyDescent="0.25">
      <c r="Q22" s="1">
        <v>36</v>
      </c>
      <c r="R22" s="1">
        <v>9</v>
      </c>
      <c r="S22" s="1">
        <f t="shared" si="11"/>
        <v>1943.3386744707313</v>
      </c>
      <c r="T22" s="1">
        <f t="shared" si="8"/>
        <v>1793.1712972242055</v>
      </c>
      <c r="U22" s="1">
        <f t="shared" si="9"/>
        <v>-5.6959963043500137</v>
      </c>
      <c r="W22" s="1">
        <v>36</v>
      </c>
      <c r="X22" s="1">
        <v>9</v>
      </c>
      <c r="Y22" s="1">
        <f t="shared" si="10"/>
        <v>3626.1598479269883</v>
      </c>
      <c r="Z22" s="1">
        <f t="shared" si="0"/>
        <v>3473.1593046964658</v>
      </c>
      <c r="AA22" s="1">
        <f t="shared" si="1"/>
        <v>-8.8237277257838578</v>
      </c>
      <c r="AC22" s="1">
        <v>36</v>
      </c>
      <c r="AD22" s="1">
        <v>9</v>
      </c>
      <c r="AE22" s="1">
        <f t="shared" si="2"/>
        <v>5208.8783829323029</v>
      </c>
      <c r="AF22" s="1">
        <f t="shared" si="3"/>
        <v>5024.6903853271215</v>
      </c>
      <c r="AG22" s="1">
        <f t="shared" si="4"/>
        <v>-31.792785199894144</v>
      </c>
      <c r="AI22" s="1">
        <v>36</v>
      </c>
      <c r="AJ22" s="1">
        <v>9</v>
      </c>
      <c r="AK22" s="1">
        <f t="shared" si="5"/>
        <v>6403.1828117620771</v>
      </c>
      <c r="AL22" s="1">
        <f t="shared" si="6"/>
        <v>6260.844312953388</v>
      </c>
      <c r="AM22" s="1">
        <f t="shared" si="7"/>
        <v>-84.990816074202954</v>
      </c>
    </row>
    <row r="23" spans="2:39" x14ac:dyDescent="0.25">
      <c r="Q23" s="1">
        <v>38</v>
      </c>
      <c r="R23" s="1">
        <v>9.5</v>
      </c>
      <c r="S23" s="1">
        <f t="shared" si="11"/>
        <v>1926.1134565127181</v>
      </c>
      <c r="T23" s="1">
        <f t="shared" si="8"/>
        <v>1782.4288868163974</v>
      </c>
      <c r="U23" s="1">
        <f t="shared" si="9"/>
        <v>-5.2274447822037473</v>
      </c>
      <c r="W23" s="1">
        <v>38</v>
      </c>
      <c r="X23" s="1">
        <v>9.5</v>
      </c>
      <c r="Y23" s="1">
        <f t="shared" si="10"/>
        <v>3580.7917684665149</v>
      </c>
      <c r="Z23" s="1">
        <f t="shared" si="0"/>
        <v>3481.282141963668</v>
      </c>
      <c r="AA23" s="1">
        <f t="shared" si="1"/>
        <v>-6.147420234096507</v>
      </c>
      <c r="AC23" s="1">
        <v>38</v>
      </c>
      <c r="AD23" s="1">
        <v>9.5</v>
      </c>
      <c r="AE23" s="1">
        <f t="shared" si="2"/>
        <v>5149.3496632473289</v>
      </c>
      <c r="AF23" s="1">
        <f t="shared" si="3"/>
        <v>5041.2657123413119</v>
      </c>
      <c r="AG23" s="1">
        <f t="shared" si="4"/>
        <v>-24.626127741110249</v>
      </c>
      <c r="AI23" s="1">
        <v>38</v>
      </c>
      <c r="AJ23" s="1">
        <v>9.5</v>
      </c>
      <c r="AK23" s="1">
        <f t="shared" si="5"/>
        <v>6316.8306683111714</v>
      </c>
      <c r="AL23" s="1">
        <f t="shared" si="6"/>
        <v>6325.1682346893995</v>
      </c>
      <c r="AM23" s="1">
        <f t="shared" si="7"/>
        <v>-71.456008773959482</v>
      </c>
    </row>
    <row r="24" spans="2:39" x14ac:dyDescent="0.25">
      <c r="Q24" s="1">
        <v>40</v>
      </c>
      <c r="R24" s="1">
        <v>10</v>
      </c>
      <c r="S24" s="1">
        <f t="shared" si="11"/>
        <v>1909.9379556504036</v>
      </c>
      <c r="T24" s="1">
        <f t="shared" si="8"/>
        <v>1771.0007183070747</v>
      </c>
      <c r="U24" s="1">
        <f t="shared" si="9"/>
        <v>-4.8287955583764095</v>
      </c>
      <c r="W24" s="1">
        <v>40</v>
      </c>
      <c r="X24" s="1">
        <v>10</v>
      </c>
      <c r="Y24" s="1">
        <f t="shared" si="10"/>
        <v>3537.6419404953581</v>
      </c>
      <c r="Z24" s="1">
        <f t="shared" si="0"/>
        <v>3486.8860082510951</v>
      </c>
      <c r="AA24" s="1">
        <f t="shared" si="1"/>
        <v>-3.7416233556815195</v>
      </c>
      <c r="AC24" s="1">
        <v>40</v>
      </c>
      <c r="AD24" s="1">
        <v>10</v>
      </c>
      <c r="AE24" s="1">
        <f t="shared" si="2"/>
        <v>5092.701331437418</v>
      </c>
      <c r="AF24" s="1">
        <f t="shared" si="3"/>
        <v>5050.8988423915798</v>
      </c>
      <c r="AG24" s="1">
        <f t="shared" si="4"/>
        <v>-18.159792359196651</v>
      </c>
      <c r="AI24" s="1">
        <v>40</v>
      </c>
      <c r="AJ24" s="1">
        <v>10</v>
      </c>
      <c r="AK24" s="1">
        <f t="shared" si="5"/>
        <v>6233.899346235844</v>
      </c>
      <c r="AL24" s="1">
        <f t="shared" si="6"/>
        <v>6371.6332691871221</v>
      </c>
      <c r="AM24" s="1">
        <f t="shared" si="7"/>
        <v>-58.971058936756414</v>
      </c>
    </row>
    <row r="25" spans="2:39" x14ac:dyDescent="0.25">
      <c r="Q25" s="1">
        <v>42</v>
      </c>
      <c r="R25" s="1">
        <v>10.5</v>
      </c>
      <c r="S25" s="1">
        <f t="shared" si="11"/>
        <v>1894.7354249256118</v>
      </c>
      <c r="T25" s="1">
        <f t="shared" si="8"/>
        <v>1759.200432905136</v>
      </c>
      <c r="U25" s="1">
        <f t="shared" si="9"/>
        <v>-4.4865962197695382</v>
      </c>
      <c r="W25" s="1">
        <v>42</v>
      </c>
      <c r="X25" s="1">
        <v>10.5</v>
      </c>
      <c r="Y25" s="1">
        <f t="shared" si="10"/>
        <v>3496.5946648382073</v>
      </c>
      <c r="Z25" s="1">
        <f t="shared" si="0"/>
        <v>3490.558839048148</v>
      </c>
      <c r="AA25" s="1">
        <f t="shared" si="1"/>
        <v>-1.5753345311589424</v>
      </c>
      <c r="AC25" s="1">
        <v>42</v>
      </c>
      <c r="AD25" s="1">
        <v>10.5</v>
      </c>
      <c r="AE25" s="1">
        <f t="shared" si="2"/>
        <v>5038.777419441386</v>
      </c>
      <c r="AF25" s="1">
        <f t="shared" si="3"/>
        <v>5055.3032563365778</v>
      </c>
      <c r="AG25" s="1">
        <f t="shared" si="4"/>
        <v>-12.333639418918462</v>
      </c>
      <c r="AI25" s="1">
        <v>42</v>
      </c>
      <c r="AJ25" s="1">
        <v>10.5</v>
      </c>
      <c r="AK25" s="1">
        <f t="shared" si="5"/>
        <v>6154.2427860362686</v>
      </c>
      <c r="AL25" s="1">
        <f t="shared" si="6"/>
        <v>6403.4758271734399</v>
      </c>
      <c r="AM25" s="1">
        <f t="shared" si="7"/>
        <v>-47.531681812527303</v>
      </c>
    </row>
    <row r="26" spans="2:39" x14ac:dyDescent="0.25">
      <c r="Q26" s="1">
        <v>44</v>
      </c>
      <c r="R26" s="1">
        <v>11</v>
      </c>
      <c r="S26" s="1">
        <f t="shared" si="11"/>
        <v>1880.4329822502721</v>
      </c>
      <c r="T26" s="1">
        <f t="shared" si="8"/>
        <v>1747.2557411596704</v>
      </c>
      <c r="U26" s="1">
        <f t="shared" si="9"/>
        <v>-4.1904293156868953</v>
      </c>
      <c r="W26" s="1">
        <v>44</v>
      </c>
      <c r="X26" s="1">
        <v>11</v>
      </c>
      <c r="Y26" s="1">
        <f t="shared" si="10"/>
        <v>3457.5334429792892</v>
      </c>
      <c r="Z26" s="1">
        <f t="shared" si="0"/>
        <v>3492.7487640145841</v>
      </c>
      <c r="AA26" s="1">
        <f t="shared" si="1"/>
        <v>0.37941349657377543</v>
      </c>
      <c r="AC26" s="1">
        <v>44</v>
      </c>
      <c r="AD26" s="1">
        <v>11</v>
      </c>
      <c r="AE26" s="1">
        <f t="shared" si="2"/>
        <v>4987.4239342066448</v>
      </c>
      <c r="AF26" s="1">
        <f t="shared" si="3"/>
        <v>5055.7960271704387</v>
      </c>
      <c r="AG26" s="1">
        <f t="shared" si="4"/>
        <v>-7.0847646605100323</v>
      </c>
      <c r="AI26" s="1">
        <v>44</v>
      </c>
      <c r="AJ26" s="1">
        <v>11</v>
      </c>
      <c r="AK26" s="1">
        <f t="shared" si="5"/>
        <v>6077.7146248440067</v>
      </c>
      <c r="AL26" s="1">
        <f t="shared" si="6"/>
        <v>6423.4806200142539</v>
      </c>
      <c r="AM26" s="1">
        <f t="shared" si="7"/>
        <v>-37.094730400896452</v>
      </c>
    </row>
    <row r="27" spans="2:39" x14ac:dyDescent="0.25">
      <c r="Q27" s="1">
        <v>46</v>
      </c>
      <c r="R27" s="1">
        <v>11.5</v>
      </c>
      <c r="S27" s="1">
        <f t="shared" si="11"/>
        <v>1866.9624252476726</v>
      </c>
      <c r="T27" s="1">
        <f t="shared" si="8"/>
        <v>1735.3307636271099</v>
      </c>
      <c r="U27" s="1">
        <f t="shared" si="9"/>
        <v>-3.9321519961641727</v>
      </c>
      <c r="W27" s="1">
        <v>46</v>
      </c>
      <c r="X27" s="1">
        <v>11.5</v>
      </c>
      <c r="Y27" s="1">
        <f t="shared" si="10"/>
        <v>3420.3439427079866</v>
      </c>
      <c r="Z27" s="1">
        <f t="shared" si="0"/>
        <v>3493.7989217223881</v>
      </c>
      <c r="AA27" s="1">
        <f t="shared" si="1"/>
        <v>2.1474755378792576</v>
      </c>
      <c r="AC27" s="1">
        <v>46</v>
      </c>
      <c r="AD27" s="1">
        <v>11.5</v>
      </c>
      <c r="AE27" s="1">
        <f t="shared" si="2"/>
        <v>4938.4915950108098</v>
      </c>
      <c r="AF27" s="1">
        <f t="shared" si="3"/>
        <v>5053.3859747012011</v>
      </c>
      <c r="AG27" s="1">
        <f t="shared" si="4"/>
        <v>-2.3519939927735001</v>
      </c>
      <c r="AI27" s="1">
        <v>46</v>
      </c>
      <c r="AJ27" s="1">
        <v>11.5</v>
      </c>
      <c r="AK27" s="1">
        <f t="shared" si="5"/>
        <v>6004.170570390268</v>
      </c>
      <c r="AL27" s="1">
        <f t="shared" si="6"/>
        <v>6434.0006986268036</v>
      </c>
      <c r="AM27" s="1">
        <f t="shared" si="7"/>
        <v>-27.595498236731906</v>
      </c>
    </row>
    <row r="28" spans="2:39" x14ac:dyDescent="0.25">
      <c r="Q28" s="1">
        <v>48</v>
      </c>
      <c r="R28" s="1">
        <v>12</v>
      </c>
      <c r="S28" s="1">
        <f t="shared" si="11"/>
        <v>1854.2605314662298</v>
      </c>
      <c r="T28" s="1">
        <f t="shared" si="8"/>
        <v>1723.5425306004124</v>
      </c>
      <c r="U28" s="1">
        <f t="shared" si="9"/>
        <v>-3.7053390189447892</v>
      </c>
      <c r="W28" s="1">
        <v>48</v>
      </c>
      <c r="X28" s="1">
        <v>12</v>
      </c>
      <c r="Y28" s="1">
        <f t="shared" si="10"/>
        <v>3384.9158152844998</v>
      </c>
      <c r="Z28" s="1">
        <f t="shared" si="0"/>
        <v>3493.9732646579364</v>
      </c>
      <c r="AA28" s="1">
        <f t="shared" si="1"/>
        <v>3.7507359770929032</v>
      </c>
      <c r="AC28" s="1">
        <v>48</v>
      </c>
      <c r="AD28" s="1">
        <v>12</v>
      </c>
      <c r="AE28" s="1">
        <f t="shared" si="2"/>
        <v>4891.8374627649428</v>
      </c>
      <c r="AF28" s="1">
        <f t="shared" si="3"/>
        <v>5048.8440829130213</v>
      </c>
      <c r="AG28" s="1">
        <f t="shared" si="4"/>
        <v>1.9217508244554162</v>
      </c>
      <c r="AI28" s="1">
        <v>48</v>
      </c>
      <c r="AJ28" s="1">
        <v>12</v>
      </c>
      <c r="AK28" s="1">
        <f t="shared" si="5"/>
        <v>5933.4699767513775</v>
      </c>
      <c r="AL28" s="1">
        <f t="shared" si="6"/>
        <v>6436.9965602728516</v>
      </c>
      <c r="AM28" s="1">
        <f t="shared" si="7"/>
        <v>-18.959259116097428</v>
      </c>
    </row>
    <row r="29" spans="2:39" x14ac:dyDescent="0.25">
      <c r="Q29" s="1">
        <v>50</v>
      </c>
      <c r="R29" s="1">
        <v>12.5</v>
      </c>
      <c r="S29" s="1">
        <f t="shared" si="11"/>
        <v>1842.2690532075837</v>
      </c>
      <c r="T29" s="1">
        <f t="shared" si="8"/>
        <v>1711.97318165461</v>
      </c>
      <c r="U29" s="1">
        <f t="shared" si="9"/>
        <v>-3.5048732012064487</v>
      </c>
      <c r="W29" s="1">
        <v>50</v>
      </c>
      <c r="X29" s="1">
        <v>12.5</v>
      </c>
      <c r="Y29" s="1">
        <f t="shared" si="10"/>
        <v>3351.1437526089112</v>
      </c>
      <c r="Z29" s="1">
        <f t="shared" si="0"/>
        <v>3493.4757333803145</v>
      </c>
      <c r="AA29" s="1">
        <f t="shared" si="1"/>
        <v>5.2083558216377668</v>
      </c>
      <c r="AC29" s="1">
        <v>50</v>
      </c>
      <c r="AD29" s="1">
        <v>12.5</v>
      </c>
      <c r="AE29" s="1">
        <f t="shared" si="2"/>
        <v>4847.3258332148589</v>
      </c>
      <c r="AF29" s="1">
        <f t="shared" si="3"/>
        <v>5042.7586915783986</v>
      </c>
      <c r="AG29" s="1">
        <f t="shared" si="4"/>
        <v>5.7883944776860279</v>
      </c>
      <c r="AI29" s="1">
        <v>50</v>
      </c>
      <c r="AJ29" s="1">
        <v>12.5</v>
      </c>
      <c r="AK29" s="1">
        <f t="shared" si="5"/>
        <v>5865.4768651507766</v>
      </c>
      <c r="AL29" s="1">
        <f t="shared" si="6"/>
        <v>6434.0836793287717</v>
      </c>
      <c r="AM29" s="1">
        <f t="shared" si="7"/>
        <v>-11.108624438790004</v>
      </c>
    </row>
    <row r="30" spans="2:39" x14ac:dyDescent="0.25">
      <c r="Q30" s="1">
        <v>52</v>
      </c>
      <c r="R30" s="1">
        <v>13</v>
      </c>
      <c r="S30" s="1">
        <f t="shared" si="11"/>
        <v>1830.9345368946724</v>
      </c>
      <c r="T30" s="1">
        <f t="shared" si="8"/>
        <v>1700.6790025237738</v>
      </c>
      <c r="U30" s="1">
        <f t="shared" si="9"/>
        <v>-3.3266424165001656</v>
      </c>
      <c r="W30" s="1">
        <v>52</v>
      </c>
      <c r="X30" s="1">
        <v>13</v>
      </c>
      <c r="Y30" s="1">
        <f t="shared" si="10"/>
        <v>3318.9280408055643</v>
      </c>
      <c r="Z30" s="1">
        <f t="shared" si="0"/>
        <v>3492.4645562896972</v>
      </c>
      <c r="AA30" s="1">
        <f t="shared" si="1"/>
        <v>6.5370589886941133</v>
      </c>
      <c r="AC30" s="1">
        <v>52</v>
      </c>
      <c r="AD30" s="1">
        <v>13</v>
      </c>
      <c r="AE30" s="1">
        <f t="shared" si="2"/>
        <v>4804.8286417336822</v>
      </c>
      <c r="AF30" s="1">
        <f t="shared" si="3"/>
        <v>5035.5782353236655</v>
      </c>
      <c r="AG30" s="1">
        <f t="shared" si="4"/>
        <v>9.294422194165973</v>
      </c>
      <c r="AI30" s="1">
        <v>52</v>
      </c>
      <c r="AJ30" s="1">
        <v>13</v>
      </c>
      <c r="AK30" s="1">
        <f t="shared" si="5"/>
        <v>5800.0605547793984</v>
      </c>
      <c r="AL30" s="1">
        <f t="shared" si="6"/>
        <v>6426.5815877618179</v>
      </c>
      <c r="AM30" s="1">
        <f t="shared" si="7"/>
        <v>-3.9679991095867639</v>
      </c>
    </row>
    <row r="31" spans="2:39" x14ac:dyDescent="0.25">
      <c r="Q31" s="1">
        <v>54</v>
      </c>
      <c r="R31" s="1">
        <v>13.5</v>
      </c>
      <c r="S31" s="1">
        <f t="shared" si="11"/>
        <v>1820.2080477187235</v>
      </c>
      <c r="T31" s="1">
        <f t="shared" si="8"/>
        <v>1689.6971343223277</v>
      </c>
      <c r="U31" s="1">
        <f t="shared" si="9"/>
        <v>-3.1673137251858829</v>
      </c>
      <c r="W31" s="1">
        <v>54</v>
      </c>
      <c r="X31" s="1">
        <v>13.5</v>
      </c>
      <c r="Y31" s="1">
        <f t="shared" si="10"/>
        <v>3288.1747813567913</v>
      </c>
      <c r="Z31" s="1">
        <f t="shared" si="0"/>
        <v>3491.062961844148</v>
      </c>
      <c r="AA31" s="1">
        <f t="shared" si="1"/>
        <v>7.7514213760848456</v>
      </c>
      <c r="AC31" s="1">
        <v>54</v>
      </c>
      <c r="AD31" s="1">
        <v>13.5</v>
      </c>
      <c r="AE31" s="1">
        <f t="shared" si="2"/>
        <v>4764.2255463770625</v>
      </c>
      <c r="AF31" s="1">
        <f t="shared" si="3"/>
        <v>5027.6440936612416</v>
      </c>
      <c r="AG31" s="1">
        <f t="shared" si="4"/>
        <v>12.481026087743267</v>
      </c>
      <c r="AI31" s="1">
        <v>54</v>
      </c>
      <c r="AJ31" s="1">
        <v>13.5</v>
      </c>
      <c r="AK31" s="1">
        <f t="shared" si="5"/>
        <v>5737.0960178084833</v>
      </c>
      <c r="AL31" s="1">
        <f t="shared" si="6"/>
        <v>6415.5604654642684</v>
      </c>
      <c r="AM31" s="1">
        <f t="shared" si="7"/>
        <v>2.5339050572020101</v>
      </c>
    </row>
    <row r="32" spans="2:39" x14ac:dyDescent="0.25">
      <c r="Q32" s="1">
        <v>56</v>
      </c>
      <c r="R32" s="1">
        <v>14</v>
      </c>
      <c r="S32" s="1">
        <f t="shared" si="11"/>
        <v>1810.0448495145549</v>
      </c>
      <c r="T32" s="1">
        <f t="shared" si="8"/>
        <v>1679.0505665680093</v>
      </c>
      <c r="U32" s="1">
        <f t="shared" si="9"/>
        <v>-3.0241636152411324</v>
      </c>
      <c r="W32" s="1">
        <v>56</v>
      </c>
      <c r="X32" s="1">
        <v>14</v>
      </c>
      <c r="Y32" s="1">
        <f t="shared" si="10"/>
        <v>3258.7958949761801</v>
      </c>
      <c r="Z32" s="1">
        <f t="shared" si="0"/>
        <v>3489.3672429607604</v>
      </c>
      <c r="AA32" s="1">
        <f t="shared" si="1"/>
        <v>8.8641437600324728</v>
      </c>
      <c r="AC32" s="1">
        <v>56</v>
      </c>
      <c r="AD32" s="1">
        <v>14</v>
      </c>
      <c r="AE32" s="1">
        <f t="shared" si="2"/>
        <v>4725.4038021916485</v>
      </c>
      <c r="AF32" s="1">
        <f t="shared" si="3"/>
        <v>5019.2157316051553</v>
      </c>
      <c r="AG32" s="1">
        <f t="shared" si="4"/>
        <v>15.384474462564484</v>
      </c>
      <c r="AI32" s="1">
        <v>56</v>
      </c>
      <c r="AJ32" s="1">
        <v>14</v>
      </c>
      <c r="AK32" s="1">
        <f t="shared" si="5"/>
        <v>5676.4640389586766</v>
      </c>
      <c r="AL32" s="1">
        <f t="shared" si="6"/>
        <v>6401.8831634469207</v>
      </c>
      <c r="AM32" s="1">
        <f t="shared" si="7"/>
        <v>8.4628157400245847</v>
      </c>
    </row>
    <row r="33" spans="17:39" x14ac:dyDescent="0.25">
      <c r="Q33" s="1">
        <v>58</v>
      </c>
      <c r="R33" s="1">
        <v>14.5</v>
      </c>
      <c r="S33" s="1">
        <f t="shared" si="11"/>
        <v>1800.4040704090241</v>
      </c>
      <c r="T33" s="1">
        <f t="shared" si="8"/>
        <v>1668.7518616463985</v>
      </c>
      <c r="U33" s="1">
        <f t="shared" si="9"/>
        <v>-2.894949327091874</v>
      </c>
      <c r="W33" s="1">
        <v>58</v>
      </c>
      <c r="X33" s="1">
        <v>14.5</v>
      </c>
      <c r="Y33" s="1">
        <f t="shared" si="10"/>
        <v>3230.708986211408</v>
      </c>
      <c r="Z33" s="1">
        <f t="shared" si="0"/>
        <v>3487.4528596745336</v>
      </c>
      <c r="AA33" s="1">
        <f t="shared" si="1"/>
        <v>9.8862997865253384</v>
      </c>
      <c r="AC33" s="1">
        <v>58</v>
      </c>
      <c r="AD33" s="1">
        <v>14.5</v>
      </c>
      <c r="AE33" s="1">
        <f t="shared" si="2"/>
        <v>4688.2580037304642</v>
      </c>
      <c r="AF33" s="1">
        <f t="shared" si="3"/>
        <v>5010.4898995504345</v>
      </c>
      <c r="AG33" s="1">
        <f t="shared" si="4"/>
        <v>18.036578636954602</v>
      </c>
      <c r="AI33" s="1">
        <v>58</v>
      </c>
      <c r="AJ33" s="1">
        <v>14.5</v>
      </c>
      <c r="AK33" s="1">
        <f t="shared" si="5"/>
        <v>5618.0512369587204</v>
      </c>
      <c r="AL33" s="1">
        <f t="shared" si="6"/>
        <v>6386.2418492386141</v>
      </c>
      <c r="AM33" s="1">
        <f t="shared" si="7"/>
        <v>13.878437124815733</v>
      </c>
    </row>
    <row r="34" spans="17:39" x14ac:dyDescent="0.25">
      <c r="Q34" s="1">
        <v>60</v>
      </c>
      <c r="R34" s="1">
        <v>15</v>
      </c>
      <c r="S34" s="1">
        <f t="shared" si="11"/>
        <v>1791.2483725093089</v>
      </c>
      <c r="T34" s="1">
        <f t="shared" si="8"/>
        <v>1658.8059388305653</v>
      </c>
      <c r="U34" s="1">
        <f t="shared" si="9"/>
        <v>-2.777810485436186</v>
      </c>
      <c r="W34" s="1">
        <v>60</v>
      </c>
      <c r="X34" s="1">
        <v>15</v>
      </c>
      <c r="Y34" s="1">
        <f t="shared" si="10"/>
        <v>3203.837121746149</v>
      </c>
      <c r="Z34" s="1">
        <f t="shared" si="0"/>
        <v>3485.379081793043</v>
      </c>
      <c r="AA34" s="1">
        <f t="shared" si="1"/>
        <v>10.827556135622608</v>
      </c>
      <c r="AC34" s="1">
        <v>60</v>
      </c>
      <c r="AD34" s="1">
        <v>15</v>
      </c>
      <c r="AE34" s="1">
        <f t="shared" si="2"/>
        <v>4652.6897482715503</v>
      </c>
      <c r="AF34" s="1">
        <f t="shared" si="3"/>
        <v>5001.6152877260411</v>
      </c>
      <c r="AG34" s="1">
        <f t="shared" si="4"/>
        <v>20.465184660506772</v>
      </c>
      <c r="AI34" s="1">
        <v>60</v>
      </c>
      <c r="AJ34" s="1">
        <v>15</v>
      </c>
      <c r="AK34" s="1">
        <f t="shared" si="5"/>
        <v>5561.7499892255119</v>
      </c>
      <c r="AL34" s="1">
        <f t="shared" si="6"/>
        <v>6369.1892233335466</v>
      </c>
      <c r="AM34" s="1">
        <f t="shared" si="7"/>
        <v>18.834463697242683</v>
      </c>
    </row>
    <row r="35" spans="17:39" x14ac:dyDescent="0.25">
      <c r="Q35" s="1">
        <v>62</v>
      </c>
      <c r="R35" s="1">
        <v>15.5</v>
      </c>
      <c r="S35" s="1">
        <f t="shared" si="11"/>
        <v>1782.5436361229226</v>
      </c>
      <c r="T35" s="1">
        <f t="shared" si="8"/>
        <v>1649.2121588930997</v>
      </c>
      <c r="U35" s="1">
        <f t="shared" si="9"/>
        <v>-2.6711932662214775</v>
      </c>
      <c r="W35" s="1">
        <v>62</v>
      </c>
      <c r="X35" s="1">
        <v>15.5</v>
      </c>
      <c r="Y35" s="1">
        <f t="shared" si="10"/>
        <v>3178.1085583820641</v>
      </c>
      <c r="Z35" s="1">
        <f t="shared" si="0"/>
        <v>3483.1925395926523</v>
      </c>
      <c r="AA35" s="1">
        <f t="shared" si="1"/>
        <v>11.696365107182498</v>
      </c>
      <c r="AC35" s="1">
        <v>62</v>
      </c>
      <c r="AD35" s="1">
        <v>15.5</v>
      </c>
      <c r="AE35" s="1">
        <f t="shared" si="2"/>
        <v>4618.6072554913462</v>
      </c>
      <c r="AF35" s="1">
        <f t="shared" si="3"/>
        <v>4992.7037167565941</v>
      </c>
      <c r="AG35" s="1">
        <f t="shared" si="4"/>
        <v>22.694649916527062</v>
      </c>
      <c r="AI35" s="1">
        <v>62</v>
      </c>
      <c r="AJ35" s="1">
        <v>15.5</v>
      </c>
      <c r="AK35" s="1">
        <f t="shared" si="5"/>
        <v>5507.458289790331</v>
      </c>
      <c r="AL35" s="1">
        <f t="shared" si="6"/>
        <v>6351.1646705922567</v>
      </c>
      <c r="AM35" s="1">
        <f t="shared" si="7"/>
        <v>23.378865726392561</v>
      </c>
    </row>
    <row r="36" spans="17:39" x14ac:dyDescent="0.25">
      <c r="Q36" s="1">
        <v>64</v>
      </c>
      <c r="R36" s="1">
        <v>16</v>
      </c>
      <c r="S36" s="1">
        <f t="shared" si="11"/>
        <v>1774.2586640940144</v>
      </c>
      <c r="T36" s="1">
        <f t="shared" si="8"/>
        <v>1639.9658868902334</v>
      </c>
      <c r="U36" s="1">
        <f t="shared" si="9"/>
        <v>-2.5737914565894648</v>
      </c>
      <c r="W36" s="1">
        <v>64</v>
      </c>
      <c r="X36" s="1">
        <v>16</v>
      </c>
      <c r="Y36" s="1">
        <f t="shared" si="10"/>
        <v>3153.4564450590156</v>
      </c>
      <c r="Z36" s="1">
        <f t="shared" ref="Z36:Z54" si="12">$F$10*SIN($E$10*ATAN($D$10*(X36+$H$10)-$G$10*($D$10*(X36+$H$10)-ATAN($D$10*(X36+$H$10)))))+$I$10</f>
        <v>3480.929953594059</v>
      </c>
      <c r="AA36" s="1">
        <f t="shared" ref="AA36:AA54" si="13">$F$15*SIN($E$15*ATAN($D$15*(X36+$H$15)-$G$15*($D$15*(X36+$H$15)-ATAN($D$15*(X36+$H$15)))))+$I$15</f>
        <v>12.500131484674792</v>
      </c>
      <c r="AC36" s="1">
        <v>64</v>
      </c>
      <c r="AD36" s="1">
        <v>16</v>
      </c>
      <c r="AE36" s="1">
        <f t="shared" ref="AE36:AE54" si="14">$F$6*SIN($E$6*ATAN($D$6*(AC36+$H$6)-$G$6*($D$6*(AC36+$H$6)-ATAN($D$6*(AC36+$H$6)))))+$I$6</f>
        <v>4585.9249678009101</v>
      </c>
      <c r="AF36" s="1">
        <f t="shared" ref="AF36:AF54" si="15">$F$11*SIN($E$11*ATAN($D$11*(AD36+$H$11)-$G$11*($D$11*(AD36+$H$11)-ATAN($D$11*(AD36+$H$11)))))+$I$11</f>
        <v>4983.8386934592063</v>
      </c>
      <c r="AG36" s="1">
        <f t="shared" ref="AG36:AG54" si="16">$F$16*SIN($E$16*ATAN($D$16*(AD36+$H$16)-$G$16*($D$16*(AD36+$H$16)-ATAN($D$16*(AD36+$H$16)))))+$I$16</f>
        <v>24.746284350613877</v>
      </c>
      <c r="AI36" s="1">
        <v>64</v>
      </c>
      <c r="AJ36" s="1">
        <v>16</v>
      </c>
      <c r="AK36" s="1">
        <f t="shared" ref="AK36:AK54" si="17">$F$7*SIN($E$7*ATAN($D$7*(AI36+$H$7)-$G$7*($D$7*(AI36+$H$7)-ATAN($D$7*(AI36+$H$7)))))+$I$7</f>
        <v>5455.0795623921667</v>
      </c>
      <c r="AL36" s="1">
        <f t="shared" ref="AL36:AL54" si="18">$F$12*SIN($E$12*ATAN($D$12*(AJ36+$H$12)-$G$12*($D$12*(AJ36+$H$12)-ATAN($D$12*(AJ36+$H$12)))))+$I$12</f>
        <v>6332.5159047693305</v>
      </c>
      <c r="AM36" s="1">
        <f t="shared" ref="AM36:AM54" si="19">$F$17*SIN($E$17*ATAN($D$17*(AJ36+$H$17)-$G$17*($D$17*(AJ36+$H$17)-ATAN($D$17*(AJ36+$H$17)))))+$I$17</f>
        <v>27.554315431738061</v>
      </c>
    </row>
    <row r="37" spans="17:39" x14ac:dyDescent="0.25">
      <c r="Q37" s="1">
        <v>66</v>
      </c>
      <c r="R37" s="1">
        <v>16.5</v>
      </c>
      <c r="S37" s="1">
        <f t="shared" si="11"/>
        <v>1766.3649087690958</v>
      </c>
      <c r="T37" s="1">
        <f t="shared" si="8"/>
        <v>1631.0596643776084</v>
      </c>
      <c r="U37" s="1">
        <f t="shared" si="9"/>
        <v>-2.4845002814982013</v>
      </c>
      <c r="W37" s="1">
        <v>66</v>
      </c>
      <c r="X37" s="1">
        <v>16.5</v>
      </c>
      <c r="Y37" s="1">
        <f t="shared" si="10"/>
        <v>3129.8185152736719</v>
      </c>
      <c r="Z37" s="1">
        <f t="shared" si="12"/>
        <v>3478.6202439169724</v>
      </c>
      <c r="AA37" s="1">
        <f t="shared" si="13"/>
        <v>13.245356238119491</v>
      </c>
      <c r="AC37" s="1">
        <v>66</v>
      </c>
      <c r="AD37" s="1">
        <v>16.5</v>
      </c>
      <c r="AE37" s="1">
        <f t="shared" si="14"/>
        <v>4554.5631475564114</v>
      </c>
      <c r="AF37" s="1">
        <f t="shared" si="15"/>
        <v>4975.0819632557032</v>
      </c>
      <c r="AG37" s="1">
        <f t="shared" si="16"/>
        <v>26.63874773911688</v>
      </c>
      <c r="AI37" s="1">
        <v>66</v>
      </c>
      <c r="AJ37" s="1">
        <v>16.5</v>
      </c>
      <c r="AK37" s="1">
        <f t="shared" si="17"/>
        <v>5404.5224447824166</v>
      </c>
      <c r="AL37" s="1">
        <f t="shared" si="18"/>
        <v>6313.5167250959175</v>
      </c>
      <c r="AM37" s="1">
        <f t="shared" si="19"/>
        <v>31.398672251892215</v>
      </c>
    </row>
    <row r="38" spans="17:39" x14ac:dyDescent="0.25">
      <c r="Q38" s="1">
        <v>68</v>
      </c>
      <c r="R38" s="1">
        <v>17</v>
      </c>
      <c r="S38" s="1">
        <f t="shared" si="11"/>
        <v>1758.8362222134058</v>
      </c>
      <c r="T38" s="1">
        <f t="shared" si="8"/>
        <v>1622.4840884218236</v>
      </c>
      <c r="U38" s="1">
        <f t="shared" si="9"/>
        <v>-2.4023799561025321</v>
      </c>
      <c r="W38" s="1">
        <v>68</v>
      </c>
      <c r="X38" s="1">
        <v>17</v>
      </c>
      <c r="Y38" s="1">
        <f t="shared" si="10"/>
        <v>3107.1367807314336</v>
      </c>
      <c r="Z38" s="1">
        <f t="shared" si="12"/>
        <v>3476.2861682573925</v>
      </c>
      <c r="AA38" s="1">
        <f t="shared" si="13"/>
        <v>13.937759823326427</v>
      </c>
      <c r="AC38" s="1">
        <v>68</v>
      </c>
      <c r="AD38" s="1">
        <v>17</v>
      </c>
      <c r="AE38" s="1">
        <f t="shared" si="14"/>
        <v>4524.4474817993396</v>
      </c>
      <c r="AF38" s="1">
        <f t="shared" si="15"/>
        <v>4966.478538197508</v>
      </c>
      <c r="AG38" s="1">
        <f t="shared" si="16"/>
        <v>28.388401087526361</v>
      </c>
      <c r="AI38" s="1">
        <v>68</v>
      </c>
      <c r="AJ38" s="1">
        <v>17</v>
      </c>
      <c r="AK38" s="1">
        <f t="shared" si="17"/>
        <v>5355.7005559825657</v>
      </c>
      <c r="AL38" s="1">
        <f t="shared" si="18"/>
        <v>6294.3814893452927</v>
      </c>
      <c r="AM38" s="1">
        <f t="shared" si="19"/>
        <v>34.945478045761121</v>
      </c>
    </row>
    <row r="39" spans="17:39" x14ac:dyDescent="0.25">
      <c r="Q39" s="1">
        <v>70</v>
      </c>
      <c r="R39" s="1">
        <v>17.5</v>
      </c>
      <c r="S39" s="1">
        <f t="shared" si="11"/>
        <v>1751.648629165544</v>
      </c>
      <c r="T39" s="1">
        <f t="shared" si="8"/>
        <v>1614.2284698919204</v>
      </c>
      <c r="U39" s="1">
        <f t="shared" si="9"/>
        <v>-2.3266267053314067</v>
      </c>
      <c r="W39" s="1">
        <v>70</v>
      </c>
      <c r="X39" s="1">
        <v>17.5</v>
      </c>
      <c r="Y39" s="1">
        <f t="shared" si="10"/>
        <v>3085.3572332421263</v>
      </c>
      <c r="Z39" s="1">
        <f t="shared" si="12"/>
        <v>3473.9455998449967</v>
      </c>
      <c r="AA39" s="1">
        <f t="shared" si="13"/>
        <v>14.582387758044852</v>
      </c>
      <c r="AC39" s="1">
        <v>70</v>
      </c>
      <c r="AD39" s="1">
        <v>17.5</v>
      </c>
      <c r="AE39" s="1">
        <f t="shared" si="14"/>
        <v>4495.5087013180901</v>
      </c>
      <c r="AF39" s="1">
        <f t="shared" si="15"/>
        <v>4958.0605633818441</v>
      </c>
      <c r="AG39" s="1">
        <f t="shared" si="16"/>
        <v>30.00961387780648</v>
      </c>
      <c r="AI39" s="1">
        <v>70</v>
      </c>
      <c r="AJ39" s="1">
        <v>17.5</v>
      </c>
      <c r="AK39" s="1">
        <f t="shared" si="17"/>
        <v>5308.5322550624887</v>
      </c>
      <c r="AL39" s="1">
        <f t="shared" si="18"/>
        <v>6275.2768551135869</v>
      </c>
      <c r="AM39" s="1">
        <f t="shared" si="19"/>
        <v>38.224433967897752</v>
      </c>
    </row>
    <row r="40" spans="17:39" x14ac:dyDescent="0.25">
      <c r="Q40" s="1">
        <v>72</v>
      </c>
      <c r="R40" s="1">
        <v>18</v>
      </c>
      <c r="S40" s="1">
        <f t="shared" si="11"/>
        <v>1744.7801215709151</v>
      </c>
      <c r="T40" s="1">
        <f t="shared" si="8"/>
        <v>1606.2813251891275</v>
      </c>
      <c r="U40" s="1">
        <f t="shared" si="9"/>
        <v>-2.256549560108656</v>
      </c>
      <c r="W40" s="1">
        <v>72</v>
      </c>
      <c r="X40" s="1">
        <v>18</v>
      </c>
      <c r="Y40" s="1">
        <f t="shared" si="10"/>
        <v>3064.4295592233834</v>
      </c>
      <c r="Z40" s="1">
        <f t="shared" si="12"/>
        <v>3471.6125290136688</v>
      </c>
      <c r="AA40" s="1">
        <f t="shared" si="13"/>
        <v>15.18370094464991</v>
      </c>
      <c r="AC40" s="1">
        <v>72</v>
      </c>
      <c r="AD40" s="1">
        <v>18</v>
      </c>
      <c r="AE40" s="1">
        <f t="shared" si="14"/>
        <v>4467.6822181403759</v>
      </c>
      <c r="AF40" s="1">
        <f t="shared" si="15"/>
        <v>4949.8502964542631</v>
      </c>
      <c r="AG40" s="1">
        <f t="shared" si="16"/>
        <v>31.515030685710556</v>
      </c>
      <c r="AI40" s="1">
        <v>72</v>
      </c>
      <c r="AJ40" s="1">
        <v>18</v>
      </c>
      <c r="AK40" s="1">
        <f t="shared" si="17"/>
        <v>5262.940397651525</v>
      </c>
      <c r="AL40" s="1">
        <f t="shared" si="18"/>
        <v>6256.3312726331269</v>
      </c>
      <c r="AM40" s="1">
        <f t="shared" si="19"/>
        <v>41.261844018716516</v>
      </c>
    </row>
    <row r="41" spans="17:39" x14ac:dyDescent="0.25">
      <c r="Q41" s="1">
        <v>74</v>
      </c>
      <c r="R41" s="1">
        <v>18.5</v>
      </c>
      <c r="S41" s="1">
        <f t="shared" si="11"/>
        <v>1738.210473197624</v>
      </c>
      <c r="T41" s="1">
        <f t="shared" si="8"/>
        <v>1598.6307420250057</v>
      </c>
      <c r="U41" s="1">
        <f t="shared" si="9"/>
        <v>-2.1915516551181753</v>
      </c>
      <c r="W41" s="1">
        <v>74</v>
      </c>
      <c r="X41" s="1">
        <v>18.5</v>
      </c>
      <c r="Y41" s="1">
        <f t="shared" si="10"/>
        <v>3044.3068693494533</v>
      </c>
      <c r="Z41" s="1">
        <f t="shared" si="12"/>
        <v>3469.2978515242471</v>
      </c>
      <c r="AA41" s="1">
        <f t="shared" si="13"/>
        <v>15.745652943072216</v>
      </c>
      <c r="AC41" s="1">
        <v>74</v>
      </c>
      <c r="AD41" s="1">
        <v>18.5</v>
      </c>
      <c r="AE41" s="1">
        <f t="shared" si="14"/>
        <v>4440.9077837115046</v>
      </c>
      <c r="AF41" s="1">
        <f t="shared" si="15"/>
        <v>4941.8624083648683</v>
      </c>
      <c r="AG41" s="1">
        <f t="shared" si="16"/>
        <v>32.915801420593965</v>
      </c>
      <c r="AI41" s="1">
        <v>74</v>
      </c>
      <c r="AJ41" s="1">
        <v>18.5</v>
      </c>
      <c r="AK41" s="1">
        <f t="shared" si="17"/>
        <v>5218.8520946396557</v>
      </c>
      <c r="AL41" s="1">
        <f t="shared" si="18"/>
        <v>6237.642641200996</v>
      </c>
      <c r="AM41" s="1">
        <f t="shared" si="19"/>
        <v>44.081018503052789</v>
      </c>
    </row>
    <row r="42" spans="17:39" x14ac:dyDescent="0.25">
      <c r="Q42" s="1">
        <v>76</v>
      </c>
      <c r="R42" s="1">
        <v>19</v>
      </c>
      <c r="S42" s="1">
        <f t="shared" si="11"/>
        <v>1731.9210726969839</v>
      </c>
      <c r="T42" s="1">
        <f t="shared" si="8"/>
        <v>1591.2646498037413</v>
      </c>
      <c r="U42" s="1">
        <f t="shared" si="9"/>
        <v>-2.1311150591682004</v>
      </c>
      <c r="W42" s="1">
        <v>76</v>
      </c>
      <c r="X42" s="1">
        <v>19</v>
      </c>
      <c r="Y42" s="1">
        <f t="shared" si="10"/>
        <v>3024.9454446306572</v>
      </c>
      <c r="Z42" s="1">
        <f t="shared" si="12"/>
        <v>3467.0099915537398</v>
      </c>
      <c r="AA42" s="1">
        <f t="shared" si="13"/>
        <v>16.271756121043158</v>
      </c>
      <c r="AC42" s="1">
        <v>76</v>
      </c>
      <c r="AD42" s="1">
        <v>19</v>
      </c>
      <c r="AE42" s="1">
        <f t="shared" si="14"/>
        <v>4415.1291687425728</v>
      </c>
      <c r="AF42" s="1">
        <f t="shared" si="15"/>
        <v>4934.1057633754681</v>
      </c>
      <c r="AG42" s="1">
        <f t="shared" si="16"/>
        <v>34.221779565122127</v>
      </c>
      <c r="AI42" s="1">
        <v>76</v>
      </c>
      <c r="AJ42" s="1">
        <v>19</v>
      </c>
      <c r="AK42" s="1">
        <f t="shared" si="17"/>
        <v>5176.1984762150732</v>
      </c>
      <c r="AL42" s="1">
        <f t="shared" si="18"/>
        <v>6219.2844740992732</v>
      </c>
      <c r="AM42" s="1">
        <f t="shared" si="19"/>
        <v>46.70263560123712</v>
      </c>
    </row>
    <row r="43" spans="17:39" x14ac:dyDescent="0.25">
      <c r="Q43" s="1">
        <v>78</v>
      </c>
      <c r="R43" s="1">
        <v>19.5</v>
      </c>
      <c r="S43" s="1">
        <f t="shared" si="11"/>
        <v>1725.894773450098</v>
      </c>
      <c r="T43" s="1">
        <f t="shared" si="8"/>
        <v>1584.1710176740553</v>
      </c>
      <c r="U43" s="1">
        <f t="shared" si="9"/>
        <v>-2.0747883965003293</v>
      </c>
      <c r="W43" s="1">
        <v>78</v>
      </c>
      <c r="X43" s="1">
        <v>19.5</v>
      </c>
      <c r="Y43" s="1">
        <f t="shared" si="10"/>
        <v>3006.3044993588028</v>
      </c>
      <c r="Z43" s="1">
        <f t="shared" si="12"/>
        <v>3464.7553958974336</v>
      </c>
      <c r="AA43" s="1">
        <f t="shared" si="13"/>
        <v>16.76513834467757</v>
      </c>
      <c r="AC43" s="1">
        <v>78</v>
      </c>
      <c r="AD43" s="1">
        <v>19.5</v>
      </c>
      <c r="AE43" s="1">
        <f t="shared" si="14"/>
        <v>4390.2938648524751</v>
      </c>
      <c r="AF43" s="1">
        <f t="shared" si="15"/>
        <v>4926.5847984856618</v>
      </c>
      <c r="AG43" s="1">
        <f t="shared" si="16"/>
        <v>35.44169259162846</v>
      </c>
      <c r="AI43" s="1">
        <v>78</v>
      </c>
      <c r="AJ43" s="1">
        <v>19.5</v>
      </c>
      <c r="AK43" s="1">
        <f t="shared" si="17"/>
        <v>5134.9144634040695</v>
      </c>
      <c r="AL43" s="1">
        <f t="shared" si="18"/>
        <v>6201.3108568828475</v>
      </c>
      <c r="AM43" s="1">
        <f t="shared" si="19"/>
        <v>49.145062135945906</v>
      </c>
    </row>
    <row r="44" spans="17:39" x14ac:dyDescent="0.25">
      <c r="Q44" s="1">
        <v>80</v>
      </c>
      <c r="R44" s="1">
        <v>20</v>
      </c>
      <c r="S44" s="1">
        <f t="shared" si="11"/>
        <v>1720.1157585934441</v>
      </c>
      <c r="T44" s="1">
        <f t="shared" si="8"/>
        <v>1577.3379977147101</v>
      </c>
      <c r="U44" s="1">
        <f t="shared" si="9"/>
        <v>-2.0221766873697486</v>
      </c>
      <c r="W44" s="1">
        <v>80</v>
      </c>
      <c r="X44" s="1">
        <v>20</v>
      </c>
      <c r="Y44" s="1">
        <f t="shared" si="10"/>
        <v>2988.3459607863874</v>
      </c>
      <c r="Z44" s="1">
        <f t="shared" si="12"/>
        <v>3462.5389273989449</v>
      </c>
      <c r="AA44" s="1">
        <f t="shared" si="13"/>
        <v>17.228591632010581</v>
      </c>
      <c r="AC44" s="1">
        <v>80</v>
      </c>
      <c r="AD44" s="1">
        <v>20</v>
      </c>
      <c r="AE44" s="1">
        <f t="shared" si="14"/>
        <v>4366.3528075578815</v>
      </c>
      <c r="AF44" s="1">
        <f t="shared" si="15"/>
        <v>4919.3005938973092</v>
      </c>
      <c r="AG44" s="1">
        <f t="shared" si="16"/>
        <v>36.583288373226004</v>
      </c>
      <c r="AI44" s="1">
        <v>80</v>
      </c>
      <c r="AJ44" s="1">
        <v>20</v>
      </c>
      <c r="AK44" s="1">
        <f t="shared" si="17"/>
        <v>5094.9385485466264</v>
      </c>
      <c r="AL44" s="1">
        <f t="shared" si="18"/>
        <v>6183.7604321605422</v>
      </c>
      <c r="AM44" s="1">
        <f t="shared" si="19"/>
        <v>51.424636174959673</v>
      </c>
    </row>
    <row r="45" spans="17:39" x14ac:dyDescent="0.25">
      <c r="Q45" s="1">
        <v>82</v>
      </c>
      <c r="R45" s="1">
        <v>20.5</v>
      </c>
      <c r="S45" s="1">
        <f t="shared" si="11"/>
        <v>1714.5694197086329</v>
      </c>
      <c r="T45" s="1">
        <f t="shared" si="8"/>
        <v>1570.7540265129894</v>
      </c>
      <c r="U45" s="1">
        <f t="shared" si="9"/>
        <v>-1.9729329642560032</v>
      </c>
      <c r="W45" s="1">
        <v>82</v>
      </c>
      <c r="X45" s="1">
        <v>20.5</v>
      </c>
      <c r="Y45" s="1">
        <f t="shared" si="10"/>
        <v>2971.0342650385865</v>
      </c>
      <c r="Z45" s="1">
        <f t="shared" si="12"/>
        <v>3460.3641791881255</v>
      </c>
      <c r="AA45" s="1">
        <f t="shared" si="13"/>
        <v>17.664613979442688</v>
      </c>
      <c r="AC45" s="1">
        <v>82</v>
      </c>
      <c r="AD45" s="1">
        <v>20.5</v>
      </c>
      <c r="AE45" s="1">
        <f t="shared" si="14"/>
        <v>4343.2601197997819</v>
      </c>
      <c r="AF45" s="1">
        <f t="shared" si="15"/>
        <v>4912.2517045579398</v>
      </c>
      <c r="AG45" s="1">
        <f t="shared" si="16"/>
        <v>37.653460988648739</v>
      </c>
      <c r="AI45" s="1">
        <v>82</v>
      </c>
      <c r="AJ45" s="1">
        <v>20.5</v>
      </c>
      <c r="AK45" s="1">
        <f t="shared" si="17"/>
        <v>5056.2125855950235</v>
      </c>
      <c r="AL45" s="1">
        <f t="shared" si="18"/>
        <v>6166.6596003761824</v>
      </c>
      <c r="AM45" s="1">
        <f t="shared" si="19"/>
        <v>53.555914845849635</v>
      </c>
    </row>
    <row r="46" spans="17:39" x14ac:dyDescent="0.25">
      <c r="Q46" s="1">
        <v>84</v>
      </c>
      <c r="R46" s="1">
        <v>21</v>
      </c>
      <c r="S46" s="1">
        <f t="shared" si="11"/>
        <v>1709.2422477743114</v>
      </c>
      <c r="T46" s="1">
        <f t="shared" si="8"/>
        <v>1564.4078952279747</v>
      </c>
      <c r="U46" s="1">
        <f t="shared" si="9"/>
        <v>-1.926751317173494</v>
      </c>
      <c r="W46" s="1">
        <v>84</v>
      </c>
      <c r="X46" s="1">
        <v>21</v>
      </c>
      <c r="Y46" s="1">
        <f t="shared" si="10"/>
        <v>2954.336168527042</v>
      </c>
      <c r="Z46" s="1">
        <f t="shared" si="12"/>
        <v>3458.2337264283829</v>
      </c>
      <c r="AA46" s="1">
        <f t="shared" si="13"/>
        <v>18.075445386371619</v>
      </c>
      <c r="AC46" s="1">
        <v>84</v>
      </c>
      <c r="AD46" s="1">
        <v>21</v>
      </c>
      <c r="AE46" s="1">
        <f t="shared" si="14"/>
        <v>4320.9728749734986</v>
      </c>
      <c r="AF46" s="1">
        <f t="shared" si="15"/>
        <v>4905.4348064786227</v>
      </c>
      <c r="AG46" s="1">
        <f t="shared" si="16"/>
        <v>38.658358895001498</v>
      </c>
      <c r="AI46" s="1">
        <v>84</v>
      </c>
      <c r="AJ46" s="1">
        <v>21</v>
      </c>
      <c r="AK46" s="1">
        <f t="shared" si="17"/>
        <v>5018.6815907176142</v>
      </c>
      <c r="AL46" s="1">
        <f t="shared" si="18"/>
        <v>6150.0250899107323</v>
      </c>
      <c r="AM46" s="1">
        <f t="shared" si="19"/>
        <v>55.55189097731995</v>
      </c>
    </row>
    <row r="47" spans="17:39" x14ac:dyDescent="0.25">
      <c r="Q47" s="1">
        <v>86</v>
      </c>
      <c r="R47" s="1">
        <v>21.5</v>
      </c>
      <c r="S47" s="1">
        <f t="shared" si="11"/>
        <v>1704.1217350988579</v>
      </c>
      <c r="T47" s="1">
        <f t="shared" si="8"/>
        <v>1558.2887958358683</v>
      </c>
      <c r="U47" s="1">
        <f t="shared" si="9"/>
        <v>-1.8833610957038296</v>
      </c>
      <c r="W47" s="1">
        <v>86</v>
      </c>
      <c r="X47" s="1">
        <v>21.5</v>
      </c>
      <c r="Y47" s="1">
        <f t="shared" si="10"/>
        <v>2938.2205740015575</v>
      </c>
      <c r="Z47" s="1">
        <f t="shared" si="12"/>
        <v>3456.1493285586002</v>
      </c>
      <c r="AA47" s="1">
        <f t="shared" si="13"/>
        <v>18.463098944884447</v>
      </c>
      <c r="AC47" s="1">
        <v>86</v>
      </c>
      <c r="AD47" s="1">
        <v>21.5</v>
      </c>
      <c r="AE47" s="1">
        <f t="shared" si="14"/>
        <v>4299.4508783075125</v>
      </c>
      <c r="AF47" s="1">
        <f t="shared" si="15"/>
        <v>4898.8451991105685</v>
      </c>
      <c r="AG47" s="1">
        <f t="shared" si="16"/>
        <v>39.60347804112947</v>
      </c>
      <c r="AI47" s="1">
        <v>86</v>
      </c>
      <c r="AJ47" s="1">
        <v>21.5</v>
      </c>
      <c r="AK47" s="1">
        <f t="shared" si="17"/>
        <v>4982.2935533915143</v>
      </c>
      <c r="AL47" s="1">
        <f t="shared" si="18"/>
        <v>6133.8660201434659</v>
      </c>
      <c r="AM47" s="1">
        <f t="shared" si="19"/>
        <v>57.4241821305353</v>
      </c>
    </row>
    <row r="48" spans="17:39" x14ac:dyDescent="0.25">
      <c r="Q48" s="1">
        <v>88</v>
      </c>
      <c r="R48" s="1">
        <v>22</v>
      </c>
      <c r="S48" s="1">
        <f t="shared" si="11"/>
        <v>1699.1962870731004</v>
      </c>
      <c r="T48" s="1">
        <f t="shared" si="8"/>
        <v>1552.3863494384566</v>
      </c>
      <c r="U48" s="1">
        <f t="shared" si="9"/>
        <v>-1.8425220523661245</v>
      </c>
      <c r="W48" s="1">
        <v>88</v>
      </c>
      <c r="X48" s="1">
        <v>22</v>
      </c>
      <c r="Y48" s="1">
        <f t="shared" si="10"/>
        <v>2922.6583703097776</v>
      </c>
      <c r="Z48" s="1">
        <f t="shared" si="12"/>
        <v>3454.1120921699953</v>
      </c>
      <c r="AA48" s="1">
        <f t="shared" si="13"/>
        <v>18.829387726625779</v>
      </c>
      <c r="AC48" s="1">
        <v>88</v>
      </c>
      <c r="AD48" s="1">
        <v>22</v>
      </c>
      <c r="AE48" s="1">
        <f t="shared" si="14"/>
        <v>4278.6564653842033</v>
      </c>
      <c r="AF48" s="1">
        <f t="shared" si="15"/>
        <v>4892.4771956148461</v>
      </c>
      <c r="AG48" s="1">
        <f t="shared" si="16"/>
        <v>40.493742129870249</v>
      </c>
      <c r="AI48" s="1">
        <v>88</v>
      </c>
      <c r="AJ48" s="1">
        <v>22</v>
      </c>
      <c r="AK48" s="1">
        <f t="shared" si="17"/>
        <v>4946.9992579502941</v>
      </c>
      <c r="AL48" s="1">
        <f t="shared" si="18"/>
        <v>6118.185556954968</v>
      </c>
      <c r="AM48" s="1">
        <f t="shared" si="19"/>
        <v>59.183195373127717</v>
      </c>
    </row>
    <row r="49" spans="17:39" x14ac:dyDescent="0.25">
      <c r="Q49" s="1">
        <v>90</v>
      </c>
      <c r="R49" s="1">
        <v>22.5</v>
      </c>
      <c r="S49" s="1">
        <f t="shared" si="11"/>
        <v>1694.4551426981734</v>
      </c>
      <c r="T49" s="1">
        <f t="shared" si="8"/>
        <v>1546.6906211340372</v>
      </c>
      <c r="U49" s="1">
        <f t="shared" si="9"/>
        <v>-1.8040202560230352</v>
      </c>
      <c r="W49" s="1">
        <v>90</v>
      </c>
      <c r="X49" s="1">
        <v>22.5</v>
      </c>
      <c r="Y49" s="1">
        <f t="shared" si="10"/>
        <v>2907.6222849148726</v>
      </c>
      <c r="Z49" s="1">
        <f t="shared" si="12"/>
        <v>3452.1226024703824</v>
      </c>
      <c r="AA49" s="1">
        <f t="shared" si="13"/>
        <v>19.175948084953255</v>
      </c>
      <c r="AC49" s="1">
        <v>90</v>
      </c>
      <c r="AD49" s="1">
        <v>22.5</v>
      </c>
      <c r="AE49" s="1">
        <f t="shared" si="14"/>
        <v>4258.5543165905929</v>
      </c>
      <c r="AF49" s="1">
        <f t="shared" si="15"/>
        <v>4886.3244256436919</v>
      </c>
      <c r="AG49" s="1">
        <f t="shared" si="16"/>
        <v>41.333571914863626</v>
      </c>
      <c r="AI49" s="1">
        <v>90</v>
      </c>
      <c r="AJ49" s="1">
        <v>22.5</v>
      </c>
      <c r="AK49" s="1">
        <f t="shared" si="17"/>
        <v>4912.7521153968719</v>
      </c>
      <c r="AL49" s="1">
        <f t="shared" si="18"/>
        <v>6102.9822406098401</v>
      </c>
      <c r="AM49" s="1">
        <f t="shared" si="19"/>
        <v>60.838270860085501</v>
      </c>
    </row>
    <row r="50" spans="17:39" x14ac:dyDescent="0.25">
      <c r="Q50" s="1">
        <v>92</v>
      </c>
      <c r="R50" s="1">
        <v>23</v>
      </c>
      <c r="S50" s="1">
        <f t="shared" si="11"/>
        <v>1689.8883029521871</v>
      </c>
      <c r="T50" s="1">
        <f t="shared" si="8"/>
        <v>1541.1921248958824</v>
      </c>
      <c r="U50" s="1">
        <f t="shared" si="9"/>
        <v>-1.7676646383226107</v>
      </c>
      <c r="W50" s="1">
        <v>92</v>
      </c>
      <c r="X50" s="1">
        <v>23</v>
      </c>
      <c r="Y50" s="1">
        <f t="shared" si="10"/>
        <v>2893.0867482317444</v>
      </c>
      <c r="Z50" s="1">
        <f t="shared" si="12"/>
        <v>3450.1810295979672</v>
      </c>
      <c r="AA50" s="1">
        <f t="shared" si="13"/>
        <v>19.504259894386468</v>
      </c>
      <c r="AC50" s="1">
        <v>92</v>
      </c>
      <c r="AD50" s="1">
        <v>23</v>
      </c>
      <c r="AE50" s="1">
        <f t="shared" si="14"/>
        <v>4239.1112863137259</v>
      </c>
      <c r="AF50" s="1">
        <f t="shared" si="15"/>
        <v>4880.380069725361</v>
      </c>
      <c r="AG50" s="1">
        <f t="shared" si="16"/>
        <v>42.126945136748333</v>
      </c>
      <c r="AI50" s="1">
        <v>92</v>
      </c>
      <c r="AJ50" s="1">
        <v>23</v>
      </c>
      <c r="AK50" s="1">
        <f t="shared" si="17"/>
        <v>4879.5080051820933</v>
      </c>
      <c r="AL50" s="1">
        <f t="shared" si="18"/>
        <v>6088.2510502052692</v>
      </c>
      <c r="AM50" s="1">
        <f t="shared" si="19"/>
        <v>62.397806968836392</v>
      </c>
    </row>
    <row r="51" spans="17:39" x14ac:dyDescent="0.25">
      <c r="Q51" s="1">
        <v>94</v>
      </c>
      <c r="R51" s="1">
        <v>23.5</v>
      </c>
      <c r="S51" s="1">
        <f t="shared" si="11"/>
        <v>1685.4864661593115</v>
      </c>
      <c r="T51" s="1">
        <f t="shared" si="8"/>
        <v>1535.8818210968168</v>
      </c>
      <c r="U51" s="1">
        <f t="shared" si="9"/>
        <v>-1.7332840630250335</v>
      </c>
      <c r="W51" s="1">
        <v>94</v>
      </c>
      <c r="X51" s="1">
        <v>23.5</v>
      </c>
      <c r="Y51" s="1">
        <f t="shared" si="10"/>
        <v>2879.0277688729507</v>
      </c>
      <c r="Z51" s="1">
        <f t="shared" si="12"/>
        <v>3448.2872147351136</v>
      </c>
      <c r="AA51" s="1">
        <f t="shared" si="13"/>
        <v>19.815664168521423</v>
      </c>
      <c r="AC51" s="1">
        <v>94</v>
      </c>
      <c r="AD51" s="1">
        <v>23.5</v>
      </c>
      <c r="AE51" s="1">
        <f t="shared" si="14"/>
        <v>4220.2962457418962</v>
      </c>
      <c r="AF51" s="1">
        <f t="shared" si="15"/>
        <v>4874.6370400989681</v>
      </c>
      <c r="AG51" s="1">
        <f t="shared" si="16"/>
        <v>42.877448461799816</v>
      </c>
      <c r="AI51" s="1">
        <v>94</v>
      </c>
      <c r="AJ51" s="1">
        <v>23.5</v>
      </c>
      <c r="AK51" s="1">
        <f t="shared" si="17"/>
        <v>4847.2251265753202</v>
      </c>
      <c r="AL51" s="1">
        <f t="shared" si="18"/>
        <v>6073.9842562116355</v>
      </c>
      <c r="AM51" s="1">
        <f t="shared" si="19"/>
        <v>63.869369419627475</v>
      </c>
    </row>
    <row r="52" spans="17:39" x14ac:dyDescent="0.25">
      <c r="Q52" s="1">
        <v>96</v>
      </c>
      <c r="R52" s="1">
        <v>24</v>
      </c>
      <c r="S52" s="1">
        <f t="shared" si="11"/>
        <v>1681.240969615852</v>
      </c>
      <c r="T52" s="1">
        <f t="shared" si="8"/>
        <v>1530.7511087000562</v>
      </c>
      <c r="U52" s="1">
        <f t="shared" si="9"/>
        <v>-1.7007248291968686</v>
      </c>
      <c r="W52" s="1">
        <v>96</v>
      </c>
      <c r="X52" s="1">
        <v>24</v>
      </c>
      <c r="Y52" s="1">
        <f t="shared" si="10"/>
        <v>2865.4228189385694</v>
      </c>
      <c r="Z52" s="1">
        <f t="shared" si="12"/>
        <v>3446.440739950287</v>
      </c>
      <c r="AA52" s="1">
        <f t="shared" si="13"/>
        <v>20.11137842967079</v>
      </c>
      <c r="AC52" s="1">
        <v>96</v>
      </c>
      <c r="AD52" s="1">
        <v>24</v>
      </c>
      <c r="AE52" s="1">
        <f t="shared" si="14"/>
        <v>4202.0799381921124</v>
      </c>
      <c r="AF52" s="1">
        <f t="shared" si="15"/>
        <v>4869.0881195744605</v>
      </c>
      <c r="AG52" s="1">
        <f t="shared" si="16"/>
        <v>43.588322579507874</v>
      </c>
      <c r="AI52" s="1">
        <v>96</v>
      </c>
      <c r="AJ52" s="1">
        <v>24</v>
      </c>
      <c r="AK52" s="1">
        <f t="shared" si="17"/>
        <v>4815.8638592055831</v>
      </c>
      <c r="AL52" s="1">
        <f t="shared" si="18"/>
        <v>6060.1721024737926</v>
      </c>
      <c r="AM52" s="1">
        <f t="shared" si="19"/>
        <v>65.259786512907951</v>
      </c>
    </row>
    <row r="53" spans="17:39" x14ac:dyDescent="0.25">
      <c r="Q53" s="1">
        <v>98</v>
      </c>
      <c r="R53" s="1">
        <v>24.5</v>
      </c>
      <c r="S53" s="1">
        <f t="shared" si="11"/>
        <v>1677.1437368098952</v>
      </c>
      <c r="T53" s="1">
        <f t="shared" si="8"/>
        <v>1525.7918136612741</v>
      </c>
      <c r="U53" s="1">
        <f t="shared" si="9"/>
        <v>-1.6698485359809787</v>
      </c>
      <c r="W53" s="1">
        <v>98</v>
      </c>
      <c r="X53" s="1">
        <v>24.5</v>
      </c>
      <c r="Y53" s="1">
        <f t="shared" si="10"/>
        <v>2852.2507285344636</v>
      </c>
      <c r="Z53" s="1">
        <f t="shared" si="12"/>
        <v>3444.6409848964345</v>
      </c>
      <c r="AA53" s="1">
        <f t="shared" si="13"/>
        <v>20.392510146458651</v>
      </c>
      <c r="AC53" s="1">
        <v>98</v>
      </c>
      <c r="AD53" s="1">
        <v>24.5</v>
      </c>
      <c r="AE53" s="1">
        <f t="shared" si="14"/>
        <v>4184.4348459498833</v>
      </c>
      <c r="AF53" s="1">
        <f t="shared" si="15"/>
        <v>4863.7260674645468</v>
      </c>
      <c r="AG53" s="1">
        <f t="shared" si="16"/>
        <v>44.262501440031969</v>
      </c>
      <c r="AI53" s="1">
        <v>98</v>
      </c>
      <c r="AJ53" s="1">
        <v>24.5</v>
      </c>
      <c r="AK53" s="1">
        <f t="shared" si="17"/>
        <v>4785.38663232417</v>
      </c>
      <c r="AL53" s="1">
        <f t="shared" si="18"/>
        <v>6046.8033509003199</v>
      </c>
      <c r="AM53" s="1">
        <f t="shared" si="19"/>
        <v>66.575232340972121</v>
      </c>
    </row>
    <row r="54" spans="17:39" x14ac:dyDescent="0.25">
      <c r="Q54" s="1">
        <v>100</v>
      </c>
      <c r="R54" s="1">
        <v>25</v>
      </c>
      <c r="S54" s="1">
        <f t="shared" si="11"/>
        <v>1673.1872296446888</v>
      </c>
      <c r="T54" s="1">
        <f t="shared" si="8"/>
        <v>1520.9961747210964</v>
      </c>
      <c r="U54" s="1">
        <f t="shared" si="9"/>
        <v>-1.6405302499558854</v>
      </c>
      <c r="W54" s="1">
        <v>100</v>
      </c>
      <c r="X54" s="1">
        <v>25</v>
      </c>
      <c r="Y54" s="1">
        <f t="shared" si="10"/>
        <v>2839.4915887571487</v>
      </c>
      <c r="Z54" s="1">
        <f t="shared" si="12"/>
        <v>3442.8871728655786</v>
      </c>
      <c r="AA54" s="1">
        <f t="shared" si="13"/>
        <v>20.660068507697734</v>
      </c>
      <c r="AC54" s="1">
        <v>100</v>
      </c>
      <c r="AD54" s="1">
        <v>25</v>
      </c>
      <c r="AE54" s="1">
        <f t="shared" si="14"/>
        <v>4167.3350676760665</v>
      </c>
      <c r="AF54" s="1">
        <f t="shared" si="15"/>
        <v>4858.5436996756735</v>
      </c>
      <c r="AG54" s="1">
        <f t="shared" si="16"/>
        <v>44.902646463774651</v>
      </c>
      <c r="AI54" s="1">
        <v>100</v>
      </c>
      <c r="AJ54" s="1">
        <v>25</v>
      </c>
      <c r="AK54" s="1">
        <f t="shared" si="17"/>
        <v>4755.7578023265633</v>
      </c>
      <c r="AL54" s="1">
        <f t="shared" si="18"/>
        <v>6033.865715545352</v>
      </c>
      <c r="AM54" s="1">
        <f t="shared" si="19"/>
        <v>67.821299584794531</v>
      </c>
    </row>
  </sheetData>
  <mergeCells count="12">
    <mergeCell ref="AI2:AM2"/>
    <mergeCell ref="B19:J19"/>
    <mergeCell ref="B20:J20"/>
    <mergeCell ref="B2:J2"/>
    <mergeCell ref="B4:B7"/>
    <mergeCell ref="B9:B12"/>
    <mergeCell ref="B14:B17"/>
    <mergeCell ref="B8:J8"/>
    <mergeCell ref="B13:J13"/>
    <mergeCell ref="Q2:U2"/>
    <mergeCell ref="W2:AA2"/>
    <mergeCell ref="AC2:AG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F85C-EB8E-4960-942F-2F34B8B0C3BE}">
  <dimension ref="B1:V53"/>
  <sheetViews>
    <sheetView topLeftCell="A25" zoomScale="85" zoomScaleNormal="85" workbookViewId="0">
      <selection activeCell="D34" sqref="D34"/>
    </sheetView>
  </sheetViews>
  <sheetFormatPr baseColWidth="10" defaultRowHeight="15" x14ac:dyDescent="0.25"/>
  <cols>
    <col min="3" max="3" width="16" customWidth="1"/>
    <col min="5" max="5" width="13.5703125" customWidth="1"/>
    <col min="6" max="6" width="15" customWidth="1"/>
    <col min="8" max="8" width="17" customWidth="1"/>
    <col min="10" max="10" width="13.5703125" customWidth="1"/>
    <col min="13" max="13" width="17.28515625" customWidth="1"/>
    <col min="18" max="18" width="19" customWidth="1"/>
    <col min="19" max="19" width="18" customWidth="1"/>
    <col min="26" max="26" width="15.28515625" customWidth="1"/>
  </cols>
  <sheetData>
    <row r="1" spans="2:22" ht="15.75" thickBot="1" x14ac:dyDescent="0.3"/>
    <row r="2" spans="2:22" ht="32.25" thickBot="1" x14ac:dyDescent="0.3">
      <c r="B2" s="207" t="s">
        <v>147</v>
      </c>
      <c r="C2" s="208"/>
      <c r="D2" s="208"/>
      <c r="E2" s="208"/>
      <c r="F2" s="209"/>
      <c r="G2" s="207" t="s">
        <v>155</v>
      </c>
      <c r="H2" s="208"/>
      <c r="I2" s="208"/>
      <c r="J2" s="208"/>
      <c r="K2" s="209"/>
      <c r="L2" s="207" t="s">
        <v>156</v>
      </c>
      <c r="M2" s="208"/>
      <c r="N2" s="208"/>
      <c r="O2" s="208"/>
      <c r="P2" s="209"/>
      <c r="R2" s="4" t="s">
        <v>14</v>
      </c>
      <c r="S2" s="3" t="s">
        <v>15</v>
      </c>
      <c r="T2" s="3" t="s">
        <v>19</v>
      </c>
      <c r="U2" s="3" t="s">
        <v>1</v>
      </c>
      <c r="V2" s="3" t="s">
        <v>2</v>
      </c>
    </row>
    <row r="3" spans="2:22" ht="15.75" customHeight="1" thickBot="1" x14ac:dyDescent="0.3">
      <c r="B3" s="107" t="s">
        <v>148</v>
      </c>
      <c r="C3" s="107" t="s">
        <v>149</v>
      </c>
      <c r="D3" s="107" t="s">
        <v>150</v>
      </c>
      <c r="E3" s="107" t="s">
        <v>151</v>
      </c>
      <c r="F3" s="107" t="s">
        <v>152</v>
      </c>
      <c r="G3" s="107" t="s">
        <v>148</v>
      </c>
      <c r="H3" s="107" t="s">
        <v>149</v>
      </c>
      <c r="I3" s="107" t="s">
        <v>150</v>
      </c>
      <c r="J3" s="107" t="s">
        <v>151</v>
      </c>
      <c r="K3" s="107" t="s">
        <v>152</v>
      </c>
      <c r="L3" s="107" t="s">
        <v>148</v>
      </c>
      <c r="M3" s="107" t="s">
        <v>149</v>
      </c>
      <c r="N3" s="107" t="s">
        <v>150</v>
      </c>
      <c r="O3" s="107" t="s">
        <v>151</v>
      </c>
      <c r="P3" s="107" t="s">
        <v>152</v>
      </c>
      <c r="R3" s="1">
        <v>0</v>
      </c>
      <c r="S3" s="1">
        <v>-25</v>
      </c>
      <c r="T3" s="1">
        <f>$E$25*
SIN($D$25*
ATAN($C$25*
(R3+$G$25)
-$F$25*
($C$25*(R3+$G$25)
-ATAN($C$25*(R3+$G$25)))))
+$H$25</f>
        <v>-5.8249243819210523</v>
      </c>
      <c r="U3" s="1">
        <f t="shared" ref="U3:U34" si="0">$E$28*SIN($D$28*ATAN($C$28*(S3+$G$28)-$F$28*($C$28*(S3+$G$28)-ATAN($C$28*(S3+$G$28)))))+$H$28</f>
        <v>-4727.5449644718374</v>
      </c>
      <c r="V3" s="1">
        <f t="shared" ref="V3:V34" si="1">$E$31*SIN($D$31*ATAN($C$31*(S3+$G$31)-$F$31*($C$31*(S3+$G$31)-ATAN($C$31*(S3+$G$31)))))+$H$31</f>
        <v>-47.61740394979681</v>
      </c>
    </row>
    <row r="4" spans="2:22" ht="35.25" customHeight="1" thickBot="1" x14ac:dyDescent="0.3">
      <c r="B4" s="106" t="s">
        <v>32</v>
      </c>
      <c r="C4" s="100" t="s">
        <v>153</v>
      </c>
      <c r="D4" s="97"/>
      <c r="E4" s="100" t="s">
        <v>173</v>
      </c>
      <c r="F4" s="55">
        <v>1.5509999999999999</v>
      </c>
      <c r="G4" s="54" t="s">
        <v>33</v>
      </c>
      <c r="H4" s="100" t="s">
        <v>153</v>
      </c>
      <c r="I4" s="97"/>
      <c r="J4" s="100" t="s">
        <v>197</v>
      </c>
      <c r="K4" s="55">
        <v>2.3727200000000002</v>
      </c>
      <c r="L4" s="54" t="s">
        <v>34</v>
      </c>
      <c r="M4" s="97"/>
      <c r="N4" s="97"/>
      <c r="O4" s="97"/>
      <c r="P4" s="55">
        <v>2.298</v>
      </c>
      <c r="R4" s="1">
        <v>2</v>
      </c>
      <c r="S4" s="1">
        <v>-24</v>
      </c>
      <c r="T4" s="1">
        <f t="shared" ref="T4:T35" si="2">$E$25*SIN($D$25*ATAN($C$25*(R4+$G$25)-$F$25*($C$25*(R4+$G$25)-ATAN($C$25*(R4+$G$25)))))+$H$25</f>
        <v>5173.2605180217724</v>
      </c>
      <c r="U4" s="1">
        <f t="shared" si="0"/>
        <v>-4760.3931296800311</v>
      </c>
      <c r="V4" s="1">
        <f t="shared" si="1"/>
        <v>-46.717188188535197</v>
      </c>
    </row>
    <row r="5" spans="2:22" ht="63" customHeight="1" thickBot="1" x14ac:dyDescent="0.3">
      <c r="B5" s="56" t="s">
        <v>35</v>
      </c>
      <c r="C5" s="101" t="s">
        <v>154</v>
      </c>
      <c r="D5" s="101" t="s">
        <v>168</v>
      </c>
      <c r="E5" s="101" t="s">
        <v>174</v>
      </c>
      <c r="F5" s="57">
        <v>-42.02</v>
      </c>
      <c r="G5" s="56" t="s">
        <v>36</v>
      </c>
      <c r="H5" s="101" t="s">
        <v>198</v>
      </c>
      <c r="I5" s="101" t="s">
        <v>168</v>
      </c>
      <c r="J5" s="101" t="s">
        <v>174</v>
      </c>
      <c r="K5" s="57">
        <v>-9.4600000000000009</v>
      </c>
      <c r="L5" s="56" t="s">
        <v>37</v>
      </c>
      <c r="M5" s="98"/>
      <c r="N5" s="98"/>
      <c r="O5" s="98"/>
      <c r="P5" s="57">
        <v>-3.1309999999999998</v>
      </c>
      <c r="R5" s="1">
        <v>4</v>
      </c>
      <c r="S5" s="1">
        <v>-23</v>
      </c>
      <c r="T5" s="1">
        <f t="shared" si="2"/>
        <v>7849.6328374100267</v>
      </c>
      <c r="U5" s="1">
        <f t="shared" si="0"/>
        <v>-4795.8295717946785</v>
      </c>
      <c r="V5" s="1">
        <f t="shared" si="1"/>
        <v>-45.724698912832011</v>
      </c>
    </row>
    <row r="6" spans="2:22" ht="45.75" customHeight="1" thickBot="1" x14ac:dyDescent="0.3">
      <c r="B6" s="56" t="s">
        <v>38</v>
      </c>
      <c r="C6" s="101" t="s">
        <v>157</v>
      </c>
      <c r="D6" s="98"/>
      <c r="E6" s="101" t="s">
        <v>175</v>
      </c>
      <c r="F6" s="57">
        <v>1262</v>
      </c>
      <c r="G6" s="56" t="s">
        <v>39</v>
      </c>
      <c r="H6" s="101" t="s">
        <v>199</v>
      </c>
      <c r="I6" s="98"/>
      <c r="J6" s="101" t="s">
        <v>175</v>
      </c>
      <c r="K6" s="57">
        <v>1490</v>
      </c>
      <c r="L6" s="56" t="s">
        <v>40</v>
      </c>
      <c r="M6" s="98"/>
      <c r="N6" s="98"/>
      <c r="O6" s="98"/>
      <c r="P6" s="57">
        <v>-5.2080000000000002</v>
      </c>
      <c r="R6" s="1">
        <v>6</v>
      </c>
      <c r="S6" s="1">
        <v>-22</v>
      </c>
      <c r="T6" s="1">
        <f t="shared" si="2"/>
        <v>8576.4371228460732</v>
      </c>
      <c r="U6" s="1">
        <f t="shared" si="0"/>
        <v>-4834.1513716236695</v>
      </c>
      <c r="V6" s="1">
        <f t="shared" si="1"/>
        <v>-44.625320714155002</v>
      </c>
    </row>
    <row r="7" spans="2:22" ht="43.5" thickBot="1" x14ac:dyDescent="0.3">
      <c r="B7" s="56" t="s">
        <v>41</v>
      </c>
      <c r="C7" s="101" t="s">
        <v>158</v>
      </c>
      <c r="D7" s="101" t="s">
        <v>169</v>
      </c>
      <c r="E7" s="101" t="s">
        <v>176</v>
      </c>
      <c r="F7" s="57">
        <v>2683</v>
      </c>
      <c r="G7" s="56" t="s">
        <v>42</v>
      </c>
      <c r="H7" s="101" t="s">
        <v>200</v>
      </c>
      <c r="I7" s="101" t="s">
        <v>206</v>
      </c>
      <c r="J7" s="101" t="s">
        <v>209</v>
      </c>
      <c r="K7" s="57">
        <v>130</v>
      </c>
      <c r="L7" s="56" t="s">
        <v>43</v>
      </c>
      <c r="M7" s="98"/>
      <c r="N7" s="98"/>
      <c r="O7" s="98"/>
      <c r="P7" s="57">
        <v>-1.347</v>
      </c>
      <c r="R7" s="1">
        <v>8</v>
      </c>
      <c r="S7" s="1">
        <v>-21</v>
      </c>
      <c r="T7" s="1">
        <f t="shared" si="2"/>
        <v>8485.3430317708098</v>
      </c>
      <c r="U7" s="1">
        <f t="shared" si="0"/>
        <v>-4875.6976012785972</v>
      </c>
      <c r="V7" s="1">
        <f t="shared" si="1"/>
        <v>-43.401253361255343</v>
      </c>
    </row>
    <row r="8" spans="2:22" ht="48" customHeight="1" thickBot="1" x14ac:dyDescent="0.3">
      <c r="B8" s="56" t="s">
        <v>44</v>
      </c>
      <c r="C8" s="101" t="s">
        <v>159</v>
      </c>
      <c r="D8" s="101" t="s">
        <v>168</v>
      </c>
      <c r="E8" s="101" t="s">
        <v>177</v>
      </c>
      <c r="F8" s="57">
        <v>12.8</v>
      </c>
      <c r="G8" s="56" t="s">
        <v>45</v>
      </c>
      <c r="H8" s="101" t="s">
        <v>158</v>
      </c>
      <c r="I8" s="101" t="s">
        <v>207</v>
      </c>
      <c r="J8" s="101" t="s">
        <v>210</v>
      </c>
      <c r="K8" s="57">
        <v>276</v>
      </c>
      <c r="L8" s="56" t="s">
        <v>46</v>
      </c>
      <c r="M8" s="98"/>
      <c r="N8" s="98"/>
      <c r="O8" s="98"/>
      <c r="P8" s="57">
        <v>-5.4039999999999999</v>
      </c>
      <c r="R8" s="1">
        <v>10</v>
      </c>
      <c r="S8" s="1">
        <v>-20</v>
      </c>
      <c r="T8" s="1">
        <f t="shared" si="2"/>
        <v>8135.6992775642302</v>
      </c>
      <c r="U8" s="1">
        <f t="shared" si="0"/>
        <v>-4920.8551678405383</v>
      </c>
      <c r="V8" s="1">
        <f t="shared" si="1"/>
        <v>-42.03061589556453</v>
      </c>
    </row>
    <row r="9" spans="2:22" ht="46.5" customHeight="1" thickBot="1" x14ac:dyDescent="0.3">
      <c r="B9" s="56" t="s">
        <v>47</v>
      </c>
      <c r="C9" s="101" t="s">
        <v>160</v>
      </c>
      <c r="D9" s="101" t="s">
        <v>170</v>
      </c>
      <c r="E9" s="101" t="s">
        <v>178</v>
      </c>
      <c r="F9" s="57">
        <v>1.3990000000000001E-2</v>
      </c>
      <c r="G9" s="56" t="s">
        <v>48</v>
      </c>
      <c r="H9" s="101" t="s">
        <v>159</v>
      </c>
      <c r="I9" s="101" t="s">
        <v>168</v>
      </c>
      <c r="J9" s="101" t="s">
        <v>181</v>
      </c>
      <c r="K9" s="57">
        <v>8.8599999999999998E-2</v>
      </c>
      <c r="L9" s="56" t="s">
        <v>49</v>
      </c>
      <c r="M9" s="98"/>
      <c r="N9" s="98"/>
      <c r="O9" s="98"/>
      <c r="P9" s="57">
        <v>0</v>
      </c>
      <c r="R9" s="1">
        <v>12</v>
      </c>
      <c r="S9" s="1">
        <v>-19</v>
      </c>
      <c r="T9" s="1">
        <f t="shared" si="2"/>
        <v>7729.1609190677</v>
      </c>
      <c r="U9" s="1">
        <f t="shared" si="0"/>
        <v>-4970.0647353145514</v>
      </c>
      <c r="V9" s="1">
        <f t="shared" si="1"/>
        <v>-40.486238399801522</v>
      </c>
    </row>
    <row r="10" spans="2:22" ht="41.25" customHeight="1" thickBot="1" x14ac:dyDescent="0.3">
      <c r="B10" s="56" t="s">
        <v>50</v>
      </c>
      <c r="C10" s="101" t="s">
        <v>162</v>
      </c>
      <c r="D10" s="98"/>
      <c r="E10" s="101" t="s">
        <v>179</v>
      </c>
      <c r="F10" s="57">
        <v>-0.1026</v>
      </c>
      <c r="G10" s="56" t="s">
        <v>51</v>
      </c>
      <c r="H10" s="101" t="s">
        <v>201</v>
      </c>
      <c r="I10" s="98"/>
      <c r="J10" s="101" t="s">
        <v>178</v>
      </c>
      <c r="K10" s="57">
        <v>4.0200000000000001E-4</v>
      </c>
      <c r="L10" s="56" t="s">
        <v>52</v>
      </c>
      <c r="M10" s="98"/>
      <c r="N10" s="98"/>
      <c r="O10" s="98"/>
      <c r="P10" s="57">
        <v>0</v>
      </c>
      <c r="R10" s="1">
        <v>14</v>
      </c>
      <c r="S10" s="1">
        <v>-18</v>
      </c>
      <c r="T10" s="1">
        <f t="shared" si="2"/>
        <v>7330.4278215603481</v>
      </c>
      <c r="U10" s="1">
        <f t="shared" si="0"/>
        <v>-5023.8259744107845</v>
      </c>
      <c r="V10" s="1">
        <f t="shared" si="1"/>
        <v>-38.734010432228487</v>
      </c>
    </row>
    <row r="11" spans="2:22" ht="35.25" customHeight="1" thickBot="1" x14ac:dyDescent="0.3">
      <c r="B11" s="56" t="s">
        <v>53</v>
      </c>
      <c r="C11" s="101" t="s">
        <v>161</v>
      </c>
      <c r="D11" s="98"/>
      <c r="E11" s="101" t="s">
        <v>180</v>
      </c>
      <c r="F11" s="57">
        <v>5.6669999999999998E-2</v>
      </c>
      <c r="G11" s="56" t="s">
        <v>54</v>
      </c>
      <c r="H11" s="101" t="s">
        <v>162</v>
      </c>
      <c r="I11" s="98"/>
      <c r="J11" s="101" t="s">
        <v>181</v>
      </c>
      <c r="K11" s="57">
        <v>-6.1499999999999999E-2</v>
      </c>
      <c r="L11" s="56" t="s">
        <v>55</v>
      </c>
      <c r="M11" s="98"/>
      <c r="N11" s="98"/>
      <c r="O11" s="98"/>
      <c r="P11" s="57">
        <v>3.6510000000000001E-2</v>
      </c>
      <c r="R11" s="1">
        <v>16</v>
      </c>
      <c r="S11" s="1">
        <v>-17</v>
      </c>
      <c r="T11" s="1">
        <f t="shared" si="2"/>
        <v>6957.4843169674041</v>
      </c>
      <c r="U11" s="1">
        <f t="shared" si="0"/>
        <v>-5082.7006441744643</v>
      </c>
      <c r="V11" s="1">
        <f t="shared" si="1"/>
        <v>-36.7305905879794</v>
      </c>
    </row>
    <row r="12" spans="2:22" ht="48.75" customHeight="1" thickBot="1" x14ac:dyDescent="0.3">
      <c r="B12" s="56" t="s">
        <v>56</v>
      </c>
      <c r="C12" s="101" t="s">
        <v>163</v>
      </c>
      <c r="D12" s="101" t="s">
        <v>171</v>
      </c>
      <c r="E12" s="101" t="s">
        <v>181</v>
      </c>
      <c r="F12" s="57">
        <v>-1.8720000000000001E-2</v>
      </c>
      <c r="G12" s="56" t="s">
        <v>57</v>
      </c>
      <c r="H12" s="101" t="s">
        <v>161</v>
      </c>
      <c r="I12" s="98"/>
      <c r="J12" s="101" t="s">
        <v>211</v>
      </c>
      <c r="K12" s="57">
        <v>1.2</v>
      </c>
      <c r="L12" s="56" t="s">
        <v>58</v>
      </c>
      <c r="M12" s="98"/>
      <c r="N12" s="98"/>
      <c r="O12" s="98"/>
      <c r="P12" s="57">
        <v>-0.2838</v>
      </c>
      <c r="R12" s="1">
        <v>18</v>
      </c>
      <c r="S12" s="1">
        <v>-16</v>
      </c>
      <c r="T12" s="1">
        <f t="shared" si="2"/>
        <v>6612.9784013219496</v>
      </c>
      <c r="U12" s="1">
        <f t="shared" si="0"/>
        <v>-5147.3106270367789</v>
      </c>
      <c r="V12" s="1">
        <f t="shared" si="1"/>
        <v>-34.420180666706038</v>
      </c>
    </row>
    <row r="13" spans="2:22" ht="46.5" customHeight="1" thickBot="1" x14ac:dyDescent="0.3">
      <c r="B13" s="56" t="s">
        <v>59</v>
      </c>
      <c r="C13" s="101" t="s">
        <v>164</v>
      </c>
      <c r="D13" s="101" t="s">
        <v>171</v>
      </c>
      <c r="E13" s="101" t="s">
        <v>181</v>
      </c>
      <c r="F13" s="57">
        <v>-1.1509999999999999E-2</v>
      </c>
      <c r="G13" s="56" t="s">
        <v>60</v>
      </c>
      <c r="H13" s="101" t="s">
        <v>163</v>
      </c>
      <c r="I13" s="101" t="s">
        <v>208</v>
      </c>
      <c r="J13" s="101" t="s">
        <v>181</v>
      </c>
      <c r="K13" s="57">
        <v>2.9000000000000001E-2</v>
      </c>
      <c r="L13" s="56" t="s">
        <v>61</v>
      </c>
      <c r="M13" s="98"/>
      <c r="N13" s="98"/>
      <c r="O13" s="98"/>
      <c r="P13" s="57">
        <v>-1.8640000000000001</v>
      </c>
      <c r="R13" s="1">
        <v>20</v>
      </c>
      <c r="S13" s="1">
        <v>-15</v>
      </c>
      <c r="T13" s="1">
        <f t="shared" si="2"/>
        <v>6294.8609053207774</v>
      </c>
      <c r="U13" s="1">
        <f t="shared" si="0"/>
        <v>-5218.3254681070066</v>
      </c>
      <c r="V13" s="1">
        <f t="shared" si="1"/>
        <v>-31.729907568302867</v>
      </c>
    </row>
    <row r="14" spans="2:22" ht="43.5" thickBot="1" x14ac:dyDescent="0.3">
      <c r="B14" s="56" t="s">
        <v>62</v>
      </c>
      <c r="C14" s="101" t="s">
        <v>165</v>
      </c>
      <c r="D14" s="101" t="s">
        <v>172</v>
      </c>
      <c r="E14" s="101" t="s">
        <v>178</v>
      </c>
      <c r="F14" s="57">
        <v>-8.183E-2</v>
      </c>
      <c r="G14" s="56" t="s">
        <v>63</v>
      </c>
      <c r="H14" s="101" t="s">
        <v>202</v>
      </c>
      <c r="I14" s="101" t="s">
        <v>111</v>
      </c>
      <c r="J14" s="101" t="s">
        <v>212</v>
      </c>
      <c r="K14" s="57">
        <v>-0.17599999999999999</v>
      </c>
      <c r="L14" s="56" t="s">
        <v>64</v>
      </c>
      <c r="M14" s="98"/>
      <c r="N14" s="98"/>
      <c r="O14" s="98"/>
      <c r="P14" s="57">
        <v>-5.1499999999999997E-2</v>
      </c>
      <c r="R14" s="1">
        <v>22</v>
      </c>
      <c r="S14" s="1">
        <v>-14</v>
      </c>
      <c r="T14" s="1">
        <f t="shared" si="2"/>
        <v>5999.9798504770943</v>
      </c>
      <c r="U14" s="1">
        <f t="shared" si="0"/>
        <v>-5296.4291572117363</v>
      </c>
      <c r="V14" s="1">
        <f t="shared" si="1"/>
        <v>-28.563098117230638</v>
      </c>
    </row>
    <row r="15" spans="2:22" ht="15.75" thickBot="1" x14ac:dyDescent="0.3">
      <c r="B15" s="56" t="s">
        <v>65</v>
      </c>
      <c r="C15" s="101" t="s">
        <v>166</v>
      </c>
      <c r="D15" s="101" t="s">
        <v>169</v>
      </c>
      <c r="E15" s="101" t="s">
        <v>182</v>
      </c>
      <c r="F15" s="57">
        <v>-14</v>
      </c>
      <c r="G15" s="104" t="s">
        <v>204</v>
      </c>
      <c r="H15" s="101" t="s">
        <v>166</v>
      </c>
      <c r="I15" s="101" t="s">
        <v>131</v>
      </c>
      <c r="J15" s="101" t="s">
        <v>213</v>
      </c>
      <c r="K15" s="57">
        <v>0</v>
      </c>
      <c r="L15" s="56" t="s">
        <v>66</v>
      </c>
      <c r="M15" s="98"/>
      <c r="N15" s="98"/>
      <c r="O15" s="98"/>
      <c r="P15" s="57">
        <v>2.8639999999999999E-2</v>
      </c>
      <c r="R15" s="1">
        <v>24</v>
      </c>
      <c r="S15" s="1">
        <v>-13</v>
      </c>
      <c r="T15" s="1">
        <f t="shared" si="2"/>
        <v>5725.2533869004274</v>
      </c>
      <c r="U15" s="1">
        <f t="shared" si="0"/>
        <v>-5382.2468027118321</v>
      </c>
      <c r="V15" s="1">
        <f t="shared" si="1"/>
        <v>-24.789313624826683</v>
      </c>
    </row>
    <row r="16" spans="2:22" ht="29.25" thickBot="1" x14ac:dyDescent="0.3">
      <c r="B16" s="56" t="s">
        <v>67</v>
      </c>
      <c r="C16" s="101" t="s">
        <v>167</v>
      </c>
      <c r="D16" s="101" t="s">
        <v>131</v>
      </c>
      <c r="E16" s="101" t="s">
        <v>183</v>
      </c>
      <c r="F16" s="57">
        <v>4.5949999999999998</v>
      </c>
      <c r="G16" s="104" t="s">
        <v>205</v>
      </c>
      <c r="H16" s="101" t="s">
        <v>167</v>
      </c>
      <c r="I16" s="101" t="s">
        <v>131</v>
      </c>
      <c r="J16" s="101" t="s">
        <v>183</v>
      </c>
      <c r="K16" s="57">
        <v>0</v>
      </c>
      <c r="L16" s="56" t="s">
        <v>68</v>
      </c>
      <c r="M16" s="98"/>
      <c r="N16" s="98"/>
      <c r="O16" s="98"/>
      <c r="P16" s="57">
        <v>-4.2030000000000001E-3</v>
      </c>
      <c r="R16" s="1">
        <v>26</v>
      </c>
      <c r="S16" s="1">
        <v>-12</v>
      </c>
      <c r="T16" s="1">
        <f t="shared" si="2"/>
        <v>5468.0005628408517</v>
      </c>
      <c r="U16" s="1">
        <f t="shared" si="0"/>
        <v>-5476.1945109174103</v>
      </c>
      <c r="V16" s="1">
        <f t="shared" si="1"/>
        <v>-20.229332779429523</v>
      </c>
    </row>
    <row r="17" spans="2:22" ht="72" thickBot="1" x14ac:dyDescent="0.3">
      <c r="B17" s="56" t="s">
        <v>69</v>
      </c>
      <c r="C17" s="101" t="s">
        <v>184</v>
      </c>
      <c r="D17" s="101" t="s">
        <v>185</v>
      </c>
      <c r="E17" s="101" t="s">
        <v>183</v>
      </c>
      <c r="F17" s="57">
        <v>0.34960000000000002</v>
      </c>
      <c r="G17" s="103" t="s">
        <v>203</v>
      </c>
      <c r="H17" s="102" t="s">
        <v>187</v>
      </c>
      <c r="I17" s="99"/>
      <c r="J17" s="102" t="s">
        <v>181</v>
      </c>
      <c r="K17" s="59">
        <v>0</v>
      </c>
      <c r="L17" s="56" t="s">
        <v>70</v>
      </c>
      <c r="M17" s="98"/>
      <c r="N17" s="98"/>
      <c r="O17" s="98"/>
      <c r="P17" s="57">
        <v>-0.1411</v>
      </c>
      <c r="R17" s="1">
        <v>28</v>
      </c>
      <c r="S17" s="1">
        <v>-11</v>
      </c>
      <c r="T17" s="1">
        <f t="shared" si="2"/>
        <v>5225.9838335888699</v>
      </c>
      <c r="U17" s="1">
        <f t="shared" si="0"/>
        <v>-5578.1824504312199</v>
      </c>
      <c r="V17" s="1">
        <f t="shared" si="1"/>
        <v>-14.63219524595864</v>
      </c>
    </row>
    <row r="18" spans="2:22" ht="43.5" thickBot="1" x14ac:dyDescent="0.4">
      <c r="B18" s="104" t="s">
        <v>188</v>
      </c>
      <c r="C18" s="101" t="s">
        <v>192</v>
      </c>
      <c r="D18" s="101" t="s">
        <v>169</v>
      </c>
      <c r="E18" s="101" t="s">
        <v>196</v>
      </c>
      <c r="F18" s="57">
        <v>0</v>
      </c>
      <c r="G18" s="61"/>
      <c r="H18" s="61"/>
      <c r="I18" s="61"/>
      <c r="J18" s="61"/>
      <c r="K18" s="60"/>
      <c r="L18" s="56" t="s">
        <v>71</v>
      </c>
      <c r="M18" s="98"/>
      <c r="N18" s="98"/>
      <c r="O18" s="98"/>
      <c r="P18" s="57">
        <v>4.018E-2</v>
      </c>
      <c r="R18" s="1">
        <v>30</v>
      </c>
      <c r="S18" s="1">
        <v>-10</v>
      </c>
      <c r="T18" s="1">
        <f t="shared" si="2"/>
        <v>4997.3612419922902</v>
      </c>
      <c r="U18" s="1">
        <f t="shared" si="0"/>
        <v>-5687.0367750450441</v>
      </c>
      <c r="V18" s="1">
        <f t="shared" si="1"/>
        <v>-7.6398320409968665</v>
      </c>
    </row>
    <row r="19" spans="2:22" ht="57.75" thickBot="1" x14ac:dyDescent="0.4">
      <c r="B19" s="104" t="s">
        <v>189</v>
      </c>
      <c r="C19" s="101" t="s">
        <v>191</v>
      </c>
      <c r="D19" s="101" t="s">
        <v>194</v>
      </c>
      <c r="E19" s="101" t="s">
        <v>195</v>
      </c>
      <c r="F19" s="57">
        <v>0</v>
      </c>
      <c r="G19" s="61"/>
      <c r="H19" s="61"/>
      <c r="I19" s="61"/>
      <c r="J19" s="61"/>
      <c r="K19" s="60"/>
      <c r="L19" s="56" t="s">
        <v>72</v>
      </c>
      <c r="M19" s="98"/>
      <c r="N19" s="98"/>
      <c r="O19" s="98"/>
      <c r="P19" s="57">
        <v>-0.88380000000000003</v>
      </c>
      <c r="R19" s="1">
        <v>32</v>
      </c>
      <c r="S19" s="1">
        <v>-9</v>
      </c>
      <c r="T19" s="1">
        <f t="shared" si="2"/>
        <v>4780.618639160044</v>
      </c>
      <c r="U19" s="1">
        <f t="shared" si="0"/>
        <v>-5799.3830794743753</v>
      </c>
      <c r="V19" s="1">
        <f t="shared" si="1"/>
        <v>1.2669968404805521</v>
      </c>
    </row>
    <row r="20" spans="2:22" ht="43.5" thickBot="1" x14ac:dyDescent="0.4">
      <c r="B20" s="104" t="s">
        <v>190</v>
      </c>
      <c r="C20" s="101" t="s">
        <v>193</v>
      </c>
      <c r="D20" s="101"/>
      <c r="E20" s="101" t="s">
        <v>178</v>
      </c>
      <c r="F20" s="57">
        <v>0</v>
      </c>
      <c r="G20" s="61"/>
      <c r="H20" s="61"/>
      <c r="I20" s="61"/>
      <c r="J20" s="61"/>
      <c r="K20" s="60"/>
      <c r="L20" s="56" t="s">
        <v>73</v>
      </c>
      <c r="M20" s="98"/>
      <c r="N20" s="98"/>
      <c r="O20" s="98"/>
      <c r="P20" s="57">
        <v>-0.1855</v>
      </c>
      <c r="R20" s="1">
        <v>34</v>
      </c>
      <c r="S20" s="1">
        <v>-8</v>
      </c>
      <c r="T20" s="1">
        <f t="shared" si="2"/>
        <v>4574.5056067772712</v>
      </c>
      <c r="U20" s="1">
        <f t="shared" si="0"/>
        <v>-5907.5067986884233</v>
      </c>
      <c r="V20" s="1">
        <f t="shared" si="1"/>
        <v>12.847392695805498</v>
      </c>
    </row>
    <row r="21" spans="2:22" ht="24" thickBot="1" x14ac:dyDescent="0.4">
      <c r="B21" s="103" t="s">
        <v>186</v>
      </c>
      <c r="C21" s="102" t="s">
        <v>187</v>
      </c>
      <c r="D21" s="102"/>
      <c r="E21" s="102" t="s">
        <v>181</v>
      </c>
      <c r="F21" s="59">
        <v>0</v>
      </c>
      <c r="G21" s="61"/>
      <c r="H21" s="61"/>
      <c r="I21" s="61"/>
      <c r="J21" s="61"/>
      <c r="K21" s="60"/>
      <c r="L21" s="58" t="s">
        <v>74</v>
      </c>
      <c r="M21" s="99"/>
      <c r="N21" s="99"/>
      <c r="O21" s="99"/>
      <c r="P21" s="59">
        <v>0.39560000000000001</v>
      </c>
      <c r="R21" s="1">
        <v>36</v>
      </c>
      <c r="S21" s="1">
        <v>-7</v>
      </c>
      <c r="T21" s="1">
        <f t="shared" si="2"/>
        <v>4377.9816140253379</v>
      </c>
      <c r="U21" s="1">
        <f t="shared" si="0"/>
        <v>-5995.3253045689989</v>
      </c>
      <c r="V21" s="1">
        <f t="shared" si="1"/>
        <v>28.195789734874186</v>
      </c>
    </row>
    <row r="22" spans="2:22" ht="15" customHeight="1" thickBot="1" x14ac:dyDescent="0.4">
      <c r="B22" s="105"/>
      <c r="C22" s="105"/>
      <c r="D22" s="105"/>
      <c r="E22" s="105"/>
      <c r="F22" s="108"/>
      <c r="G22" s="61"/>
      <c r="H22" s="61"/>
      <c r="I22" s="61"/>
      <c r="J22" s="61"/>
      <c r="K22" s="61"/>
      <c r="L22" s="108"/>
      <c r="M22" s="108"/>
      <c r="N22" s="108"/>
      <c r="O22" s="108"/>
      <c r="P22" s="108"/>
      <c r="R22" s="1">
        <v>38</v>
      </c>
      <c r="S22" s="1">
        <v>-6</v>
      </c>
      <c r="T22" s="1">
        <f t="shared" si="2"/>
        <v>4190.1728807537911</v>
      </c>
      <c r="U22" s="1">
        <f t="shared" si="0"/>
        <v>-6031.138598365952</v>
      </c>
      <c r="V22" s="1">
        <f t="shared" si="1"/>
        <v>48.772686794401686</v>
      </c>
    </row>
    <row r="23" spans="2:22" ht="15.75" customHeight="1" thickBot="1" x14ac:dyDescent="0.3">
      <c r="C23" s="204" t="s">
        <v>215</v>
      </c>
      <c r="D23" s="205"/>
      <c r="E23" s="205"/>
      <c r="F23" s="205"/>
      <c r="G23" s="205"/>
      <c r="H23" s="205"/>
      <c r="I23" s="205"/>
      <c r="J23" s="206"/>
      <c r="R23" s="1">
        <v>40</v>
      </c>
      <c r="S23" s="1">
        <v>-5</v>
      </c>
      <c r="T23" s="1">
        <f t="shared" si="2"/>
        <v>4010.3385220615187</v>
      </c>
      <c r="U23" s="1">
        <f t="shared" si="0"/>
        <v>-5955.9611789198279</v>
      </c>
      <c r="V23" s="1">
        <f t="shared" si="1"/>
        <v>75.986866640972963</v>
      </c>
    </row>
    <row r="24" spans="2:22" ht="18" customHeight="1" thickBot="1" x14ac:dyDescent="0.3">
      <c r="C24" s="110" t="s">
        <v>3</v>
      </c>
      <c r="D24" s="111" t="s">
        <v>4</v>
      </c>
      <c r="E24" s="111" t="s">
        <v>5</v>
      </c>
      <c r="F24" s="111" t="s">
        <v>6</v>
      </c>
      <c r="G24" s="111" t="s">
        <v>7</v>
      </c>
      <c r="H24" s="111" t="s">
        <v>8</v>
      </c>
      <c r="I24" s="111" t="s">
        <v>75</v>
      </c>
      <c r="J24" s="112" t="s">
        <v>76</v>
      </c>
      <c r="K24" s="68"/>
      <c r="R24" s="1">
        <v>42</v>
      </c>
      <c r="S24" s="1">
        <v>-4</v>
      </c>
      <c r="T24" s="1">
        <f t="shared" si="2"/>
        <v>3837.8441853372719</v>
      </c>
      <c r="U24" s="1">
        <f t="shared" si="0"/>
        <v>-5669.7320564772926</v>
      </c>
      <c r="V24" s="1">
        <f t="shared" si="1"/>
        <v>108.97738728209286</v>
      </c>
    </row>
    <row r="25" spans="2:22" ht="15.75" thickBot="1" x14ac:dyDescent="0.3">
      <c r="B25" s="109" t="s">
        <v>19</v>
      </c>
      <c r="C25" s="113">
        <f>I25/(D25*E25)</f>
        <v>0.14273934167812863</v>
      </c>
      <c r="D25" s="114">
        <f>K4</f>
        <v>2.3727200000000002</v>
      </c>
      <c r="E25" s="114">
        <f>J25*C33</f>
        <v>8599.44</v>
      </c>
      <c r="F25" s="114">
        <f>(K10*((C33)^2))+
(K11*C33)+
(K12)</f>
        <v>0.845472</v>
      </c>
      <c r="G25" s="114">
        <f>K13*C33+K14</f>
        <v>-1.999999999999974E-3</v>
      </c>
      <c r="H25" s="114">
        <v>0</v>
      </c>
      <c r="I25" s="114">
        <f>(K7*(C33)^2+K8)*
EXP(-K9*C33)</f>
        <v>2912.4625596893125</v>
      </c>
      <c r="J25" s="115">
        <f>K5*C33+K6</f>
        <v>1433.24</v>
      </c>
      <c r="R25" s="1">
        <v>44</v>
      </c>
      <c r="S25" s="1">
        <v>-3</v>
      </c>
      <c r="T25" s="1">
        <f t="shared" si="2"/>
        <v>3672.1415464793754</v>
      </c>
      <c r="U25" s="1">
        <f t="shared" si="0"/>
        <v>-5030.5582747485978</v>
      </c>
      <c r="V25" s="1">
        <f t="shared" si="1"/>
        <v>137.91274935302113</v>
      </c>
    </row>
    <row r="26" spans="2:22" ht="15" customHeight="1" thickBot="1" x14ac:dyDescent="0.3">
      <c r="C26" s="207" t="s">
        <v>216</v>
      </c>
      <c r="D26" s="208"/>
      <c r="E26" s="208"/>
      <c r="F26" s="208"/>
      <c r="G26" s="208"/>
      <c r="H26" s="208"/>
      <c r="I26" s="208"/>
      <c r="J26" s="209"/>
      <c r="R26" s="1">
        <v>46</v>
      </c>
      <c r="S26" s="1">
        <v>-2</v>
      </c>
      <c r="T26" s="1">
        <f t="shared" si="2"/>
        <v>3512.7523232481471</v>
      </c>
      <c r="U26" s="1">
        <f t="shared" si="0"/>
        <v>-3902.2907211101628</v>
      </c>
      <c r="V26" s="1">
        <f t="shared" si="1"/>
        <v>137.4078749620339</v>
      </c>
    </row>
    <row r="27" spans="2:22" ht="15.75" thickBot="1" x14ac:dyDescent="0.3">
      <c r="C27" s="110" t="s">
        <v>3</v>
      </c>
      <c r="D27" s="111" t="s">
        <v>4</v>
      </c>
      <c r="E27" s="111" t="s">
        <v>5</v>
      </c>
      <c r="F27" s="111" t="s">
        <v>6</v>
      </c>
      <c r="G27" s="111" t="s">
        <v>7</v>
      </c>
      <c r="H27" s="111" t="s">
        <v>8</v>
      </c>
      <c r="I27" s="111" t="s">
        <v>78</v>
      </c>
      <c r="J27" s="112" t="s">
        <v>79</v>
      </c>
      <c r="R27" s="1">
        <v>48</v>
      </c>
      <c r="S27" s="1">
        <v>-1</v>
      </c>
      <c r="T27" s="1">
        <f t="shared" si="2"/>
        <v>3359.2557525859811</v>
      </c>
      <c r="U27" s="1">
        <f t="shared" si="0"/>
        <v>-2263.8610320310131</v>
      </c>
      <c r="V27" s="1">
        <f t="shared" si="1"/>
        <v>89.104531394194339</v>
      </c>
    </row>
    <row r="28" spans="2:22" ht="15.75" thickBot="1" x14ac:dyDescent="0.3">
      <c r="B28" s="109" t="s">
        <v>1</v>
      </c>
      <c r="C28" s="113">
        <f>I28/(D28*E28)</f>
        <v>0.21943032571739499</v>
      </c>
      <c r="D28" s="114">
        <f>F4</f>
        <v>1.5509999999999999</v>
      </c>
      <c r="E28" s="114">
        <f>J28*C33</f>
        <v>6059.28</v>
      </c>
      <c r="F28" s="114">
        <f>(F10*C33)+F11</f>
        <v>-0.55892999999999993</v>
      </c>
      <c r="G28" s="114">
        <f>(F12*C33*C34)+
(F13*C33)+
(F14)</f>
        <v>-0.15089</v>
      </c>
      <c r="H28" s="114">
        <f>(F15*C33*C34)+
(F16*C33)+
(F17)</f>
        <v>27.919599999999999</v>
      </c>
      <c r="I28" s="114">
        <f>(F7*SIN(2*ATAN(C33/F8)))*
(1-F9*ABS(C34))</f>
        <v>2062.1937550040034</v>
      </c>
      <c r="J28" s="115">
        <f>(F5*C33)+F6</f>
        <v>1009.88</v>
      </c>
      <c r="R28" s="1">
        <v>50</v>
      </c>
      <c r="S28" s="1">
        <v>0</v>
      </c>
      <c r="T28" s="1">
        <f t="shared" si="2"/>
        <v>3211.2787231696989</v>
      </c>
      <c r="U28" s="1">
        <f t="shared" si="0"/>
        <v>-283.05794555210514</v>
      </c>
      <c r="V28" s="1">
        <f t="shared" si="1"/>
        <v>12.730015405385856</v>
      </c>
    </row>
    <row r="29" spans="2:22" ht="15" customHeight="1" thickBot="1" x14ac:dyDescent="0.3">
      <c r="C29" s="207" t="s">
        <v>217</v>
      </c>
      <c r="D29" s="208"/>
      <c r="E29" s="208"/>
      <c r="F29" s="208"/>
      <c r="G29" s="208"/>
      <c r="H29" s="208"/>
      <c r="I29" s="209"/>
      <c r="R29" s="1">
        <v>52</v>
      </c>
      <c r="S29" s="1">
        <v>1</v>
      </c>
      <c r="T29" s="1">
        <f t="shared" si="2"/>
        <v>3068.4879482061592</v>
      </c>
      <c r="U29" s="1">
        <f t="shared" si="0"/>
        <v>1745.9253066343024</v>
      </c>
      <c r="V29" s="1">
        <f t="shared" si="1"/>
        <v>-66.676303673007581</v>
      </c>
    </row>
    <row r="30" spans="2:22" ht="15.75" thickBot="1" x14ac:dyDescent="0.3">
      <c r="C30" s="110" t="s">
        <v>3</v>
      </c>
      <c r="D30" s="111" t="s">
        <v>4</v>
      </c>
      <c r="E30" s="111" t="s">
        <v>5</v>
      </c>
      <c r="F30" s="111" t="s">
        <v>6</v>
      </c>
      <c r="G30" s="111" t="s">
        <v>7</v>
      </c>
      <c r="H30" s="111" t="s">
        <v>8</v>
      </c>
      <c r="I30" s="112" t="s">
        <v>84</v>
      </c>
      <c r="R30" s="1">
        <v>54</v>
      </c>
      <c r="S30" s="1">
        <v>2</v>
      </c>
      <c r="T30" s="1">
        <f t="shared" si="2"/>
        <v>2930.5837123725455</v>
      </c>
      <c r="U30" s="1">
        <f t="shared" si="0"/>
        <v>3513.4092866444048</v>
      </c>
      <c r="V30" s="1">
        <f t="shared" si="1"/>
        <v>-127.82769323075178</v>
      </c>
    </row>
    <row r="31" spans="2:22" ht="15.75" thickBot="1" x14ac:dyDescent="0.3">
      <c r="B31" s="109" t="s">
        <v>2</v>
      </c>
      <c r="C31" s="113">
        <f>I31/(D31*E31)</f>
        <v>0.24458537030544261</v>
      </c>
      <c r="D31" s="114">
        <f>P4</f>
        <v>2.298</v>
      </c>
      <c r="E31" s="114">
        <f>(P5*(C33)^2)+
(P6*C33)</f>
        <v>-143.964</v>
      </c>
      <c r="F31" s="114">
        <f>(P11*((C33)^2)+P12*C33+P13)*
(1-(P14*ABS(C34)))</f>
        <v>-2.25244</v>
      </c>
      <c r="G31" s="114">
        <f>(P15*C34)+
(P16*C33)+
(P17)</f>
        <v>-0.16631799999999999</v>
      </c>
      <c r="H31" s="114">
        <f>(P18*(C33)^2+P19*C33)*C34+
(P20*C33)+
(P21)</f>
        <v>-0.71740000000000004</v>
      </c>
      <c r="I31" s="115">
        <f>(P7*(C33)^2+P8*C33)*
(1-P10*ABS(C34)*
EXP(-P9*C33))</f>
        <v>-80.915999999999997</v>
      </c>
      <c r="R31" s="1">
        <v>56</v>
      </c>
      <c r="S31" s="1">
        <v>3</v>
      </c>
      <c r="T31" s="1">
        <f t="shared" si="2"/>
        <v>2797.2948395174953</v>
      </c>
      <c r="U31" s="1">
        <f t="shared" si="0"/>
        <v>4801.7544997739942</v>
      </c>
      <c r="V31" s="1">
        <f t="shared" si="1"/>
        <v>-143.97281553302457</v>
      </c>
    </row>
    <row r="32" spans="2:22" x14ac:dyDescent="0.25">
      <c r="R32" s="1">
        <v>58</v>
      </c>
      <c r="S32" s="1">
        <v>4</v>
      </c>
      <c r="T32" s="1">
        <f t="shared" si="2"/>
        <v>2668.3746125063881</v>
      </c>
      <c r="U32" s="1">
        <f t="shared" si="0"/>
        <v>5576.9890302063595</v>
      </c>
      <c r="V32" s="1">
        <f t="shared" si="1"/>
        <v>-121.42892792713832</v>
      </c>
    </row>
    <row r="33" spans="2:22" x14ac:dyDescent="0.25">
      <c r="B33" s="65" t="s">
        <v>0</v>
      </c>
      <c r="C33" s="62">
        <f>'Tire Input + Gráficas'!B2</f>
        <v>6</v>
      </c>
      <c r="D33" s="63" t="s">
        <v>80</v>
      </c>
      <c r="E33" s="63" t="s">
        <v>82</v>
      </c>
      <c r="R33" s="1">
        <v>60</v>
      </c>
      <c r="S33" s="1">
        <v>5</v>
      </c>
      <c r="T33" s="1">
        <f t="shared" si="2"/>
        <v>2543.5974402277297</v>
      </c>
      <c r="U33" s="1">
        <f t="shared" si="0"/>
        <v>5953.4803486125738</v>
      </c>
      <c r="V33" s="1">
        <f t="shared" si="1"/>
        <v>-87.958862322017126</v>
      </c>
    </row>
    <row r="34" spans="2:22" x14ac:dyDescent="0.25">
      <c r="B34" s="66" t="s">
        <v>77</v>
      </c>
      <c r="C34" s="67">
        <f>'Tire Input + Gráficas'!B3</f>
        <v>0</v>
      </c>
      <c r="D34" s="64" t="s">
        <v>81</v>
      </c>
      <c r="E34" s="64" t="s">
        <v>83</v>
      </c>
      <c r="R34" s="1">
        <v>62</v>
      </c>
      <c r="S34" s="1">
        <v>6</v>
      </c>
      <c r="T34" s="1">
        <f t="shared" si="2"/>
        <v>2422.7561145964946</v>
      </c>
      <c r="U34" s="1">
        <f t="shared" si="0"/>
        <v>6079.6520554224317</v>
      </c>
      <c r="V34" s="1">
        <f t="shared" si="1"/>
        <v>-58.479865626708751</v>
      </c>
    </row>
    <row r="35" spans="2:22" x14ac:dyDescent="0.25">
      <c r="B35" s="210" t="s">
        <v>214</v>
      </c>
      <c r="C35" s="210"/>
      <c r="D35" s="210"/>
      <c r="E35" s="210"/>
      <c r="R35" s="1">
        <v>64</v>
      </c>
      <c r="S35" s="1">
        <v>7</v>
      </c>
      <c r="T35" s="1">
        <f t="shared" si="2"/>
        <v>2305.6595364249038</v>
      </c>
      <c r="U35" s="1">
        <f t="shared" ref="U35:U53" si="3">$E$28*SIN($D$28*ATAN($C$28*(S35+$G$28)-$F$28*($C$28*(S35+$G$28)-ATAN($C$28*(S35+$G$28)))))+$H$28</f>
        <v>6069.4916424585599</v>
      </c>
      <c r="V35" s="1">
        <f t="shared" ref="V35:V53" si="4">$E$31*SIN($D$31*ATAN($C$31*(S35+$G$31)-$F$31*($C$31*(S35+$G$31)-ATAN($C$31*(S35+$G$31)))))+$H$31</f>
        <v>-35.815255397285391</v>
      </c>
    </row>
    <row r="36" spans="2:22" x14ac:dyDescent="0.25">
      <c r="R36" s="1">
        <v>66</v>
      </c>
      <c r="S36" s="1">
        <v>8</v>
      </c>
      <c r="T36" s="1">
        <f t="shared" ref="T36:T53" si="5">$E$25*SIN($D$25*ATAN($C$25*(R36+$G$25)-$F$25*($C$25*(R36+$G$25)-ATAN($C$25*(R36+$G$25)))))+$H$25</f>
        <v>2192.1308162907344</v>
      </c>
      <c r="U36" s="1">
        <f t="shared" si="3"/>
        <v>5993.0478565629846</v>
      </c>
      <c r="V36" s="1">
        <f t="shared" si="4"/>
        <v>-18.904208579575034</v>
      </c>
    </row>
    <row r="37" spans="2:22" ht="21" x14ac:dyDescent="0.35">
      <c r="I37" s="195" t="s">
        <v>218</v>
      </c>
      <c r="J37" s="195"/>
      <c r="K37" s="195"/>
      <c r="L37" s="195"/>
      <c r="M37" s="195"/>
      <c r="N37" s="195"/>
      <c r="O37" s="195"/>
      <c r="R37" s="1">
        <v>68</v>
      </c>
      <c r="S37" s="1">
        <v>9</v>
      </c>
      <c r="T37" s="1">
        <f t="shared" si="5"/>
        <v>2082.0056772479743</v>
      </c>
      <c r="U37" s="1">
        <f t="shared" si="3"/>
        <v>5888.8206635725883</v>
      </c>
      <c r="V37" s="1">
        <f t="shared" si="4"/>
        <v>-6.210928160599094</v>
      </c>
    </row>
    <row r="38" spans="2:22" x14ac:dyDescent="0.25">
      <c r="R38" s="1">
        <v>70</v>
      </c>
      <c r="S38" s="1">
        <v>10</v>
      </c>
      <c r="T38" s="1">
        <f t="shared" si="5"/>
        <v>1975.1311020436324</v>
      </c>
      <c r="U38" s="1">
        <f t="shared" si="3"/>
        <v>5776.6541166864426</v>
      </c>
      <c r="V38" s="1">
        <f t="shared" si="4"/>
        <v>3.4863996957579011</v>
      </c>
    </row>
    <row r="39" spans="2:22" x14ac:dyDescent="0.25">
      <c r="R39" s="1">
        <v>72</v>
      </c>
      <c r="S39" s="1">
        <v>11</v>
      </c>
      <c r="T39" s="1">
        <f t="shared" si="5"/>
        <v>1871.3641796468062</v>
      </c>
      <c r="U39" s="1">
        <f t="shared" si="3"/>
        <v>5666.246086149823</v>
      </c>
      <c r="V39" s="1">
        <f t="shared" si="4"/>
        <v>11.047993311324488</v>
      </c>
    </row>
    <row r="40" spans="2:22" x14ac:dyDescent="0.25">
      <c r="R40" s="1">
        <v>74</v>
      </c>
      <c r="S40" s="1">
        <v>12</v>
      </c>
      <c r="T40" s="1">
        <f t="shared" si="5"/>
        <v>1770.5711152649435</v>
      </c>
      <c r="U40" s="1">
        <f t="shared" si="3"/>
        <v>5561.9900318631644</v>
      </c>
      <c r="V40" s="1">
        <f t="shared" si="4"/>
        <v>17.062871264072118</v>
      </c>
    </row>
    <row r="41" spans="2:22" x14ac:dyDescent="0.25">
      <c r="R41" s="1">
        <v>76</v>
      </c>
      <c r="S41" s="1">
        <v>13</v>
      </c>
      <c r="T41" s="1">
        <f t="shared" si="5"/>
        <v>1672.6263752899317</v>
      </c>
      <c r="U41" s="1">
        <f t="shared" si="3"/>
        <v>5465.5716026580312</v>
      </c>
      <c r="V41" s="1">
        <f t="shared" si="4"/>
        <v>21.935587586955329</v>
      </c>
    </row>
    <row r="42" spans="2:22" x14ac:dyDescent="0.25">
      <c r="R42" s="1">
        <v>78</v>
      </c>
      <c r="S42" s="1">
        <v>14</v>
      </c>
      <c r="T42" s="1">
        <f t="shared" si="5"/>
        <v>1577.4119442830363</v>
      </c>
      <c r="U42" s="1">
        <f t="shared" si="3"/>
        <v>5377.3287450764055</v>
      </c>
      <c r="V42" s="1">
        <f t="shared" si="4"/>
        <v>25.948027547725395</v>
      </c>
    </row>
    <row r="43" spans="2:22" x14ac:dyDescent="0.25">
      <c r="R43" s="1">
        <v>80</v>
      </c>
      <c r="S43" s="1">
        <v>15</v>
      </c>
      <c r="T43" s="1">
        <f t="shared" si="5"/>
        <v>1484.8166755495581</v>
      </c>
      <c r="U43" s="1">
        <f t="shared" si="3"/>
        <v>5296.9572992476315</v>
      </c>
      <c r="V43" s="1">
        <f t="shared" si="4"/>
        <v>29.300225249062617</v>
      </c>
    </row>
    <row r="44" spans="2:22" x14ac:dyDescent="0.25">
      <c r="R44" s="1">
        <v>82</v>
      </c>
      <c r="S44" s="1">
        <v>16</v>
      </c>
      <c r="T44" s="1">
        <f t="shared" si="5"/>
        <v>1394.7357203532451</v>
      </c>
      <c r="U44" s="1">
        <f t="shared" si="3"/>
        <v>5223.8744723375785</v>
      </c>
      <c r="V44" s="1">
        <f t="shared" si="4"/>
        <v>32.136860259646255</v>
      </c>
    </row>
    <row r="45" spans="2:22" x14ac:dyDescent="0.25">
      <c r="R45" s="1">
        <v>84</v>
      </c>
      <c r="S45" s="1">
        <v>17</v>
      </c>
      <c r="T45" s="1">
        <f t="shared" si="5"/>
        <v>1307.0700235913205</v>
      </c>
      <c r="U45" s="1">
        <f t="shared" si="3"/>
        <v>5157.4037332315193</v>
      </c>
      <c r="V45" s="1">
        <f t="shared" si="4"/>
        <v>34.564527735270914</v>
      </c>
    </row>
    <row r="46" spans="2:22" x14ac:dyDescent="0.25">
      <c r="R46" s="1">
        <v>86</v>
      </c>
      <c r="S46" s="1">
        <v>18</v>
      </c>
      <c r="T46" s="1">
        <f t="shared" si="5"/>
        <v>1221.7258759557405</v>
      </c>
      <c r="U46" s="1">
        <f t="shared" si="3"/>
        <v>5096.8663314566102</v>
      </c>
      <c r="V46" s="1">
        <f t="shared" si="4"/>
        <v>36.663139754078436</v>
      </c>
    </row>
    <row r="47" spans="2:22" x14ac:dyDescent="0.25">
      <c r="R47" s="1">
        <v>88</v>
      </c>
      <c r="S47" s="1">
        <v>19</v>
      </c>
      <c r="T47" s="1">
        <f t="shared" si="5"/>
        <v>1138.6145143695082</v>
      </c>
      <c r="U47" s="1">
        <f t="shared" si="3"/>
        <v>5041.6239971183668</v>
      </c>
      <c r="V47" s="1">
        <f t="shared" si="4"/>
        <v>38.493575624465208</v>
      </c>
    </row>
    <row r="48" spans="2:22" x14ac:dyDescent="0.25">
      <c r="R48" s="1">
        <v>90</v>
      </c>
      <c r="S48" s="1">
        <v>20</v>
      </c>
      <c r="T48" s="1">
        <f t="shared" si="5"/>
        <v>1057.6517639033677</v>
      </c>
      <c r="U48" s="1">
        <f t="shared" si="3"/>
        <v>4991.0962773279443</v>
      </c>
      <c r="V48" s="1">
        <f t="shared" si="4"/>
        <v>40.102904981150616</v>
      </c>
    </row>
    <row r="49" spans="18:22" x14ac:dyDescent="0.25">
      <c r="R49" s="1">
        <v>92</v>
      </c>
      <c r="S49" s="1">
        <v>21</v>
      </c>
      <c r="T49" s="1">
        <f t="shared" si="5"/>
        <v>978.75771552191156</v>
      </c>
      <c r="U49" s="1">
        <f t="shared" si="3"/>
        <v>4944.7649309559283</v>
      </c>
      <c r="V49" s="1">
        <f t="shared" si="4"/>
        <v>41.528015789212873</v>
      </c>
    </row>
    <row r="50" spans="18:22" x14ac:dyDescent="0.25">
      <c r="R50" s="1">
        <v>94</v>
      </c>
      <c r="S50" s="1">
        <v>22</v>
      </c>
      <c r="T50" s="1">
        <f t="shared" si="5"/>
        <v>901.85643493553391</v>
      </c>
      <c r="U50" s="1">
        <f t="shared" si="3"/>
        <v>4902.171979002982</v>
      </c>
      <c r="V50" s="1">
        <f t="shared" si="4"/>
        <v>42.798176615307462</v>
      </c>
    </row>
    <row r="51" spans="18:22" x14ac:dyDescent="0.25">
      <c r="R51" s="1">
        <v>96</v>
      </c>
      <c r="S51" s="1">
        <v>23</v>
      </c>
      <c r="T51" s="1">
        <f t="shared" si="5"/>
        <v>826.87569859051837</v>
      </c>
      <c r="U51" s="1">
        <f t="shared" si="3"/>
        <v>4862.9149042413565</v>
      </c>
      <c r="V51" s="1">
        <f t="shared" si="4"/>
        <v>43.936874943187298</v>
      </c>
    </row>
    <row r="52" spans="18:22" x14ac:dyDescent="0.25">
      <c r="R52" s="1">
        <v>98</v>
      </c>
      <c r="S52" s="1">
        <v>24</v>
      </c>
      <c r="T52" s="1">
        <f t="shared" si="5"/>
        <v>753.74675344809782</v>
      </c>
      <c r="U52" s="1">
        <f t="shared" si="3"/>
        <v>4826.6408275542444</v>
      </c>
      <c r="V52" s="1">
        <f t="shared" si="4"/>
        <v>44.963155720262336</v>
      </c>
    </row>
    <row r="53" spans="18:22" x14ac:dyDescent="0.25">
      <c r="R53" s="1">
        <v>100</v>
      </c>
      <c r="S53" s="1">
        <v>25</v>
      </c>
      <c r="T53" s="1">
        <f t="shared" si="5"/>
        <v>682.40409771154611</v>
      </c>
      <c r="U53" s="1">
        <f t="shared" si="3"/>
        <v>4793.0405901590702</v>
      </c>
      <c r="V53" s="1">
        <f t="shared" si="4"/>
        <v>45.892609552052313</v>
      </c>
    </row>
  </sheetData>
  <mergeCells count="8">
    <mergeCell ref="C23:J23"/>
    <mergeCell ref="C26:J26"/>
    <mergeCell ref="I37:O37"/>
    <mergeCell ref="B2:F2"/>
    <mergeCell ref="G2:K2"/>
    <mergeCell ref="L2:P2"/>
    <mergeCell ref="B35:E35"/>
    <mergeCell ref="C29:I2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4564-BFD6-4E00-A967-C3E5E2F91C5C}">
  <dimension ref="A1:H128"/>
  <sheetViews>
    <sheetView workbookViewId="0">
      <selection activeCell="B3" sqref="B3"/>
    </sheetView>
  </sheetViews>
  <sheetFormatPr baseColWidth="10" defaultRowHeight="15" x14ac:dyDescent="0.25"/>
  <cols>
    <col min="1" max="1" width="16.85546875" customWidth="1"/>
    <col min="2" max="2" width="14.28515625" customWidth="1"/>
    <col min="3" max="3" width="21.5703125" customWidth="1"/>
    <col min="4" max="4" width="13.5703125" customWidth="1"/>
  </cols>
  <sheetData>
    <row r="1" spans="1:8" x14ac:dyDescent="0.25">
      <c r="A1" s="211" t="s">
        <v>240</v>
      </c>
      <c r="B1" s="211"/>
      <c r="C1" s="211"/>
      <c r="D1" s="211"/>
    </row>
    <row r="2" spans="1:8" ht="48" customHeight="1" x14ac:dyDescent="0.25">
      <c r="A2" s="116" t="s">
        <v>85</v>
      </c>
      <c r="B2" s="116" t="s">
        <v>86</v>
      </c>
      <c r="C2" s="116" t="s">
        <v>87</v>
      </c>
      <c r="D2" s="117" t="s">
        <v>88</v>
      </c>
      <c r="F2" s="212"/>
      <c r="G2" s="212"/>
      <c r="H2" s="212"/>
    </row>
    <row r="3" spans="1:8" x14ac:dyDescent="0.25">
      <c r="A3" s="120">
        <v>1.9816488000000001</v>
      </c>
      <c r="B3" s="1">
        <v>0.31</v>
      </c>
      <c r="C3" s="121">
        <v>1.2250000000000001</v>
      </c>
      <c r="D3" s="1">
        <f>A3*B3</f>
        <v>0.61431112799999998</v>
      </c>
    </row>
    <row r="5" spans="1:8" ht="49.5" customHeight="1" x14ac:dyDescent="0.25">
      <c r="A5" s="72" t="s">
        <v>89</v>
      </c>
      <c r="B5" s="72" t="s">
        <v>90</v>
      </c>
      <c r="C5" s="72" t="s">
        <v>91</v>
      </c>
    </row>
    <row r="6" spans="1:8" x14ac:dyDescent="0.25">
      <c r="A6" s="1">
        <v>0</v>
      </c>
      <c r="B6" s="1">
        <f>(0.5*$C$3*$B$3*$A$3*(((A6/3.6))^2))</f>
        <v>0</v>
      </c>
      <c r="C6" s="1">
        <f>((A6/3.6)*B6)/735.5</f>
        <v>0</v>
      </c>
    </row>
    <row r="7" spans="1:8" x14ac:dyDescent="0.25">
      <c r="A7" s="1">
        <v>2</v>
      </c>
      <c r="B7" s="1">
        <f>(0.5*$C$3*$B$3*$A$3*(((A7/3.6))^2))</f>
        <v>0.11613134750000002</v>
      </c>
      <c r="C7" s="1">
        <f>((A7/3.6)*B7)/735.5</f>
        <v>8.7719123423219295E-5</v>
      </c>
    </row>
    <row r="8" spans="1:8" x14ac:dyDescent="0.25">
      <c r="A8" s="1">
        <v>4</v>
      </c>
      <c r="B8" s="1">
        <f t="shared" ref="B8:B56" si="0">(0.5*$C$3*$B$3*$A$3*(((A8/3.6))^2))</f>
        <v>0.46452539000000009</v>
      </c>
      <c r="C8" s="1">
        <f t="shared" ref="C8:C56" si="1">((A8/3.6)*B8)/735.5</f>
        <v>7.0175298738575436E-4</v>
      </c>
    </row>
    <row r="9" spans="1:8" x14ac:dyDescent="0.25">
      <c r="A9" s="1">
        <v>5</v>
      </c>
      <c r="B9" s="1">
        <f t="shared" si="0"/>
        <v>0.72582092187500002</v>
      </c>
      <c r="C9" s="1">
        <f t="shared" si="1"/>
        <v>1.3706113034878012E-3</v>
      </c>
    </row>
    <row r="10" spans="1:8" x14ac:dyDescent="0.25">
      <c r="A10" s="1">
        <v>6</v>
      </c>
      <c r="B10" s="1">
        <f t="shared" si="0"/>
        <v>1.0451821274999999</v>
      </c>
      <c r="C10" s="1">
        <f t="shared" si="1"/>
        <v>2.3684163324269201E-3</v>
      </c>
    </row>
    <row r="11" spans="1:8" x14ac:dyDescent="0.25">
      <c r="A11" s="1">
        <v>8</v>
      </c>
      <c r="B11" s="1">
        <f t="shared" si="0"/>
        <v>1.8581015600000004</v>
      </c>
      <c r="C11" s="1">
        <f t="shared" si="1"/>
        <v>5.6140238990860349E-3</v>
      </c>
    </row>
    <row r="12" spans="1:8" x14ac:dyDescent="0.25">
      <c r="A12" s="1">
        <v>10</v>
      </c>
      <c r="B12" s="1">
        <f t="shared" si="0"/>
        <v>2.9032836875000001</v>
      </c>
      <c r="C12" s="1">
        <f t="shared" si="1"/>
        <v>1.0964890427902409E-2</v>
      </c>
    </row>
    <row r="13" spans="1:8" x14ac:dyDescent="0.25">
      <c r="A13" s="1">
        <v>12</v>
      </c>
      <c r="B13" s="1">
        <f t="shared" si="0"/>
        <v>4.1807285099999998</v>
      </c>
      <c r="C13" s="1">
        <f t="shared" si="1"/>
        <v>1.8947330659415361E-2</v>
      </c>
    </row>
    <row r="14" spans="1:8" x14ac:dyDescent="0.25">
      <c r="A14" s="1">
        <v>14</v>
      </c>
      <c r="B14" s="1">
        <f t="shared" si="0"/>
        <v>5.6904360275000005</v>
      </c>
      <c r="C14" s="1">
        <f t="shared" si="1"/>
        <v>3.0087659334164216E-2</v>
      </c>
    </row>
    <row r="15" spans="1:8" x14ac:dyDescent="0.25">
      <c r="A15" s="1">
        <v>15</v>
      </c>
      <c r="B15" s="1">
        <f t="shared" si="0"/>
        <v>6.532388296875002</v>
      </c>
      <c r="C15" s="1">
        <f t="shared" si="1"/>
        <v>3.7006505194170647E-2</v>
      </c>
    </row>
    <row r="16" spans="1:8" x14ac:dyDescent="0.25">
      <c r="A16" s="1">
        <v>16</v>
      </c>
      <c r="B16" s="1">
        <f t="shared" si="0"/>
        <v>7.4324062400000015</v>
      </c>
      <c r="C16" s="1">
        <f t="shared" si="1"/>
        <v>4.4912191192688279E-2</v>
      </c>
    </row>
    <row r="17" spans="1:3" x14ac:dyDescent="0.25">
      <c r="A17" s="1">
        <v>18</v>
      </c>
      <c r="B17" s="1">
        <f t="shared" si="0"/>
        <v>9.4066391475000017</v>
      </c>
      <c r="C17" s="1">
        <f t="shared" si="1"/>
        <v>6.394724097552687E-2</v>
      </c>
    </row>
    <row r="18" spans="1:3" x14ac:dyDescent="0.25">
      <c r="A18" s="1">
        <v>20</v>
      </c>
      <c r="B18" s="1">
        <f t="shared" si="0"/>
        <v>11.61313475</v>
      </c>
      <c r="C18" s="1">
        <f t="shared" si="1"/>
        <v>8.7719123423219275E-2</v>
      </c>
    </row>
    <row r="19" spans="1:3" x14ac:dyDescent="0.25">
      <c r="A19" s="1">
        <v>22</v>
      </c>
      <c r="B19" s="1">
        <f t="shared" si="0"/>
        <v>14.0518930475</v>
      </c>
      <c r="C19" s="1">
        <f t="shared" si="1"/>
        <v>0.11675415327630484</v>
      </c>
    </row>
    <row r="20" spans="1:3" x14ac:dyDescent="0.25">
      <c r="A20" s="1">
        <v>24</v>
      </c>
      <c r="B20" s="1">
        <f t="shared" si="0"/>
        <v>16.722914039999999</v>
      </c>
      <c r="C20" s="1">
        <f t="shared" si="1"/>
        <v>0.15157864527532289</v>
      </c>
    </row>
    <row r="21" spans="1:3" x14ac:dyDescent="0.25">
      <c r="A21" s="1">
        <v>25</v>
      </c>
      <c r="B21" s="1">
        <f t="shared" si="0"/>
        <v>18.145523046875002</v>
      </c>
      <c r="C21" s="1">
        <f t="shared" si="1"/>
        <v>0.17132641293597517</v>
      </c>
    </row>
    <row r="22" spans="1:3" x14ac:dyDescent="0.25">
      <c r="A22" s="1">
        <v>26</v>
      </c>
      <c r="B22" s="1">
        <f t="shared" si="0"/>
        <v>19.626197727500003</v>
      </c>
      <c r="C22" s="1">
        <f t="shared" si="1"/>
        <v>0.1927189141608128</v>
      </c>
    </row>
    <row r="23" spans="1:3" x14ac:dyDescent="0.25">
      <c r="A23" s="1">
        <v>28</v>
      </c>
      <c r="B23" s="1">
        <f t="shared" si="0"/>
        <v>22.761744110000002</v>
      </c>
      <c r="C23" s="1">
        <f t="shared" si="1"/>
        <v>0.24070127467331373</v>
      </c>
    </row>
    <row r="24" spans="1:3" x14ac:dyDescent="0.25">
      <c r="A24" s="1">
        <v>30</v>
      </c>
      <c r="B24" s="1">
        <f t="shared" si="0"/>
        <v>26.129553187500008</v>
      </c>
      <c r="C24" s="1">
        <f t="shared" si="1"/>
        <v>0.29605204155336518</v>
      </c>
    </row>
    <row r="25" spans="1:3" x14ac:dyDescent="0.25">
      <c r="A25" s="1">
        <v>32</v>
      </c>
      <c r="B25" s="1">
        <f t="shared" si="0"/>
        <v>29.729624960000006</v>
      </c>
      <c r="C25" s="1">
        <f t="shared" si="1"/>
        <v>0.35929752954150623</v>
      </c>
    </row>
    <row r="26" spans="1:3" x14ac:dyDescent="0.25">
      <c r="A26" s="1">
        <v>34</v>
      </c>
      <c r="B26" s="1">
        <f t="shared" si="0"/>
        <v>33.561959427500007</v>
      </c>
      <c r="C26" s="1">
        <f t="shared" si="1"/>
        <v>0.43096405337827642</v>
      </c>
    </row>
    <row r="27" spans="1:3" x14ac:dyDescent="0.25">
      <c r="A27" s="1">
        <v>35</v>
      </c>
      <c r="B27" s="1">
        <f t="shared" si="0"/>
        <v>35.565225171874999</v>
      </c>
      <c r="C27" s="1">
        <f t="shared" si="1"/>
        <v>0.47011967709631575</v>
      </c>
    </row>
    <row r="28" spans="1:3" x14ac:dyDescent="0.25">
      <c r="A28" s="1">
        <v>36</v>
      </c>
      <c r="B28" s="1">
        <f t="shared" si="0"/>
        <v>37.626556590000007</v>
      </c>
      <c r="C28" s="1">
        <f t="shared" si="1"/>
        <v>0.51157792780421496</v>
      </c>
    </row>
    <row r="29" spans="1:3" x14ac:dyDescent="0.25">
      <c r="A29" s="1">
        <v>38</v>
      </c>
      <c r="B29" s="1">
        <f t="shared" si="0"/>
        <v>41.923416447500003</v>
      </c>
      <c r="C29" s="1">
        <f t="shared" si="1"/>
        <v>0.60166546755986106</v>
      </c>
    </row>
    <row r="30" spans="1:3" x14ac:dyDescent="0.25">
      <c r="A30" s="1">
        <v>40</v>
      </c>
      <c r="B30" s="1">
        <f t="shared" si="0"/>
        <v>46.452539000000002</v>
      </c>
      <c r="C30" s="1">
        <f t="shared" si="1"/>
        <v>0.7017529873857542</v>
      </c>
    </row>
    <row r="31" spans="1:3" x14ac:dyDescent="0.25">
      <c r="A31" s="1">
        <v>42</v>
      </c>
      <c r="B31" s="1">
        <f t="shared" si="0"/>
        <v>51.213924247499996</v>
      </c>
      <c r="C31" s="1">
        <f t="shared" si="1"/>
        <v>0.81236680202243361</v>
      </c>
    </row>
    <row r="32" spans="1:3" x14ac:dyDescent="0.25">
      <c r="A32" s="1">
        <v>44</v>
      </c>
      <c r="B32" s="1">
        <f t="shared" si="0"/>
        <v>56.20757219</v>
      </c>
      <c r="C32" s="1">
        <f t="shared" si="1"/>
        <v>0.93403322621043872</v>
      </c>
    </row>
    <row r="33" spans="1:3" x14ac:dyDescent="0.25">
      <c r="A33" s="1">
        <v>45</v>
      </c>
      <c r="B33" s="1">
        <f t="shared" si="0"/>
        <v>58.791494671875007</v>
      </c>
      <c r="C33" s="1">
        <f t="shared" si="1"/>
        <v>0.99917564024260719</v>
      </c>
    </row>
    <row r="34" spans="1:3" x14ac:dyDescent="0.25">
      <c r="A34" s="1">
        <v>46</v>
      </c>
      <c r="B34" s="1">
        <f t="shared" si="0"/>
        <v>61.433482827500001</v>
      </c>
      <c r="C34" s="1">
        <f t="shared" si="1"/>
        <v>1.0672785746903088</v>
      </c>
    </row>
    <row r="35" spans="1:3" x14ac:dyDescent="0.25">
      <c r="A35" s="1">
        <v>48</v>
      </c>
      <c r="B35" s="1">
        <f t="shared" si="0"/>
        <v>66.891656159999997</v>
      </c>
      <c r="C35" s="1">
        <f t="shared" si="1"/>
        <v>1.2126291622025831</v>
      </c>
    </row>
    <row r="36" spans="1:3" x14ac:dyDescent="0.25">
      <c r="A36" s="1">
        <v>50</v>
      </c>
      <c r="B36" s="1">
        <f t="shared" si="0"/>
        <v>72.58209218750001</v>
      </c>
      <c r="C36" s="1">
        <f t="shared" si="1"/>
        <v>1.3706113034878014</v>
      </c>
    </row>
    <row r="37" spans="1:3" x14ac:dyDescent="0.25">
      <c r="A37" s="1">
        <v>52</v>
      </c>
      <c r="B37" s="1">
        <f t="shared" si="0"/>
        <v>78.504790910000011</v>
      </c>
      <c r="C37" s="1">
        <f t="shared" si="1"/>
        <v>1.5417513132865024</v>
      </c>
    </row>
    <row r="38" spans="1:3" x14ac:dyDescent="0.25">
      <c r="A38" s="1">
        <v>54</v>
      </c>
      <c r="B38" s="1">
        <f t="shared" si="0"/>
        <v>84.659752327500016</v>
      </c>
      <c r="C38" s="1">
        <f t="shared" si="1"/>
        <v>1.7265755063392254</v>
      </c>
    </row>
    <row r="39" spans="1:3" x14ac:dyDescent="0.25">
      <c r="A39" s="1">
        <v>55</v>
      </c>
      <c r="B39" s="1">
        <f t="shared" si="0"/>
        <v>87.824331546874987</v>
      </c>
      <c r="C39" s="1">
        <f t="shared" si="1"/>
        <v>1.824283644942263</v>
      </c>
    </row>
    <row r="40" spans="1:3" x14ac:dyDescent="0.25">
      <c r="A40" s="1">
        <v>56</v>
      </c>
      <c r="B40" s="1">
        <f t="shared" si="0"/>
        <v>91.046976440000009</v>
      </c>
      <c r="C40" s="1">
        <f t="shared" si="1"/>
        <v>1.9256101973865098</v>
      </c>
    </row>
    <row r="41" spans="1:3" x14ac:dyDescent="0.25">
      <c r="A41" s="1">
        <v>58</v>
      </c>
      <c r="B41" s="1">
        <f t="shared" si="0"/>
        <v>97.666463247500005</v>
      </c>
      <c r="C41" s="1">
        <f t="shared" si="1"/>
        <v>2.1393817011688951</v>
      </c>
    </row>
    <row r="42" spans="1:3" x14ac:dyDescent="0.25">
      <c r="A42" s="1">
        <v>60</v>
      </c>
      <c r="B42" s="1">
        <f t="shared" si="0"/>
        <v>104.51821275000003</v>
      </c>
      <c r="C42" s="1">
        <f t="shared" si="1"/>
        <v>2.3684163324269214</v>
      </c>
    </row>
    <row r="43" spans="1:3" x14ac:dyDescent="0.25">
      <c r="A43" s="1">
        <v>62</v>
      </c>
      <c r="B43" s="1">
        <f t="shared" si="0"/>
        <v>111.60222494750001</v>
      </c>
      <c r="C43" s="1">
        <f t="shared" si="1"/>
        <v>2.6132404059011254</v>
      </c>
    </row>
    <row r="44" spans="1:3" x14ac:dyDescent="0.25">
      <c r="A44" s="1">
        <v>64</v>
      </c>
      <c r="B44" s="1">
        <f t="shared" si="0"/>
        <v>118.91849984000002</v>
      </c>
      <c r="C44" s="1">
        <f t="shared" si="1"/>
        <v>2.8743802363320499</v>
      </c>
    </row>
    <row r="45" spans="1:3" x14ac:dyDescent="0.25">
      <c r="A45" s="1">
        <v>65</v>
      </c>
      <c r="B45" s="1">
        <f t="shared" si="0"/>
        <v>122.66373579687499</v>
      </c>
      <c r="C45" s="1">
        <f t="shared" si="1"/>
        <v>3.0112330337626987</v>
      </c>
    </row>
    <row r="46" spans="1:3" x14ac:dyDescent="0.25">
      <c r="A46" s="1">
        <v>66</v>
      </c>
      <c r="B46" s="1">
        <f t="shared" si="0"/>
        <v>126.4670374275</v>
      </c>
      <c r="C46" s="1">
        <f t="shared" si="1"/>
        <v>3.1523621384602309</v>
      </c>
    </row>
    <row r="47" spans="1:3" x14ac:dyDescent="0.25">
      <c r="A47" s="1">
        <v>68</v>
      </c>
      <c r="B47" s="1">
        <f t="shared" si="0"/>
        <v>134.24783771000003</v>
      </c>
      <c r="C47" s="1">
        <f t="shared" si="1"/>
        <v>3.4477124270262114</v>
      </c>
    </row>
    <row r="48" spans="1:3" x14ac:dyDescent="0.25">
      <c r="A48" s="1">
        <v>70</v>
      </c>
      <c r="B48" s="1">
        <f t="shared" si="0"/>
        <v>142.2609006875</v>
      </c>
      <c r="C48" s="1">
        <f t="shared" si="1"/>
        <v>3.760957416770526</v>
      </c>
    </row>
    <row r="49" spans="1:3" x14ac:dyDescent="0.25">
      <c r="A49" s="1">
        <v>72</v>
      </c>
      <c r="B49" s="1">
        <f t="shared" si="0"/>
        <v>150.50622636000003</v>
      </c>
      <c r="C49" s="1">
        <f t="shared" si="1"/>
        <v>4.0926234224337197</v>
      </c>
    </row>
    <row r="50" spans="1:3" x14ac:dyDescent="0.25">
      <c r="A50" s="1">
        <v>74</v>
      </c>
      <c r="B50" s="1">
        <f t="shared" si="0"/>
        <v>158.98381472749998</v>
      </c>
      <c r="C50" s="1">
        <f t="shared" si="1"/>
        <v>4.4432367587563251</v>
      </c>
    </row>
    <row r="51" spans="1:3" x14ac:dyDescent="0.25">
      <c r="A51" s="1">
        <v>75</v>
      </c>
      <c r="B51" s="1">
        <f t="shared" si="0"/>
        <v>163.309707421875</v>
      </c>
      <c r="C51" s="1">
        <f t="shared" si="1"/>
        <v>4.6258131492713286</v>
      </c>
    </row>
    <row r="52" spans="1:3" x14ac:dyDescent="0.25">
      <c r="A52" s="1">
        <v>76</v>
      </c>
      <c r="B52" s="1">
        <f t="shared" si="0"/>
        <v>167.69366579000001</v>
      </c>
      <c r="C52" s="1">
        <f t="shared" si="1"/>
        <v>4.8133237404788884</v>
      </c>
    </row>
    <row r="53" spans="1:3" x14ac:dyDescent="0.25">
      <c r="A53" s="1">
        <v>78</v>
      </c>
      <c r="B53" s="1">
        <f t="shared" si="0"/>
        <v>176.63577954750005</v>
      </c>
      <c r="C53" s="1">
        <f t="shared" si="1"/>
        <v>5.2034106823419464</v>
      </c>
    </row>
    <row r="54" spans="1:3" x14ac:dyDescent="0.25">
      <c r="A54" s="1">
        <v>80</v>
      </c>
      <c r="B54" s="1">
        <f t="shared" si="0"/>
        <v>185.81015600000001</v>
      </c>
      <c r="C54" s="1">
        <f t="shared" si="1"/>
        <v>5.6140238990860336</v>
      </c>
    </row>
    <row r="55" spans="1:3" x14ac:dyDescent="0.25">
      <c r="A55" s="1">
        <v>82</v>
      </c>
      <c r="B55" s="1">
        <f t="shared" si="0"/>
        <v>195.21679514750005</v>
      </c>
      <c r="C55" s="1">
        <f t="shared" si="1"/>
        <v>6.0456897054516974</v>
      </c>
    </row>
    <row r="56" spans="1:3" x14ac:dyDescent="0.25">
      <c r="A56" s="1">
        <v>84</v>
      </c>
      <c r="B56" s="1">
        <f t="shared" si="0"/>
        <v>204.85569698999998</v>
      </c>
      <c r="C56" s="1">
        <f t="shared" si="1"/>
        <v>6.4989344161794689</v>
      </c>
    </row>
    <row r="57" spans="1:3" x14ac:dyDescent="0.25">
      <c r="A57" s="1">
        <v>85</v>
      </c>
      <c r="B57" s="1">
        <f t="shared" ref="B57:B120" si="2">(0.5*$C$3*$B$3*$A$3*(((A57/3.6))^2))</f>
        <v>209.76224642187501</v>
      </c>
      <c r="C57" s="1">
        <f t="shared" ref="C57:C120" si="3">((A57/3.6)*B57)/735.5</f>
        <v>6.7338133340355668</v>
      </c>
    </row>
    <row r="58" spans="1:3" x14ac:dyDescent="0.25">
      <c r="A58" s="1">
        <v>86</v>
      </c>
      <c r="B58" s="1">
        <f t="shared" si="2"/>
        <v>214.72686152750001</v>
      </c>
      <c r="C58" s="1">
        <f t="shared" si="3"/>
        <v>6.9742843460098944</v>
      </c>
    </row>
    <row r="59" spans="1:3" x14ac:dyDescent="0.25">
      <c r="A59" s="1">
        <v>88</v>
      </c>
      <c r="B59" s="1">
        <f t="shared" si="2"/>
        <v>224.83028876</v>
      </c>
      <c r="C59" s="1">
        <f t="shared" si="3"/>
        <v>7.4722658096835097</v>
      </c>
    </row>
    <row r="60" spans="1:3" x14ac:dyDescent="0.25">
      <c r="A60" s="1">
        <v>90</v>
      </c>
      <c r="B60" s="1">
        <f t="shared" si="2"/>
        <v>235.16597868750003</v>
      </c>
      <c r="C60" s="1">
        <f t="shared" si="3"/>
        <v>7.9934051219408575</v>
      </c>
    </row>
    <row r="61" spans="1:3" x14ac:dyDescent="0.25">
      <c r="A61" s="1">
        <v>92</v>
      </c>
      <c r="B61" s="1">
        <f t="shared" si="2"/>
        <v>245.73393131</v>
      </c>
      <c r="C61" s="1">
        <f t="shared" si="3"/>
        <v>8.5382285975224708</v>
      </c>
    </row>
    <row r="62" spans="1:3" x14ac:dyDescent="0.25">
      <c r="A62" s="1">
        <v>94</v>
      </c>
      <c r="B62" s="1">
        <f t="shared" si="2"/>
        <v>256.53414662750004</v>
      </c>
      <c r="C62" s="1">
        <f t="shared" si="3"/>
        <v>9.1072625511688958</v>
      </c>
    </row>
    <row r="63" spans="1:3" x14ac:dyDescent="0.25">
      <c r="A63" s="1">
        <v>95</v>
      </c>
      <c r="B63" s="1">
        <f t="shared" si="2"/>
        <v>262.02135279687502</v>
      </c>
      <c r="C63" s="1">
        <f t="shared" si="3"/>
        <v>9.4010229306228297</v>
      </c>
    </row>
    <row r="64" spans="1:3" x14ac:dyDescent="0.25">
      <c r="A64" s="1">
        <v>96</v>
      </c>
      <c r="B64" s="1">
        <f t="shared" si="2"/>
        <v>267.56662463999999</v>
      </c>
      <c r="C64" s="1">
        <f t="shared" si="3"/>
        <v>9.7010332976206648</v>
      </c>
    </row>
    <row r="65" spans="1:3" x14ac:dyDescent="0.25">
      <c r="A65" s="1">
        <v>98</v>
      </c>
      <c r="B65" s="1">
        <f t="shared" si="2"/>
        <v>278.83136534750003</v>
      </c>
      <c r="C65" s="1">
        <f t="shared" si="3"/>
        <v>10.320067151618325</v>
      </c>
    </row>
    <row r="66" spans="1:3" x14ac:dyDescent="0.25">
      <c r="A66" s="1">
        <v>100</v>
      </c>
      <c r="B66" s="1">
        <f t="shared" si="2"/>
        <v>290.32836875000004</v>
      </c>
      <c r="C66" s="1">
        <f t="shared" si="3"/>
        <v>10.964890427902411</v>
      </c>
    </row>
    <row r="67" spans="1:3" x14ac:dyDescent="0.25">
      <c r="A67" s="1">
        <v>102</v>
      </c>
      <c r="B67" s="1">
        <f t="shared" si="2"/>
        <v>302.05763484750003</v>
      </c>
      <c r="C67" s="1">
        <f t="shared" si="3"/>
        <v>11.636029441213461</v>
      </c>
    </row>
    <row r="68" spans="1:3" x14ac:dyDescent="0.25">
      <c r="A68" s="1">
        <v>104</v>
      </c>
      <c r="B68" s="1">
        <f t="shared" si="2"/>
        <v>314.01916364000004</v>
      </c>
      <c r="C68" s="1">
        <f t="shared" si="3"/>
        <v>12.334010506292019</v>
      </c>
    </row>
    <row r="69" spans="1:3" x14ac:dyDescent="0.25">
      <c r="A69" s="1">
        <v>105</v>
      </c>
      <c r="B69" s="1">
        <f t="shared" si="2"/>
        <v>320.08702654687499</v>
      </c>
      <c r="C69" s="1">
        <f t="shared" si="3"/>
        <v>12.693231281600525</v>
      </c>
    </row>
    <row r="70" spans="1:3" x14ac:dyDescent="0.25">
      <c r="A70" s="1">
        <v>106</v>
      </c>
      <c r="B70" s="1">
        <f t="shared" si="2"/>
        <v>326.21295512749998</v>
      </c>
      <c r="C70" s="1">
        <f t="shared" si="3"/>
        <v>13.059359937878616</v>
      </c>
    </row>
    <row r="71" spans="1:3" x14ac:dyDescent="0.25">
      <c r="A71" s="1">
        <v>108</v>
      </c>
      <c r="B71" s="1">
        <f t="shared" si="2"/>
        <v>338.63900931000006</v>
      </c>
      <c r="C71" s="1">
        <f t="shared" si="3"/>
        <v>13.812604050713803</v>
      </c>
    </row>
    <row r="72" spans="1:3" x14ac:dyDescent="0.25">
      <c r="A72" s="1">
        <v>110</v>
      </c>
      <c r="B72" s="1">
        <f t="shared" si="2"/>
        <v>351.29732618749995</v>
      </c>
      <c r="C72" s="1">
        <f t="shared" si="3"/>
        <v>14.594269159538104</v>
      </c>
    </row>
    <row r="73" spans="1:3" x14ac:dyDescent="0.25">
      <c r="A73" s="1">
        <v>112</v>
      </c>
      <c r="B73" s="1">
        <f t="shared" si="2"/>
        <v>364.18790576000004</v>
      </c>
      <c r="C73" s="1">
        <f t="shared" si="3"/>
        <v>15.404881579092079</v>
      </c>
    </row>
    <row r="74" spans="1:3" x14ac:dyDescent="0.25">
      <c r="A74" s="1">
        <v>114</v>
      </c>
      <c r="B74" s="1">
        <f t="shared" si="2"/>
        <v>377.31074802749998</v>
      </c>
      <c r="C74" s="1">
        <f t="shared" si="3"/>
        <v>16.244967624116246</v>
      </c>
    </row>
    <row r="75" spans="1:3" x14ac:dyDescent="0.25">
      <c r="A75" s="1">
        <v>115</v>
      </c>
      <c r="B75" s="1">
        <f t="shared" si="2"/>
        <v>383.95926767187501</v>
      </c>
      <c r="C75" s="1">
        <f t="shared" si="3"/>
        <v>16.676227729536077</v>
      </c>
    </row>
    <row r="76" spans="1:3" x14ac:dyDescent="0.25">
      <c r="A76" s="1">
        <v>116</v>
      </c>
      <c r="B76" s="1">
        <f t="shared" si="2"/>
        <v>390.66585299000002</v>
      </c>
      <c r="C76" s="1">
        <f t="shared" si="3"/>
        <v>17.115053609351161</v>
      </c>
    </row>
    <row r="77" spans="1:3" x14ac:dyDescent="0.25">
      <c r="A77" s="1">
        <v>118</v>
      </c>
      <c r="B77" s="1">
        <f t="shared" si="2"/>
        <v>404.25322064750003</v>
      </c>
      <c r="C77" s="1">
        <f t="shared" si="3"/>
        <v>18.015665849537356</v>
      </c>
    </row>
    <row r="78" spans="1:3" x14ac:dyDescent="0.25">
      <c r="A78" s="1">
        <v>120</v>
      </c>
      <c r="B78" s="1">
        <f t="shared" si="2"/>
        <v>418.07285100000013</v>
      </c>
      <c r="C78" s="1">
        <f t="shared" si="3"/>
        <v>18.947330659415371</v>
      </c>
    </row>
    <row r="79" spans="1:3" x14ac:dyDescent="0.25">
      <c r="A79" s="1">
        <v>122</v>
      </c>
      <c r="B79" s="1">
        <f t="shared" si="2"/>
        <v>432.12474404749997</v>
      </c>
      <c r="C79" s="1">
        <f t="shared" si="3"/>
        <v>19.910574353725732</v>
      </c>
    </row>
    <row r="80" spans="1:3" x14ac:dyDescent="0.25">
      <c r="A80" s="1">
        <v>124</v>
      </c>
      <c r="B80" s="1">
        <f t="shared" si="2"/>
        <v>446.40889979000002</v>
      </c>
      <c r="C80" s="1">
        <f t="shared" si="3"/>
        <v>20.905923247209003</v>
      </c>
    </row>
    <row r="81" spans="1:3" x14ac:dyDescent="0.25">
      <c r="A81" s="1">
        <v>125</v>
      </c>
      <c r="B81" s="1">
        <f t="shared" si="2"/>
        <v>453.63807617187501</v>
      </c>
      <c r="C81" s="1">
        <f t="shared" si="3"/>
        <v>21.415801616996895</v>
      </c>
    </row>
    <row r="82" spans="1:3" x14ac:dyDescent="0.25">
      <c r="A82" s="1">
        <v>126</v>
      </c>
      <c r="B82" s="1">
        <f t="shared" si="2"/>
        <v>460.92531822750004</v>
      </c>
      <c r="C82" s="1">
        <f t="shared" si="3"/>
        <v>21.933903654605711</v>
      </c>
    </row>
    <row r="83" spans="1:3" x14ac:dyDescent="0.25">
      <c r="A83" s="1">
        <v>128</v>
      </c>
      <c r="B83" s="1">
        <f t="shared" si="2"/>
        <v>475.6739993600001</v>
      </c>
      <c r="C83" s="1">
        <f t="shared" si="3"/>
        <v>22.995041890656399</v>
      </c>
    </row>
    <row r="84" spans="1:3" x14ac:dyDescent="0.25">
      <c r="A84" s="1">
        <v>130</v>
      </c>
      <c r="B84" s="1">
        <f t="shared" si="2"/>
        <v>490.65494318749995</v>
      </c>
      <c r="C84" s="1">
        <f t="shared" si="3"/>
        <v>24.089864270101589</v>
      </c>
    </row>
    <row r="85" spans="1:3" x14ac:dyDescent="0.25">
      <c r="A85" s="1">
        <v>132</v>
      </c>
      <c r="B85" s="1">
        <f t="shared" si="2"/>
        <v>505.86814971000001</v>
      </c>
      <c r="C85" s="1">
        <f t="shared" si="3"/>
        <v>25.218897107681848</v>
      </c>
    </row>
    <row r="86" spans="1:3" x14ac:dyDescent="0.25">
      <c r="A86" s="1">
        <v>134</v>
      </c>
      <c r="B86" s="1">
        <f t="shared" si="2"/>
        <v>521.31361892749999</v>
      </c>
      <c r="C86" s="1">
        <f t="shared" si="3"/>
        <v>26.382666718137699</v>
      </c>
    </row>
    <row r="87" spans="1:3" x14ac:dyDescent="0.25">
      <c r="A87" s="1">
        <v>135</v>
      </c>
      <c r="B87" s="1">
        <f t="shared" si="2"/>
        <v>529.12345204687506</v>
      </c>
      <c r="C87" s="1">
        <f t="shared" si="3"/>
        <v>26.977742286550392</v>
      </c>
    </row>
    <row r="88" spans="1:3" x14ac:dyDescent="0.25">
      <c r="A88" s="1">
        <v>136</v>
      </c>
      <c r="B88" s="1">
        <f t="shared" si="2"/>
        <v>536.99135084000011</v>
      </c>
      <c r="C88" s="1">
        <f t="shared" si="3"/>
        <v>27.581699416209691</v>
      </c>
    </row>
    <row r="89" spans="1:3" x14ac:dyDescent="0.25">
      <c r="A89" s="1">
        <v>138</v>
      </c>
      <c r="B89" s="1">
        <f t="shared" si="2"/>
        <v>552.90134544750015</v>
      </c>
      <c r="C89" s="1">
        <f t="shared" si="3"/>
        <v>28.816521516638353</v>
      </c>
    </row>
    <row r="90" spans="1:3" x14ac:dyDescent="0.25">
      <c r="A90" s="1">
        <v>140</v>
      </c>
      <c r="B90" s="1">
        <f t="shared" si="2"/>
        <v>569.04360274999999</v>
      </c>
      <c r="C90" s="1">
        <f t="shared" si="3"/>
        <v>30.087659334164208</v>
      </c>
    </row>
    <row r="91" spans="1:3" x14ac:dyDescent="0.25">
      <c r="A91" s="1">
        <v>142</v>
      </c>
      <c r="B91" s="1">
        <f t="shared" si="2"/>
        <v>585.41812274749998</v>
      </c>
      <c r="C91" s="1">
        <f t="shared" si="3"/>
        <v>31.395639183527834</v>
      </c>
    </row>
    <row r="92" spans="1:3" x14ac:dyDescent="0.25">
      <c r="A92" s="1">
        <v>144</v>
      </c>
      <c r="B92" s="1">
        <f t="shared" si="2"/>
        <v>602.02490544000011</v>
      </c>
      <c r="C92" s="1">
        <f t="shared" si="3"/>
        <v>32.740987379469757</v>
      </c>
    </row>
    <row r="93" spans="1:3" x14ac:dyDescent="0.25">
      <c r="A93" s="1">
        <v>145</v>
      </c>
      <c r="B93" s="1">
        <f t="shared" si="2"/>
        <v>610.41539529687509</v>
      </c>
      <c r="C93" s="1">
        <f t="shared" si="3"/>
        <v>33.427839080763988</v>
      </c>
    </row>
    <row r="94" spans="1:3" x14ac:dyDescent="0.25">
      <c r="A94" s="1">
        <v>146</v>
      </c>
      <c r="B94" s="1">
        <f t="shared" si="2"/>
        <v>618.86395082750005</v>
      </c>
      <c r="C94" s="1">
        <f t="shared" si="3"/>
        <v>34.124230236730497</v>
      </c>
    </row>
    <row r="95" spans="1:3" x14ac:dyDescent="0.25">
      <c r="A95" s="1">
        <v>148</v>
      </c>
      <c r="B95" s="1">
        <f t="shared" si="2"/>
        <v>635.9352589099999</v>
      </c>
      <c r="C95" s="1">
        <f t="shared" si="3"/>
        <v>35.545894070050601</v>
      </c>
    </row>
    <row r="96" spans="1:3" x14ac:dyDescent="0.25">
      <c r="A96" s="1">
        <v>150</v>
      </c>
      <c r="B96" s="1">
        <f t="shared" si="2"/>
        <v>653.23882968750002</v>
      </c>
      <c r="C96" s="1">
        <f t="shared" si="3"/>
        <v>37.006505194170629</v>
      </c>
    </row>
    <row r="97" spans="1:3" x14ac:dyDescent="0.25">
      <c r="A97" s="1">
        <v>152</v>
      </c>
      <c r="B97" s="1">
        <f t="shared" si="2"/>
        <v>670.77466316000005</v>
      </c>
      <c r="C97" s="1">
        <f t="shared" si="3"/>
        <v>38.506589923831108</v>
      </c>
    </row>
    <row r="98" spans="1:3" x14ac:dyDescent="0.25">
      <c r="A98" s="1">
        <v>154</v>
      </c>
      <c r="B98" s="1">
        <f t="shared" si="2"/>
        <v>688.54275932750011</v>
      </c>
      <c r="C98" s="1">
        <f t="shared" si="3"/>
        <v>40.046674573772577</v>
      </c>
    </row>
    <row r="99" spans="1:3" x14ac:dyDescent="0.25">
      <c r="A99" s="1">
        <v>155</v>
      </c>
      <c r="B99" s="1">
        <f t="shared" si="2"/>
        <v>697.51390592187511</v>
      </c>
      <c r="C99" s="1">
        <f t="shared" si="3"/>
        <v>40.831881342205094</v>
      </c>
    </row>
    <row r="100" spans="1:3" x14ac:dyDescent="0.25">
      <c r="A100" s="1">
        <v>156</v>
      </c>
      <c r="B100" s="1">
        <f t="shared" si="2"/>
        <v>706.5431181900002</v>
      </c>
      <c r="C100" s="1">
        <f t="shared" si="3"/>
        <v>41.627285458735571</v>
      </c>
    </row>
    <row r="101" spans="1:3" x14ac:dyDescent="0.25">
      <c r="A101" s="1">
        <v>158</v>
      </c>
      <c r="B101" s="1">
        <f t="shared" si="2"/>
        <v>724.77573974749998</v>
      </c>
      <c r="C101" s="1">
        <f t="shared" si="3"/>
        <v>43.248948893460607</v>
      </c>
    </row>
    <row r="102" spans="1:3" x14ac:dyDescent="0.25">
      <c r="A102" s="1">
        <v>160</v>
      </c>
      <c r="B102" s="1">
        <f t="shared" si="2"/>
        <v>743.24062400000003</v>
      </c>
      <c r="C102" s="1">
        <f t="shared" si="3"/>
        <v>44.912191192688269</v>
      </c>
    </row>
    <row r="103" spans="1:3" x14ac:dyDescent="0.25">
      <c r="A103" s="1">
        <v>162</v>
      </c>
      <c r="B103" s="1">
        <f t="shared" si="2"/>
        <v>761.9377709475001</v>
      </c>
      <c r="C103" s="1">
        <f t="shared" si="3"/>
        <v>46.617538671159082</v>
      </c>
    </row>
    <row r="104" spans="1:3" x14ac:dyDescent="0.25">
      <c r="A104" s="1">
        <v>164</v>
      </c>
      <c r="B104" s="1">
        <f t="shared" si="2"/>
        <v>780.8671805900002</v>
      </c>
      <c r="C104" s="1">
        <f t="shared" si="3"/>
        <v>48.365517643613579</v>
      </c>
    </row>
    <row r="105" spans="1:3" x14ac:dyDescent="0.25">
      <c r="A105" s="1">
        <v>165</v>
      </c>
      <c r="B105" s="1">
        <f t="shared" si="2"/>
        <v>790.41898392187522</v>
      </c>
      <c r="C105" s="1">
        <f t="shared" si="3"/>
        <v>49.255658413441125</v>
      </c>
    </row>
    <row r="106" spans="1:3" x14ac:dyDescent="0.25">
      <c r="A106" s="1">
        <v>166</v>
      </c>
      <c r="B106" s="1">
        <f t="shared" si="2"/>
        <v>800.0288529275</v>
      </c>
      <c r="C106" s="1">
        <f t="shared" si="3"/>
        <v>50.156654424792272</v>
      </c>
    </row>
    <row r="107" spans="1:3" x14ac:dyDescent="0.25">
      <c r="A107" s="1">
        <v>168</v>
      </c>
      <c r="B107" s="1">
        <f t="shared" si="2"/>
        <v>819.42278795999994</v>
      </c>
      <c r="C107" s="1">
        <f t="shared" si="3"/>
        <v>51.991475329435751</v>
      </c>
    </row>
    <row r="108" spans="1:3" x14ac:dyDescent="0.25">
      <c r="A108" s="1">
        <v>170</v>
      </c>
      <c r="B108" s="1">
        <f t="shared" si="2"/>
        <v>839.04898568750002</v>
      </c>
      <c r="C108" s="1">
        <f t="shared" si="3"/>
        <v>53.870506672284534</v>
      </c>
    </row>
    <row r="109" spans="1:3" x14ac:dyDescent="0.25">
      <c r="A109" s="1">
        <v>172</v>
      </c>
      <c r="B109" s="1">
        <f t="shared" si="2"/>
        <v>858.90744611000002</v>
      </c>
      <c r="C109" s="1">
        <f t="shared" si="3"/>
        <v>55.794274768079156</v>
      </c>
    </row>
    <row r="110" spans="1:3" x14ac:dyDescent="0.25">
      <c r="A110" s="1">
        <v>174</v>
      </c>
      <c r="B110" s="1">
        <f t="shared" si="2"/>
        <v>878.99816922750006</v>
      </c>
      <c r="C110" s="1">
        <f t="shared" si="3"/>
        <v>57.763305931560161</v>
      </c>
    </row>
    <row r="111" spans="1:3" x14ac:dyDescent="0.25">
      <c r="A111" s="1">
        <v>175</v>
      </c>
      <c r="B111" s="1">
        <f t="shared" si="2"/>
        <v>889.13062929687499</v>
      </c>
      <c r="C111" s="1">
        <f t="shared" si="3"/>
        <v>58.764959637039468</v>
      </c>
    </row>
    <row r="112" spans="1:3" x14ac:dyDescent="0.25">
      <c r="A112" s="1">
        <v>176</v>
      </c>
      <c r="B112" s="1">
        <f t="shared" si="2"/>
        <v>899.32115504000001</v>
      </c>
      <c r="C112" s="1">
        <f t="shared" si="3"/>
        <v>59.778126477468078</v>
      </c>
    </row>
    <row r="113" spans="1:3" x14ac:dyDescent="0.25">
      <c r="A113" s="1">
        <v>178</v>
      </c>
      <c r="B113" s="1">
        <f t="shared" si="2"/>
        <v>919.87640354749999</v>
      </c>
      <c r="C113" s="1">
        <f t="shared" si="3"/>
        <v>61.839262720543474</v>
      </c>
    </row>
    <row r="114" spans="1:3" x14ac:dyDescent="0.25">
      <c r="A114" s="1">
        <v>180</v>
      </c>
      <c r="B114" s="1">
        <f t="shared" si="2"/>
        <v>940.66391475000012</v>
      </c>
      <c r="C114" s="1">
        <f t="shared" si="3"/>
        <v>63.94724097552686</v>
      </c>
    </row>
    <row r="115" spans="1:3" x14ac:dyDescent="0.25">
      <c r="A115" s="1">
        <v>185</v>
      </c>
      <c r="B115" s="1">
        <f t="shared" si="2"/>
        <v>993.64884204687507</v>
      </c>
      <c r="C115" s="1">
        <f t="shared" si="3"/>
        <v>69.425574355567591</v>
      </c>
    </row>
    <row r="116" spans="1:3" x14ac:dyDescent="0.25">
      <c r="A116" s="1">
        <v>190</v>
      </c>
      <c r="B116" s="1">
        <f t="shared" si="2"/>
        <v>1048.0854111875001</v>
      </c>
      <c r="C116" s="1">
        <f t="shared" si="3"/>
        <v>75.208183444982637</v>
      </c>
    </row>
    <row r="117" spans="1:3" x14ac:dyDescent="0.25">
      <c r="A117" s="1">
        <v>195</v>
      </c>
      <c r="B117" s="1">
        <f t="shared" si="2"/>
        <v>1103.9736221718749</v>
      </c>
      <c r="C117" s="1">
        <f t="shared" si="3"/>
        <v>81.303291911592865</v>
      </c>
    </row>
    <row r="118" spans="1:3" x14ac:dyDescent="0.25">
      <c r="A118" s="1">
        <v>200</v>
      </c>
      <c r="B118" s="1">
        <f t="shared" si="2"/>
        <v>1161.3134750000002</v>
      </c>
      <c r="C118" s="1">
        <f t="shared" si="3"/>
        <v>87.719123423219287</v>
      </c>
    </row>
    <row r="119" spans="1:3" x14ac:dyDescent="0.25">
      <c r="A119" s="1">
        <v>205</v>
      </c>
      <c r="B119" s="1">
        <f t="shared" si="2"/>
        <v>1220.1049696718751</v>
      </c>
      <c r="C119" s="1">
        <f t="shared" si="3"/>
        <v>94.463901647682746</v>
      </c>
    </row>
    <row r="120" spans="1:3" x14ac:dyDescent="0.25">
      <c r="A120" s="1">
        <v>210</v>
      </c>
      <c r="B120" s="1">
        <f t="shared" si="2"/>
        <v>1280.3481061875</v>
      </c>
      <c r="C120" s="1">
        <f t="shared" si="3"/>
        <v>101.5458502528042</v>
      </c>
    </row>
    <row r="121" spans="1:3" x14ac:dyDescent="0.25">
      <c r="A121" s="1">
        <v>215</v>
      </c>
      <c r="B121" s="1">
        <f t="shared" ref="B121:B128" si="4">(0.5*$C$3*$B$3*$A$3*(((A121/3.6))^2))</f>
        <v>1342.042884546875</v>
      </c>
      <c r="C121" s="1">
        <f t="shared" ref="C121:C128" si="5">((A121/3.6)*B121)/735.5</f>
        <v>108.97319290640462</v>
      </c>
    </row>
    <row r="122" spans="1:3" x14ac:dyDescent="0.25">
      <c r="A122" s="1">
        <v>220</v>
      </c>
      <c r="B122" s="1">
        <f t="shared" si="4"/>
        <v>1405.1893047499998</v>
      </c>
      <c r="C122" s="1">
        <f t="shared" si="5"/>
        <v>116.75415327630483</v>
      </c>
    </row>
    <row r="123" spans="1:3" x14ac:dyDescent="0.25">
      <c r="A123" s="1">
        <v>225</v>
      </c>
      <c r="B123" s="1">
        <f t="shared" si="4"/>
        <v>1469.7873667968752</v>
      </c>
      <c r="C123" s="1">
        <f t="shared" si="5"/>
        <v>124.8969550303259</v>
      </c>
    </row>
    <row r="124" spans="1:3" x14ac:dyDescent="0.25">
      <c r="A124" s="1">
        <v>230</v>
      </c>
      <c r="B124" s="1">
        <f t="shared" si="4"/>
        <v>1535.8370706875</v>
      </c>
      <c r="C124" s="1">
        <f t="shared" si="5"/>
        <v>133.40982183628861</v>
      </c>
    </row>
    <row r="125" spans="1:3" x14ac:dyDescent="0.25">
      <c r="A125" s="1">
        <v>235</v>
      </c>
      <c r="B125" s="1">
        <f t="shared" si="4"/>
        <v>1603.3384164218749</v>
      </c>
      <c r="C125" s="1">
        <f t="shared" si="5"/>
        <v>142.30097736201395</v>
      </c>
    </row>
    <row r="126" spans="1:3" x14ac:dyDescent="0.25">
      <c r="A126" s="1">
        <v>240</v>
      </c>
      <c r="B126" s="1">
        <f t="shared" si="4"/>
        <v>1672.2914040000005</v>
      </c>
      <c r="C126" s="1">
        <f t="shared" si="5"/>
        <v>151.57864527532297</v>
      </c>
    </row>
    <row r="127" spans="1:3" x14ac:dyDescent="0.25">
      <c r="A127" s="1">
        <v>245</v>
      </c>
      <c r="B127" s="1">
        <f t="shared" si="4"/>
        <v>1742.6960334218754</v>
      </c>
      <c r="C127" s="1">
        <f t="shared" si="5"/>
        <v>161.25104924403638</v>
      </c>
    </row>
    <row r="128" spans="1:3" x14ac:dyDescent="0.25">
      <c r="A128" s="1">
        <v>250</v>
      </c>
      <c r="B128" s="1">
        <f t="shared" si="4"/>
        <v>1814.5523046875001</v>
      </c>
      <c r="C128" s="1">
        <f t="shared" si="5"/>
        <v>171.32641293597516</v>
      </c>
    </row>
  </sheetData>
  <mergeCells count="2">
    <mergeCell ref="A1:D1"/>
    <mergeCell ref="F2:H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B57A-95E0-491D-A87A-B18F39B29CEA}">
  <dimension ref="A1:P143"/>
  <sheetViews>
    <sheetView zoomScale="85" zoomScaleNormal="85" workbookViewId="0">
      <selection activeCell="S155" sqref="S155"/>
    </sheetView>
  </sheetViews>
  <sheetFormatPr baseColWidth="10" defaultRowHeight="15" x14ac:dyDescent="0.25"/>
  <cols>
    <col min="1" max="1" width="48.5703125" customWidth="1"/>
    <col min="3" max="3" width="11.85546875" bestFit="1" customWidth="1"/>
    <col min="4" max="4" width="11.42578125" customWidth="1"/>
    <col min="5" max="5" width="24.85546875" customWidth="1"/>
    <col min="8" max="8" width="9.140625" customWidth="1"/>
    <col min="9" max="9" width="14.85546875" customWidth="1"/>
    <col min="10" max="10" width="16" customWidth="1"/>
    <col min="11" max="11" width="15.5703125" customWidth="1"/>
    <col min="12" max="12" width="15" customWidth="1"/>
    <col min="14" max="14" width="11.85546875" bestFit="1" customWidth="1"/>
    <col min="15" max="15" width="14.42578125" customWidth="1"/>
    <col min="16" max="16" width="15.140625" customWidth="1"/>
  </cols>
  <sheetData>
    <row r="1" spans="1:13" x14ac:dyDescent="0.25">
      <c r="A1" s="215" t="s">
        <v>92</v>
      </c>
      <c r="B1" s="215"/>
      <c r="C1" s="215"/>
      <c r="D1" s="215"/>
      <c r="H1" s="215" t="s">
        <v>129</v>
      </c>
      <c r="I1" s="215"/>
      <c r="J1" s="215"/>
    </row>
    <row r="2" spans="1:13" x14ac:dyDescent="0.25">
      <c r="A2" s="213" t="s">
        <v>93</v>
      </c>
      <c r="B2" s="213"/>
      <c r="C2" s="213"/>
      <c r="D2" s="213"/>
      <c r="H2" s="213" t="s">
        <v>130</v>
      </c>
      <c r="I2" s="213"/>
      <c r="J2" s="213"/>
    </row>
    <row r="3" spans="1:13" x14ac:dyDescent="0.25">
      <c r="A3" s="70" t="s">
        <v>94</v>
      </c>
      <c r="B3" s="1" t="s">
        <v>97</v>
      </c>
      <c r="C3" s="1"/>
      <c r="D3" s="1" t="s">
        <v>241</v>
      </c>
      <c r="E3" s="1" t="s">
        <v>136</v>
      </c>
      <c r="H3" s="90" t="s">
        <v>241</v>
      </c>
      <c r="I3" s="93">
        <f>((D4*C15)*
((C5*0.6)+(C7*L3)))
/(C5+(C15*C7))</f>
        <v>6071.3711369148205</v>
      </c>
      <c r="J3" s="92" t="s">
        <v>131</v>
      </c>
      <c r="K3" s="1" t="s">
        <v>132</v>
      </c>
      <c r="L3" s="1">
        <v>9.4999999999999998E-3</v>
      </c>
    </row>
    <row r="4" spans="1:13" x14ac:dyDescent="0.25">
      <c r="A4" s="70" t="s">
        <v>95</v>
      </c>
      <c r="B4" s="1" t="s">
        <v>114</v>
      </c>
      <c r="C4" s="1">
        <v>1275</v>
      </c>
      <c r="D4" s="1">
        <f>C4*9.81</f>
        <v>12507.75</v>
      </c>
      <c r="E4" s="1">
        <v>1.1000000000000001</v>
      </c>
      <c r="H4" s="1" t="s">
        <v>242</v>
      </c>
      <c r="I4" s="91">
        <f>((D4*C15)*
((C6)-(C7*L3)))
/(C5-(C15*C7))</f>
        <v>8644.9005138888879</v>
      </c>
      <c r="J4" s="92" t="s">
        <v>131</v>
      </c>
      <c r="K4" s="1" t="s">
        <v>133</v>
      </c>
      <c r="L4" s="1">
        <v>0</v>
      </c>
      <c r="M4" s="1" t="s">
        <v>140</v>
      </c>
    </row>
    <row r="5" spans="1:13" x14ac:dyDescent="0.25">
      <c r="A5" s="70" t="s">
        <v>96</v>
      </c>
      <c r="B5" s="1" t="s">
        <v>115</v>
      </c>
      <c r="C5" s="1">
        <v>2.512</v>
      </c>
      <c r="D5" s="1"/>
      <c r="H5" s="65" t="s">
        <v>243</v>
      </c>
      <c r="I5" s="91">
        <f>D4*C15</f>
        <v>11882.362499999999</v>
      </c>
      <c r="J5" s="92" t="s">
        <v>131</v>
      </c>
      <c r="K5" s="1" t="s">
        <v>134</v>
      </c>
      <c r="L5" s="1">
        <v>2.5</v>
      </c>
    </row>
    <row r="6" spans="1:13" x14ac:dyDescent="0.25">
      <c r="A6" s="70" t="s">
        <v>98</v>
      </c>
      <c r="B6" s="1" t="s">
        <v>116</v>
      </c>
      <c r="C6" s="1">
        <f>C5*0.6</f>
        <v>1.5071999999999999</v>
      </c>
      <c r="D6" s="1"/>
      <c r="H6" s="213" t="s">
        <v>135</v>
      </c>
      <c r="I6" s="213"/>
      <c r="J6" s="213"/>
    </row>
    <row r="7" spans="1:13" x14ac:dyDescent="0.25">
      <c r="A7" s="70" t="s">
        <v>99</v>
      </c>
      <c r="B7" s="1" t="s">
        <v>117</v>
      </c>
      <c r="C7" s="1">
        <v>0.47</v>
      </c>
      <c r="D7" s="1"/>
      <c r="H7" s="90" t="s">
        <v>241</v>
      </c>
      <c r="I7" s="91">
        <f>((D4*C15)*
((C5*0.6)+(C7*L3)))
/(C5+(C15*C7))*
COS(C19)</f>
        <v>6071.3711369148205</v>
      </c>
      <c r="J7" s="92" t="s">
        <v>131</v>
      </c>
    </row>
    <row r="8" spans="1:13" x14ac:dyDescent="0.25">
      <c r="A8" s="70" t="s">
        <v>100</v>
      </c>
      <c r="B8" s="1" t="s">
        <v>120</v>
      </c>
      <c r="C8" s="1">
        <v>110</v>
      </c>
      <c r="D8" s="1">
        <f>C8*735.5</f>
        <v>80905</v>
      </c>
      <c r="H8" s="1" t="s">
        <v>242</v>
      </c>
      <c r="I8" s="91">
        <f>((D4*C15)*
((C6)-(C7*L3)))
/(C5-(C15*C7))*
COS(C19)</f>
        <v>8644.9005138888879</v>
      </c>
      <c r="J8" s="92" t="s">
        <v>131</v>
      </c>
    </row>
    <row r="9" spans="1:13" x14ac:dyDescent="0.25">
      <c r="A9" s="70" t="s">
        <v>101</v>
      </c>
      <c r="B9" s="1" t="s">
        <v>86</v>
      </c>
      <c r="C9" s="1">
        <v>0.31</v>
      </c>
      <c r="D9" s="1"/>
      <c r="H9" s="1" t="s">
        <v>243</v>
      </c>
      <c r="I9" s="85">
        <f>D4*C15*COS(C19)</f>
        <v>11882.362499999999</v>
      </c>
      <c r="J9" s="87" t="s">
        <v>131</v>
      </c>
    </row>
    <row r="10" spans="1:13" x14ac:dyDescent="0.25">
      <c r="A10" s="70" t="s">
        <v>102</v>
      </c>
      <c r="B10" s="1" t="s">
        <v>118</v>
      </c>
      <c r="C10" s="1">
        <v>1.9816488000000001</v>
      </c>
      <c r="D10" s="1"/>
    </row>
    <row r="11" spans="1:13" x14ac:dyDescent="0.25">
      <c r="A11" s="70" t="s">
        <v>87</v>
      </c>
      <c r="B11" s="1" t="s">
        <v>119</v>
      </c>
      <c r="C11" s="1">
        <v>1.2549999999999999</v>
      </c>
      <c r="D11" s="1"/>
      <c r="H11" s="79"/>
      <c r="I11" s="80"/>
      <c r="J11" s="80"/>
      <c r="K11" s="80"/>
      <c r="L11" s="80"/>
      <c r="M11" s="81"/>
    </row>
    <row r="12" spans="1:13" x14ac:dyDescent="0.25">
      <c r="A12" s="213" t="s">
        <v>103</v>
      </c>
      <c r="B12" s="213"/>
      <c r="C12" s="213"/>
      <c r="D12" s="213"/>
      <c r="H12" s="82"/>
      <c r="I12" s="83"/>
      <c r="J12" s="83"/>
      <c r="K12" s="83"/>
      <c r="L12" s="83"/>
      <c r="M12" s="84"/>
    </row>
    <row r="13" spans="1:13" x14ac:dyDescent="0.25">
      <c r="A13" s="70" t="s">
        <v>104</v>
      </c>
      <c r="B13" s="1" t="s">
        <v>137</v>
      </c>
      <c r="C13" s="1">
        <v>9.4999999999999998E-3</v>
      </c>
      <c r="D13" s="1"/>
      <c r="H13" s="82"/>
      <c r="I13" s="83"/>
      <c r="J13" s="83"/>
      <c r="K13" s="83"/>
      <c r="L13" s="83"/>
      <c r="M13" s="84"/>
    </row>
    <row r="14" spans="1:13" x14ac:dyDescent="0.25">
      <c r="A14" s="70" t="s">
        <v>105</v>
      </c>
      <c r="B14" s="1" t="s">
        <v>138</v>
      </c>
      <c r="C14" s="1">
        <v>1.1000000000000001E-3</v>
      </c>
      <c r="D14" s="1"/>
      <c r="H14" s="82"/>
      <c r="I14" s="83"/>
      <c r="J14" s="83"/>
      <c r="K14" s="83"/>
      <c r="L14" s="83"/>
      <c r="M14" s="84"/>
    </row>
    <row r="15" spans="1:13" x14ac:dyDescent="0.25">
      <c r="A15" s="71" t="s">
        <v>106</v>
      </c>
      <c r="B15" s="77" t="s">
        <v>139</v>
      </c>
      <c r="C15" s="65">
        <v>0.95</v>
      </c>
      <c r="D15" s="65"/>
      <c r="H15" s="82"/>
      <c r="I15" s="83"/>
      <c r="J15" s="83"/>
      <c r="K15" s="83"/>
      <c r="L15" s="83"/>
      <c r="M15" s="84"/>
    </row>
    <row r="16" spans="1:13" x14ac:dyDescent="0.25">
      <c r="A16" s="213" t="s">
        <v>107</v>
      </c>
      <c r="B16" s="213"/>
      <c r="C16" s="213"/>
      <c r="D16" s="214"/>
      <c r="E16" s="214"/>
      <c r="F16" s="214"/>
      <c r="H16" s="85"/>
      <c r="I16" s="86"/>
      <c r="J16" s="86"/>
      <c r="K16" s="86"/>
      <c r="L16" s="86"/>
      <c r="M16" s="87"/>
    </row>
    <row r="17" spans="1:16" x14ac:dyDescent="0.25">
      <c r="A17" s="70" t="s">
        <v>108</v>
      </c>
      <c r="B17" s="1" t="s">
        <v>111</v>
      </c>
      <c r="C17" s="94">
        <f>F18</f>
        <v>0</v>
      </c>
      <c r="D17" s="62"/>
      <c r="E17" s="78"/>
      <c r="F17" s="74"/>
    </row>
    <row r="18" spans="1:16" x14ac:dyDescent="0.25">
      <c r="A18" s="70" t="s">
        <v>109</v>
      </c>
      <c r="B18" s="1" t="s">
        <v>112</v>
      </c>
      <c r="C18" s="94">
        <f>DEGREES(C19)</f>
        <v>0</v>
      </c>
      <c r="D18" s="75"/>
      <c r="E18" s="88" t="s">
        <v>145</v>
      </c>
      <c r="F18" s="96">
        <v>0</v>
      </c>
    </row>
    <row r="19" spans="1:16" x14ac:dyDescent="0.25">
      <c r="A19" s="70" t="s">
        <v>110</v>
      </c>
      <c r="B19" s="1" t="s">
        <v>113</v>
      </c>
      <c r="C19" s="95">
        <f>ATAN(F18/100)</f>
        <v>0</v>
      </c>
      <c r="D19" s="76"/>
      <c r="E19" s="76"/>
      <c r="F19" s="74"/>
    </row>
    <row r="20" spans="1:16" ht="57.75" customHeight="1" x14ac:dyDescent="0.25">
      <c r="H20" s="72" t="s">
        <v>89</v>
      </c>
      <c r="I20" s="72" t="s">
        <v>121</v>
      </c>
      <c r="J20" s="72" t="s">
        <v>122</v>
      </c>
      <c r="K20" s="72" t="s">
        <v>123</v>
      </c>
      <c r="L20" s="72" t="s">
        <v>124</v>
      </c>
      <c r="M20" s="72" t="s">
        <v>125</v>
      </c>
      <c r="N20" s="72" t="s">
        <v>126</v>
      </c>
      <c r="O20" s="72" t="s">
        <v>127</v>
      </c>
      <c r="P20" s="72" t="s">
        <v>128</v>
      </c>
    </row>
    <row r="21" spans="1:16" x14ac:dyDescent="0.25">
      <c r="H21" s="1">
        <v>0</v>
      </c>
      <c r="I21" s="73">
        <f>H21/3.6</f>
        <v>0</v>
      </c>
      <c r="J21" s="73">
        <f>(($C$13+($C$14*
($H21/100)*EXP($L$5)))
*$D$4)</f>
        <v>118.82362499999999</v>
      </c>
      <c r="K21" s="73">
        <f>(($C$13+($C$14*
($H21/100)*EXP($L$5)))
*$D$4)*
COS($C$19)</f>
        <v>118.82362499999999</v>
      </c>
      <c r="L21" s="73">
        <f>'Resistencia aerodinámica sin Rr'!B6</f>
        <v>0</v>
      </c>
      <c r="M21" s="73">
        <f>$D$4*SIN($C$19)</f>
        <v>0</v>
      </c>
      <c r="N21" s="73">
        <f>K21+L21+M21</f>
        <v>118.82362499999999</v>
      </c>
      <c r="O21" s="73">
        <f>I21*N21</f>
        <v>0</v>
      </c>
      <c r="P21" s="73">
        <f>O21*0.00134102</f>
        <v>0</v>
      </c>
    </row>
    <row r="22" spans="1:16" x14ac:dyDescent="0.25">
      <c r="H22" s="1">
        <v>2</v>
      </c>
      <c r="I22" s="73">
        <f>H22/3.6</f>
        <v>0.55555555555555558</v>
      </c>
      <c r="J22" s="73">
        <f>(($C$13+($C$14*
($H22/100)*EXP($L$5)))
*$D$4)</f>
        <v>122.17588795441375</v>
      </c>
      <c r="K22" s="73">
        <f>(($C$13+($C$14*
($H22/100)*EXP($L$5)))
*$D$4)*
COS($C$19)</f>
        <v>122.17588795441375</v>
      </c>
      <c r="L22" s="73">
        <f>'Resistencia aerodinámica sin Rr'!B7</f>
        <v>0.11613134750000002</v>
      </c>
      <c r="M22" s="73">
        <f>$D$4*SIN($C$19)</f>
        <v>0</v>
      </c>
      <c r="N22" s="73">
        <f>K22+L22+M22</f>
        <v>122.29201930191375</v>
      </c>
      <c r="O22" s="73">
        <f>I22*N22</f>
        <v>67.940010723285425</v>
      </c>
      <c r="P22" s="73">
        <f>O22*0.00134102</f>
        <v>9.1108913180140222E-2</v>
      </c>
    </row>
    <row r="23" spans="1:16" x14ac:dyDescent="0.25">
      <c r="H23" s="1">
        <v>4</v>
      </c>
      <c r="I23" s="73">
        <f>H23/3.6</f>
        <v>1.1111111111111112</v>
      </c>
      <c r="J23" s="73">
        <f>(($C$13+($C$14*
($H23/100)*EXP($L$5)))
*$D$4)</f>
        <v>125.52815090882751</v>
      </c>
      <c r="K23" s="73">
        <f>(($C$13+($C$14*
($H23/100)*EXP($L$5)))
*$D$4)*
COS($C$19)</f>
        <v>125.52815090882751</v>
      </c>
      <c r="L23" s="73">
        <f>'Resistencia aerodinámica sin Rr'!B8</f>
        <v>0.46452539000000009</v>
      </c>
      <c r="M23" s="73">
        <f>$D$4*SIN($C$19)</f>
        <v>0</v>
      </c>
      <c r="N23" s="73">
        <f>K23+L23+M23</f>
        <v>125.99267629882752</v>
      </c>
      <c r="O23" s="73">
        <f>I23*N23</f>
        <v>139.9918625542528</v>
      </c>
      <c r="P23" s="73">
        <f>O23*0.00134102</f>
        <v>0.18773188752250411</v>
      </c>
    </row>
    <row r="24" spans="1:16" x14ac:dyDescent="0.25">
      <c r="H24" s="1">
        <v>5</v>
      </c>
      <c r="I24" s="73">
        <f>H24/3.6</f>
        <v>1.3888888888888888</v>
      </c>
      <c r="J24" s="73">
        <f>(($C$13+($C$14*
($H24/100)*EXP($L$5)))
*$D$4)</f>
        <v>127.20428238603438</v>
      </c>
      <c r="K24" s="73">
        <f>(($C$13+($C$14*
($H24/100)*EXP($L$5)))
*$D$4)*
COS($C$19)</f>
        <v>127.20428238603438</v>
      </c>
      <c r="L24" s="1">
        <f>'Resistencia aerodinámica sin Rr'!B9</f>
        <v>0.72582092187500002</v>
      </c>
      <c r="M24" s="73">
        <f t="shared" ref="M24:M119" si="0">$D$4*SIN($C$19)</f>
        <v>0</v>
      </c>
      <c r="N24" s="1">
        <f t="shared" ref="N24:N27" si="1">K24+L24+M24</f>
        <v>127.93010330790938</v>
      </c>
      <c r="O24" s="1">
        <f t="shared" ref="O24:O27" si="2">I24*N24</f>
        <v>177.68069903876301</v>
      </c>
      <c r="P24" s="1">
        <f t="shared" ref="P24:P27" si="3">O24*0.00134102</f>
        <v>0.23827337102496199</v>
      </c>
    </row>
    <row r="25" spans="1:16" x14ac:dyDescent="0.25">
      <c r="H25" s="1">
        <v>6</v>
      </c>
      <c r="I25" s="73">
        <f t="shared" ref="I25:I88" si="4">H25/3.6</f>
        <v>1.6666666666666665</v>
      </c>
      <c r="J25" s="73">
        <f t="shared" ref="J25:J88" si="5">(($C$13+($C$14*
($H25/100)*EXP($L$5)))
*$D$4)</f>
        <v>128.88041386324127</v>
      </c>
      <c r="K25" s="73">
        <f t="shared" ref="K25:K88" si="6">(($C$13+($C$14*
($H25/100)*EXP($L$5)))
*$D$4)*
COS($C$19)</f>
        <v>128.88041386324127</v>
      </c>
      <c r="L25" s="73">
        <f>'Resistencia aerodinámica sin Rr'!B10</f>
        <v>1.0451821274999999</v>
      </c>
      <c r="M25" s="73">
        <f t="shared" si="0"/>
        <v>0</v>
      </c>
      <c r="N25" s="73">
        <f t="shared" si="1"/>
        <v>129.92559599074127</v>
      </c>
      <c r="O25" s="73">
        <f t="shared" si="2"/>
        <v>216.54265998456876</v>
      </c>
      <c r="P25" s="73">
        <f t="shared" si="3"/>
        <v>0.29038803789250639</v>
      </c>
    </row>
    <row r="26" spans="1:16" x14ac:dyDescent="0.25">
      <c r="H26" s="1">
        <v>8</v>
      </c>
      <c r="I26" s="73">
        <f t="shared" si="4"/>
        <v>2.2222222222222223</v>
      </c>
      <c r="J26" s="73">
        <f t="shared" si="5"/>
        <v>132.232676817655</v>
      </c>
      <c r="K26" s="73">
        <f t="shared" si="6"/>
        <v>132.232676817655</v>
      </c>
      <c r="L26" s="73">
        <f>'Resistencia aerodinámica sin Rr'!B11</f>
        <v>1.8581015600000004</v>
      </c>
      <c r="M26" s="73">
        <f t="shared" si="0"/>
        <v>0</v>
      </c>
      <c r="N26" s="73">
        <f t="shared" si="1"/>
        <v>134.090778377655</v>
      </c>
      <c r="O26" s="73">
        <f t="shared" si="2"/>
        <v>297.97950750590002</v>
      </c>
      <c r="P26" s="73">
        <f t="shared" si="3"/>
        <v>0.39959647915556207</v>
      </c>
    </row>
    <row r="27" spans="1:16" x14ac:dyDescent="0.25">
      <c r="H27" s="1">
        <v>10</v>
      </c>
      <c r="I27" s="73">
        <f t="shared" si="4"/>
        <v>2.7777777777777777</v>
      </c>
      <c r="J27" s="73">
        <f t="shared" si="5"/>
        <v>135.58493977206876</v>
      </c>
      <c r="K27" s="73">
        <f t="shared" si="6"/>
        <v>135.58493977206876</v>
      </c>
      <c r="L27" s="73">
        <f>'Resistencia aerodinámica sin Rr'!B12</f>
        <v>2.9032836875000001</v>
      </c>
      <c r="M27" s="73">
        <f t="shared" si="0"/>
        <v>0</v>
      </c>
      <c r="N27" s="73">
        <f t="shared" si="1"/>
        <v>138.48822345956876</v>
      </c>
      <c r="O27" s="73">
        <f t="shared" si="2"/>
        <v>384.68950960991322</v>
      </c>
      <c r="P27" s="73">
        <f t="shared" si="3"/>
        <v>0.5158763261770859</v>
      </c>
    </row>
    <row r="28" spans="1:16" x14ac:dyDescent="0.25">
      <c r="H28" s="1">
        <v>12</v>
      </c>
      <c r="I28" s="73">
        <f t="shared" si="4"/>
        <v>3.333333333333333</v>
      </c>
      <c r="J28" s="73">
        <f t="shared" si="5"/>
        <v>138.93720272648252</v>
      </c>
      <c r="K28" s="73">
        <f t="shared" si="6"/>
        <v>138.93720272648252</v>
      </c>
      <c r="L28" s="1">
        <f>'Resistencia aerodinámica sin Rr'!B13</f>
        <v>4.1807285099999998</v>
      </c>
      <c r="M28" s="73">
        <f t="shared" si="0"/>
        <v>0</v>
      </c>
      <c r="N28" s="1">
        <f t="shared" ref="N28:N37" si="7">K28+L28+M28</f>
        <v>143.11793123648252</v>
      </c>
      <c r="O28" s="1">
        <f t="shared" ref="O28:O37" si="8">I28*N28</f>
        <v>477.05977078827505</v>
      </c>
      <c r="P28" s="1">
        <f t="shared" ref="P28:P37" si="9">O28*0.00134102</f>
        <v>0.63974669382249261</v>
      </c>
    </row>
    <row r="29" spans="1:16" x14ac:dyDescent="0.25">
      <c r="H29" s="1">
        <v>14</v>
      </c>
      <c r="I29" s="73">
        <f t="shared" si="4"/>
        <v>3.8888888888888888</v>
      </c>
      <c r="J29" s="73">
        <f t="shared" si="5"/>
        <v>142.28946568089628</v>
      </c>
      <c r="K29" s="73">
        <f t="shared" si="6"/>
        <v>142.28946568089628</v>
      </c>
      <c r="L29" s="73">
        <f>'Resistencia aerodinámica sin Rr'!B14</f>
        <v>5.6904360275000005</v>
      </c>
      <c r="M29" s="73">
        <f t="shared" si="0"/>
        <v>0</v>
      </c>
      <c r="N29" s="73">
        <f t="shared" si="7"/>
        <v>147.97990170839628</v>
      </c>
      <c r="O29" s="73">
        <f t="shared" si="8"/>
        <v>575.47739553265217</v>
      </c>
      <c r="P29" s="73">
        <f t="shared" si="9"/>
        <v>0.7717266969571972</v>
      </c>
    </row>
    <row r="30" spans="1:16" x14ac:dyDescent="0.25">
      <c r="H30" s="1">
        <v>15</v>
      </c>
      <c r="I30" s="73">
        <f t="shared" si="4"/>
        <v>4.166666666666667</v>
      </c>
      <c r="J30" s="73">
        <f t="shared" si="5"/>
        <v>143.96559715810315</v>
      </c>
      <c r="K30" s="73">
        <f t="shared" si="6"/>
        <v>143.96559715810315</v>
      </c>
      <c r="L30" s="73">
        <f>'Resistencia aerodinámica sin Rr'!B15</f>
        <v>6.532388296875002</v>
      </c>
      <c r="M30" s="73">
        <f t="shared" si="0"/>
        <v>0</v>
      </c>
      <c r="N30" s="73">
        <f t="shared" si="7"/>
        <v>150.49798545497816</v>
      </c>
      <c r="O30" s="73">
        <f t="shared" si="8"/>
        <v>627.07493939574238</v>
      </c>
      <c r="P30" s="73">
        <f t="shared" si="9"/>
        <v>0.84092003522847847</v>
      </c>
    </row>
    <row r="31" spans="1:16" x14ac:dyDescent="0.25">
      <c r="H31" s="1">
        <v>16</v>
      </c>
      <c r="I31" s="73">
        <f t="shared" si="4"/>
        <v>4.4444444444444446</v>
      </c>
      <c r="J31" s="73">
        <f t="shared" si="5"/>
        <v>145.64172863531005</v>
      </c>
      <c r="K31" s="73">
        <f t="shared" si="6"/>
        <v>145.64172863531005</v>
      </c>
      <c r="L31" s="73">
        <f>'Resistencia aerodinámica sin Rr'!B16</f>
        <v>7.4324062400000015</v>
      </c>
      <c r="M31" s="73">
        <f t="shared" si="0"/>
        <v>0</v>
      </c>
      <c r="N31" s="73">
        <f t="shared" si="7"/>
        <v>153.07413487531005</v>
      </c>
      <c r="O31" s="73">
        <f t="shared" si="8"/>
        <v>680.32948833471141</v>
      </c>
      <c r="P31" s="73">
        <f t="shared" si="9"/>
        <v>0.91233545044661479</v>
      </c>
    </row>
    <row r="32" spans="1:16" x14ac:dyDescent="0.25">
      <c r="H32" s="1">
        <v>18</v>
      </c>
      <c r="I32" s="73">
        <f t="shared" si="4"/>
        <v>5</v>
      </c>
      <c r="J32" s="73">
        <f t="shared" si="5"/>
        <v>148.99399158972378</v>
      </c>
      <c r="K32" s="73">
        <f t="shared" si="6"/>
        <v>148.99399158972378</v>
      </c>
      <c r="L32" s="73">
        <f>'Resistencia aerodinámica sin Rr'!B17</f>
        <v>9.4066391475000017</v>
      </c>
      <c r="M32" s="73">
        <f t="shared" si="0"/>
        <v>0</v>
      </c>
      <c r="N32" s="73">
        <f t="shared" si="7"/>
        <v>158.40063073722376</v>
      </c>
      <c r="O32" s="73">
        <f t="shared" si="8"/>
        <v>792.00315368611882</v>
      </c>
      <c r="P32" s="73">
        <f t="shared" si="9"/>
        <v>1.0620920691561591</v>
      </c>
    </row>
    <row r="33" spans="8:16" x14ac:dyDescent="0.25">
      <c r="H33" s="1">
        <v>20</v>
      </c>
      <c r="I33" s="73">
        <f t="shared" si="4"/>
        <v>5.5555555555555554</v>
      </c>
      <c r="J33" s="73">
        <f t="shared" si="5"/>
        <v>152.34625454413757</v>
      </c>
      <c r="K33" s="73">
        <f t="shared" si="6"/>
        <v>152.34625454413757</v>
      </c>
      <c r="L33" s="73">
        <f>'Resistencia aerodinámica sin Rr'!B18</f>
        <v>11.61313475</v>
      </c>
      <c r="M33" s="73">
        <f t="shared" si="0"/>
        <v>0</v>
      </c>
      <c r="N33" s="73">
        <f t="shared" si="7"/>
        <v>163.95938929413757</v>
      </c>
      <c r="O33" s="73">
        <f t="shared" si="8"/>
        <v>910.88549607854202</v>
      </c>
      <c r="P33" s="73">
        <f t="shared" si="9"/>
        <v>1.2215156679512464</v>
      </c>
    </row>
    <row r="34" spans="8:16" x14ac:dyDescent="0.25">
      <c r="H34" s="1">
        <v>22</v>
      </c>
      <c r="I34" s="73">
        <f t="shared" si="4"/>
        <v>6.1111111111111107</v>
      </c>
      <c r="J34" s="73">
        <f t="shared" si="5"/>
        <v>155.6985174985513</v>
      </c>
      <c r="K34" s="73">
        <f t="shared" si="6"/>
        <v>155.6985174985513</v>
      </c>
      <c r="L34" s="1">
        <f>'Resistencia aerodinámica sin Rr'!B19</f>
        <v>14.0518930475</v>
      </c>
      <c r="M34" s="73">
        <f t="shared" si="0"/>
        <v>0</v>
      </c>
      <c r="N34" s="1">
        <f t="shared" si="7"/>
        <v>169.75041054605128</v>
      </c>
      <c r="O34" s="1">
        <f t="shared" si="8"/>
        <v>1037.3636200036467</v>
      </c>
      <c r="P34" s="1">
        <f t="shared" si="9"/>
        <v>1.3911253616972903</v>
      </c>
    </row>
    <row r="35" spans="8:16" x14ac:dyDescent="0.25">
      <c r="H35" s="1">
        <v>24</v>
      </c>
      <c r="I35" s="73">
        <f t="shared" si="4"/>
        <v>6.6666666666666661</v>
      </c>
      <c r="J35" s="73">
        <f t="shared" si="5"/>
        <v>159.05078045296506</v>
      </c>
      <c r="K35" s="73">
        <f t="shared" si="6"/>
        <v>159.05078045296506</v>
      </c>
      <c r="L35" s="73">
        <f>'Resistencia aerodinámica sin Rr'!B20</f>
        <v>16.722914039999999</v>
      </c>
      <c r="M35" s="73">
        <f t="shared" si="0"/>
        <v>0</v>
      </c>
      <c r="N35" s="73">
        <f t="shared" si="7"/>
        <v>175.77369449296506</v>
      </c>
      <c r="O35" s="73">
        <f t="shared" si="8"/>
        <v>1171.8246299531004</v>
      </c>
      <c r="P35" s="73">
        <f t="shared" si="9"/>
        <v>1.5714402652597068</v>
      </c>
    </row>
    <row r="36" spans="8:16" x14ac:dyDescent="0.25">
      <c r="H36" s="1">
        <v>25</v>
      </c>
      <c r="I36" s="73">
        <f t="shared" si="4"/>
        <v>6.9444444444444446</v>
      </c>
      <c r="J36" s="73">
        <f t="shared" si="5"/>
        <v>160.72691193017192</v>
      </c>
      <c r="K36" s="73">
        <f t="shared" si="6"/>
        <v>160.72691193017192</v>
      </c>
      <c r="L36" s="73">
        <f>'Resistencia aerodinámica sin Rr'!B21</f>
        <v>18.145523046875002</v>
      </c>
      <c r="M36" s="73">
        <f t="shared" si="0"/>
        <v>0</v>
      </c>
      <c r="N36" s="73">
        <f t="shared" si="7"/>
        <v>178.87243497704694</v>
      </c>
      <c r="O36" s="73">
        <f t="shared" si="8"/>
        <v>1242.1696873406038</v>
      </c>
      <c r="P36" s="73">
        <f t="shared" si="9"/>
        <v>1.6657743941174965</v>
      </c>
    </row>
    <row r="37" spans="8:16" x14ac:dyDescent="0.25">
      <c r="H37" s="1">
        <v>26</v>
      </c>
      <c r="I37" s="73">
        <f t="shared" si="4"/>
        <v>7.2222222222222223</v>
      </c>
      <c r="J37" s="73">
        <f t="shared" si="5"/>
        <v>162.40304340737882</v>
      </c>
      <c r="K37" s="73">
        <f t="shared" si="6"/>
        <v>162.40304340737882</v>
      </c>
      <c r="L37" s="73">
        <f>'Resistencia aerodinámica sin Rr'!B22</f>
        <v>19.626197727500003</v>
      </c>
      <c r="M37" s="73">
        <f t="shared" si="0"/>
        <v>0</v>
      </c>
      <c r="N37" s="73">
        <f t="shared" si="7"/>
        <v>182.02924113487882</v>
      </c>
      <c r="O37" s="73">
        <f t="shared" si="8"/>
        <v>1314.6556304185692</v>
      </c>
      <c r="P37" s="73">
        <f t="shared" si="9"/>
        <v>1.7629794935039098</v>
      </c>
    </row>
    <row r="38" spans="8:16" x14ac:dyDescent="0.25">
      <c r="H38" s="1">
        <v>28</v>
      </c>
      <c r="I38" s="73">
        <f t="shared" si="4"/>
        <v>7.7777777777777777</v>
      </c>
      <c r="J38" s="73">
        <f t="shared" si="5"/>
        <v>165.75530636179258</v>
      </c>
      <c r="K38" s="73">
        <f t="shared" si="6"/>
        <v>165.75530636179258</v>
      </c>
      <c r="L38" s="1">
        <f>'Resistencia aerodinámica sin Rr'!B23</f>
        <v>22.761744110000002</v>
      </c>
      <c r="M38" s="73">
        <f t="shared" si="0"/>
        <v>0</v>
      </c>
      <c r="N38" s="1">
        <f t="shared" ref="N38:N101" si="10">K38+L38+M38</f>
        <v>188.51705047179257</v>
      </c>
      <c r="O38" s="1">
        <f t="shared" ref="O38:O101" si="11">I38*N38</f>
        <v>1466.24372589172</v>
      </c>
      <c r="P38" s="1">
        <f t="shared" ref="P38:P101" si="12">O38*0.00134102</f>
        <v>1.9662621612953144</v>
      </c>
    </row>
    <row r="39" spans="8:16" x14ac:dyDescent="0.25">
      <c r="H39" s="1">
        <v>30</v>
      </c>
      <c r="I39" s="73">
        <f t="shared" si="4"/>
        <v>8.3333333333333339</v>
      </c>
      <c r="J39" s="73">
        <f t="shared" si="5"/>
        <v>169.10756931620634</v>
      </c>
      <c r="K39" s="73">
        <f t="shared" si="6"/>
        <v>169.10756931620634</v>
      </c>
      <c r="L39" s="73">
        <f>'Resistencia aerodinámica sin Rr'!B24</f>
        <v>26.129553187500008</v>
      </c>
      <c r="M39" s="73">
        <f t="shared" si="0"/>
        <v>0</v>
      </c>
      <c r="N39" s="73">
        <f t="shared" si="10"/>
        <v>195.23712250370636</v>
      </c>
      <c r="O39" s="73">
        <f t="shared" si="11"/>
        <v>1626.9760208642199</v>
      </c>
      <c r="P39" s="73">
        <f t="shared" si="12"/>
        <v>2.1818073834993363</v>
      </c>
    </row>
    <row r="40" spans="8:16" x14ac:dyDescent="0.25">
      <c r="H40" s="1">
        <v>32</v>
      </c>
      <c r="I40" s="73">
        <f t="shared" si="4"/>
        <v>8.8888888888888893</v>
      </c>
      <c r="J40" s="73">
        <f t="shared" si="5"/>
        <v>172.45983227062007</v>
      </c>
      <c r="K40" s="73">
        <f t="shared" si="6"/>
        <v>172.45983227062007</v>
      </c>
      <c r="L40" s="73">
        <f>'Resistencia aerodinámica sin Rr'!B25</f>
        <v>29.729624960000006</v>
      </c>
      <c r="M40" s="73">
        <f t="shared" si="0"/>
        <v>0</v>
      </c>
      <c r="N40" s="73">
        <f t="shared" si="10"/>
        <v>202.18945723062006</v>
      </c>
      <c r="O40" s="73">
        <f t="shared" si="11"/>
        <v>1797.239619827734</v>
      </c>
      <c r="P40" s="73">
        <f t="shared" si="12"/>
        <v>2.4101342749813881</v>
      </c>
    </row>
    <row r="41" spans="8:16" x14ac:dyDescent="0.25">
      <c r="H41" s="1">
        <v>34</v>
      </c>
      <c r="I41" s="73">
        <f t="shared" si="4"/>
        <v>9.4444444444444446</v>
      </c>
      <c r="J41" s="73">
        <f t="shared" si="5"/>
        <v>175.81209522503386</v>
      </c>
      <c r="K41" s="73">
        <f t="shared" si="6"/>
        <v>175.81209522503386</v>
      </c>
      <c r="L41" s="73">
        <f>'Resistencia aerodinámica sin Rr'!B26</f>
        <v>33.561959427500007</v>
      </c>
      <c r="M41" s="73">
        <f t="shared" si="0"/>
        <v>0</v>
      </c>
      <c r="N41" s="73">
        <f t="shared" si="10"/>
        <v>209.37405465253386</v>
      </c>
      <c r="O41" s="73">
        <f t="shared" si="11"/>
        <v>1977.4216272739309</v>
      </c>
      <c r="P41" s="73">
        <f t="shared" si="12"/>
        <v>2.651761950606887</v>
      </c>
    </row>
    <row r="42" spans="8:16" x14ac:dyDescent="0.25">
      <c r="H42" s="1">
        <v>35</v>
      </c>
      <c r="I42" s="73">
        <f t="shared" si="4"/>
        <v>9.7222222222222214</v>
      </c>
      <c r="J42" s="73">
        <f t="shared" si="5"/>
        <v>177.48822670224069</v>
      </c>
      <c r="K42" s="73">
        <f t="shared" si="6"/>
        <v>177.48822670224069</v>
      </c>
      <c r="L42" s="73">
        <f>'Resistencia aerodinámica sin Rr'!B27</f>
        <v>35.565225171874999</v>
      </c>
      <c r="M42" s="73">
        <f t="shared" si="0"/>
        <v>0</v>
      </c>
      <c r="N42" s="73">
        <f t="shared" si="10"/>
        <v>213.05345187411569</v>
      </c>
      <c r="O42" s="73">
        <f t="shared" si="11"/>
        <v>2071.35300433168</v>
      </c>
      <c r="P42" s="73">
        <f t="shared" si="12"/>
        <v>2.7777258058688696</v>
      </c>
    </row>
    <row r="43" spans="8:16" x14ac:dyDescent="0.25">
      <c r="H43" s="1">
        <v>36</v>
      </c>
      <c r="I43" s="73">
        <f t="shared" si="4"/>
        <v>10</v>
      </c>
      <c r="J43" s="73">
        <f t="shared" si="5"/>
        <v>179.16435817944759</v>
      </c>
      <c r="K43" s="73">
        <f t="shared" si="6"/>
        <v>179.16435817944759</v>
      </c>
      <c r="L43" s="73">
        <f>'Resistencia aerodinámica sin Rr'!B28</f>
        <v>37.626556590000007</v>
      </c>
      <c r="M43" s="73">
        <f t="shared" si="0"/>
        <v>0</v>
      </c>
      <c r="N43" s="73">
        <f t="shared" si="10"/>
        <v>216.7909147694476</v>
      </c>
      <c r="O43" s="73">
        <f t="shared" si="11"/>
        <v>2167.9091476944759</v>
      </c>
      <c r="P43" s="73">
        <f t="shared" si="12"/>
        <v>2.9072095252412464</v>
      </c>
    </row>
    <row r="44" spans="8:16" x14ac:dyDescent="0.25">
      <c r="H44" s="1">
        <v>38</v>
      </c>
      <c r="I44" s="73">
        <f t="shared" si="4"/>
        <v>10.555555555555555</v>
      </c>
      <c r="J44" s="73">
        <f t="shared" si="5"/>
        <v>182.51662113386135</v>
      </c>
      <c r="K44" s="73">
        <f t="shared" si="6"/>
        <v>182.51662113386135</v>
      </c>
      <c r="L44" s="1">
        <f>'Resistencia aerodinámica sin Rr'!B29</f>
        <v>41.923416447500003</v>
      </c>
      <c r="M44" s="73">
        <f t="shared" si="0"/>
        <v>0</v>
      </c>
      <c r="N44" s="1">
        <f t="shared" si="10"/>
        <v>224.44003758136137</v>
      </c>
      <c r="O44" s="1">
        <f t="shared" si="11"/>
        <v>2369.0892855810366</v>
      </c>
      <c r="P44" s="1">
        <f t="shared" si="12"/>
        <v>3.1769961137498819</v>
      </c>
    </row>
    <row r="45" spans="8:16" x14ac:dyDescent="0.25">
      <c r="H45" s="1">
        <v>40</v>
      </c>
      <c r="I45" s="73">
        <f t="shared" si="4"/>
        <v>11.111111111111111</v>
      </c>
      <c r="J45" s="73">
        <f t="shared" si="5"/>
        <v>185.86888408827511</v>
      </c>
      <c r="K45" s="73">
        <f t="shared" si="6"/>
        <v>185.86888408827511</v>
      </c>
      <c r="L45" s="73">
        <f>'Resistencia aerodinámica sin Rr'!B30</f>
        <v>46.452539000000002</v>
      </c>
      <c r="M45" s="73">
        <f t="shared" si="0"/>
        <v>0</v>
      </c>
      <c r="N45" s="73">
        <f t="shared" si="10"/>
        <v>232.32142308827511</v>
      </c>
      <c r="O45" s="73">
        <f t="shared" si="11"/>
        <v>2581.3491454252789</v>
      </c>
      <c r="P45" s="73">
        <f t="shared" si="12"/>
        <v>3.4616408309982076</v>
      </c>
    </row>
    <row r="46" spans="8:16" x14ac:dyDescent="0.25">
      <c r="H46" s="1">
        <v>42</v>
      </c>
      <c r="I46" s="73">
        <f t="shared" si="4"/>
        <v>11.666666666666666</v>
      </c>
      <c r="J46" s="73">
        <f t="shared" si="5"/>
        <v>189.22114704268884</v>
      </c>
      <c r="K46" s="73">
        <f t="shared" si="6"/>
        <v>189.22114704268884</v>
      </c>
      <c r="L46" s="73">
        <f>'Resistencia aerodinámica sin Rr'!B31</f>
        <v>51.213924247499996</v>
      </c>
      <c r="M46" s="73">
        <f t="shared" si="0"/>
        <v>0</v>
      </c>
      <c r="N46" s="73">
        <f t="shared" si="10"/>
        <v>240.43507129018883</v>
      </c>
      <c r="O46" s="73">
        <f t="shared" si="11"/>
        <v>2805.0758317188697</v>
      </c>
      <c r="P46" s="73">
        <f t="shared" si="12"/>
        <v>3.7616627918516388</v>
      </c>
    </row>
    <row r="47" spans="8:16" x14ac:dyDescent="0.25">
      <c r="H47" s="1">
        <v>44</v>
      </c>
      <c r="I47" s="73">
        <f t="shared" si="4"/>
        <v>12.222222222222221</v>
      </c>
      <c r="J47" s="73">
        <f t="shared" si="5"/>
        <v>192.57340999710263</v>
      </c>
      <c r="K47" s="73">
        <f t="shared" si="6"/>
        <v>192.57340999710263</v>
      </c>
      <c r="L47" s="73">
        <f>'Resistencia aerodinámica sin Rr'!B32</f>
        <v>56.20757219</v>
      </c>
      <c r="M47" s="73">
        <f t="shared" si="0"/>
        <v>0</v>
      </c>
      <c r="N47" s="73">
        <f t="shared" si="10"/>
        <v>248.78098218710264</v>
      </c>
      <c r="O47" s="73">
        <f t="shared" si="11"/>
        <v>3040.6564489534767</v>
      </c>
      <c r="P47" s="73">
        <f t="shared" si="12"/>
        <v>4.0775811111755917</v>
      </c>
    </row>
    <row r="48" spans="8:16" x14ac:dyDescent="0.25">
      <c r="H48" s="1">
        <v>45</v>
      </c>
      <c r="I48" s="73">
        <f t="shared" si="4"/>
        <v>12.5</v>
      </c>
      <c r="J48" s="73">
        <f t="shared" si="5"/>
        <v>194.24954147430947</v>
      </c>
      <c r="K48" s="73">
        <f t="shared" si="6"/>
        <v>194.24954147430947</v>
      </c>
      <c r="L48" s="1">
        <f>'Resistencia aerodinámica sin Rr'!B33</f>
        <v>58.791494671875007</v>
      </c>
      <c r="M48" s="73">
        <f t="shared" si="0"/>
        <v>0</v>
      </c>
      <c r="N48" s="1">
        <f t="shared" si="10"/>
        <v>253.04103614618447</v>
      </c>
      <c r="O48" s="1">
        <f t="shared" si="11"/>
        <v>3163.0129518273056</v>
      </c>
      <c r="P48" s="1">
        <f t="shared" si="12"/>
        <v>4.2416636286594533</v>
      </c>
    </row>
    <row r="49" spans="8:16" x14ac:dyDescent="0.25">
      <c r="H49" s="1">
        <v>46</v>
      </c>
      <c r="I49" s="73">
        <f t="shared" si="4"/>
        <v>12.777777777777777</v>
      </c>
      <c r="J49" s="73">
        <f t="shared" si="5"/>
        <v>195.92567295151636</v>
      </c>
      <c r="K49" s="73">
        <f t="shared" si="6"/>
        <v>195.92567295151636</v>
      </c>
      <c r="L49" s="73">
        <f>'Resistencia aerodinámica sin Rr'!B34</f>
        <v>61.433482827500001</v>
      </c>
      <c r="M49" s="73">
        <f t="shared" si="0"/>
        <v>0</v>
      </c>
      <c r="N49" s="73">
        <f t="shared" si="10"/>
        <v>257.35915577901636</v>
      </c>
      <c r="O49" s="73">
        <f t="shared" si="11"/>
        <v>3288.4781016207644</v>
      </c>
      <c r="P49" s="73">
        <f t="shared" si="12"/>
        <v>4.4099149038354772</v>
      </c>
    </row>
    <row r="50" spans="8:16" x14ac:dyDescent="0.25">
      <c r="H50" s="1">
        <v>48</v>
      </c>
      <c r="I50" s="73">
        <f t="shared" si="4"/>
        <v>13.333333333333332</v>
      </c>
      <c r="J50" s="73">
        <f t="shared" si="5"/>
        <v>199.27793590593015</v>
      </c>
      <c r="K50" s="73">
        <f t="shared" si="6"/>
        <v>199.27793590593015</v>
      </c>
      <c r="L50" s="73">
        <f>'Resistencia aerodinámica sin Rr'!B35</f>
        <v>66.891656159999997</v>
      </c>
      <c r="M50" s="73">
        <f t="shared" si="0"/>
        <v>0</v>
      </c>
      <c r="N50" s="73">
        <f t="shared" si="10"/>
        <v>266.16959206593015</v>
      </c>
      <c r="O50" s="73">
        <f t="shared" si="11"/>
        <v>3548.9278942124015</v>
      </c>
      <c r="P50" s="73">
        <f t="shared" si="12"/>
        <v>4.7591832846967153</v>
      </c>
    </row>
    <row r="51" spans="8:16" x14ac:dyDescent="0.25">
      <c r="H51" s="1">
        <v>50</v>
      </c>
      <c r="I51" s="73">
        <f t="shared" si="4"/>
        <v>13.888888888888889</v>
      </c>
      <c r="J51" s="73">
        <f t="shared" si="5"/>
        <v>202.63019886034388</v>
      </c>
      <c r="K51" s="73">
        <f t="shared" si="6"/>
        <v>202.63019886034388</v>
      </c>
      <c r="L51" s="73">
        <f>'Resistencia aerodinámica sin Rr'!B36</f>
        <v>72.58209218750001</v>
      </c>
      <c r="M51" s="73">
        <f t="shared" si="0"/>
        <v>0</v>
      </c>
      <c r="N51" s="73">
        <f t="shared" si="10"/>
        <v>275.21229104784391</v>
      </c>
      <c r="O51" s="73">
        <f t="shared" si="11"/>
        <v>3822.3929312200544</v>
      </c>
      <c r="P51" s="73">
        <f t="shared" si="12"/>
        <v>5.1259053686247178</v>
      </c>
    </row>
    <row r="52" spans="8:16" x14ac:dyDescent="0.25">
      <c r="H52" s="1">
        <v>52</v>
      </c>
      <c r="I52" s="73">
        <f t="shared" si="4"/>
        <v>14.444444444444445</v>
      </c>
      <c r="J52" s="73">
        <f t="shared" si="5"/>
        <v>205.98246181475761</v>
      </c>
      <c r="K52" s="73">
        <f t="shared" si="6"/>
        <v>205.98246181475761</v>
      </c>
      <c r="L52" s="73">
        <f>'Resistencia aerodinámica sin Rr'!B37</f>
        <v>78.504790910000011</v>
      </c>
      <c r="M52" s="73">
        <f t="shared" si="0"/>
        <v>0</v>
      </c>
      <c r="N52" s="73">
        <f t="shared" si="10"/>
        <v>284.48725272475764</v>
      </c>
      <c r="O52" s="73">
        <f t="shared" si="11"/>
        <v>4109.2603171353885</v>
      </c>
      <c r="P52" s="73">
        <f t="shared" si="12"/>
        <v>5.5106002704848986</v>
      </c>
    </row>
    <row r="53" spans="8:16" x14ac:dyDescent="0.25">
      <c r="H53" s="1">
        <v>54</v>
      </c>
      <c r="I53" s="73">
        <f t="shared" si="4"/>
        <v>15</v>
      </c>
      <c r="J53" s="73">
        <f t="shared" si="5"/>
        <v>209.3347247691714</v>
      </c>
      <c r="K53" s="73">
        <f t="shared" si="6"/>
        <v>209.3347247691714</v>
      </c>
      <c r="L53" s="73">
        <f>'Resistencia aerodinámica sin Rr'!B38</f>
        <v>84.659752327500016</v>
      </c>
      <c r="M53" s="73">
        <f t="shared" si="0"/>
        <v>0</v>
      </c>
      <c r="N53" s="73">
        <f t="shared" si="10"/>
        <v>293.9944770966714</v>
      </c>
      <c r="O53" s="73">
        <f t="shared" si="11"/>
        <v>4409.9171564500712</v>
      </c>
      <c r="P53" s="73">
        <f t="shared" si="12"/>
        <v>5.9137871051426742</v>
      </c>
    </row>
    <row r="54" spans="8:16" x14ac:dyDescent="0.25">
      <c r="H54" s="1">
        <v>55</v>
      </c>
      <c r="I54" s="73">
        <f t="shared" si="4"/>
        <v>15.277777777777777</v>
      </c>
      <c r="J54" s="73">
        <f t="shared" si="5"/>
        <v>211.01085624637824</v>
      </c>
      <c r="K54" s="73">
        <f t="shared" si="6"/>
        <v>211.01085624637824</v>
      </c>
      <c r="L54" s="1">
        <f>'Resistencia aerodinámica sin Rr'!B39</f>
        <v>87.824331546874987</v>
      </c>
      <c r="M54" s="73">
        <f t="shared" si="0"/>
        <v>0</v>
      </c>
      <c r="N54" s="1">
        <f t="shared" si="10"/>
        <v>298.83518779325323</v>
      </c>
      <c r="O54" s="1">
        <f t="shared" si="11"/>
        <v>4565.5375912858126</v>
      </c>
      <c r="P54" s="1">
        <f t="shared" si="12"/>
        <v>6.1224772206661005</v>
      </c>
    </row>
    <row r="55" spans="8:16" x14ac:dyDescent="0.25">
      <c r="H55" s="1">
        <v>56</v>
      </c>
      <c r="I55" s="73">
        <f t="shared" si="4"/>
        <v>15.555555555555555</v>
      </c>
      <c r="J55" s="73">
        <f t="shared" si="5"/>
        <v>212.68698772358519</v>
      </c>
      <c r="K55" s="73">
        <f t="shared" si="6"/>
        <v>212.68698772358519</v>
      </c>
      <c r="L55" s="73">
        <f>'Resistencia aerodinámica sin Rr'!B40</f>
        <v>91.046976440000009</v>
      </c>
      <c r="M55" s="73">
        <f t="shared" si="0"/>
        <v>0</v>
      </c>
      <c r="N55" s="73">
        <f t="shared" si="10"/>
        <v>303.7339641635852</v>
      </c>
      <c r="O55" s="73">
        <f t="shared" si="11"/>
        <v>4724.7505536557701</v>
      </c>
      <c r="P55" s="73">
        <f t="shared" si="12"/>
        <v>6.3359849874634611</v>
      </c>
    </row>
    <row r="56" spans="8:16" x14ac:dyDescent="0.25">
      <c r="H56" s="1">
        <v>58</v>
      </c>
      <c r="I56" s="73">
        <f t="shared" si="4"/>
        <v>16.111111111111111</v>
      </c>
      <c r="J56" s="73">
        <f t="shared" si="5"/>
        <v>216.03925067799887</v>
      </c>
      <c r="K56" s="73">
        <f t="shared" si="6"/>
        <v>216.03925067799887</v>
      </c>
      <c r="L56" s="73">
        <f>'Resistencia aerodinámica sin Rr'!B41</f>
        <v>97.666463247500005</v>
      </c>
      <c r="M56" s="73">
        <f t="shared" si="0"/>
        <v>0</v>
      </c>
      <c r="N56" s="73">
        <f t="shared" si="10"/>
        <v>313.70571392549886</v>
      </c>
      <c r="O56" s="73">
        <f t="shared" si="11"/>
        <v>5054.1476132441485</v>
      </c>
      <c r="P56" s="73">
        <f t="shared" si="12"/>
        <v>6.7777130323126684</v>
      </c>
    </row>
    <row r="57" spans="8:16" x14ac:dyDescent="0.25">
      <c r="H57" s="1">
        <v>60</v>
      </c>
      <c r="I57" s="73">
        <f t="shared" si="4"/>
        <v>16.666666666666668</v>
      </c>
      <c r="J57" s="73">
        <f t="shared" si="5"/>
        <v>219.39151363241265</v>
      </c>
      <c r="K57" s="73">
        <f t="shared" si="6"/>
        <v>219.39151363241265</v>
      </c>
      <c r="L57" s="73">
        <f>'Resistencia aerodinámica sin Rr'!B42</f>
        <v>104.51821275000003</v>
      </c>
      <c r="M57" s="73">
        <f t="shared" si="0"/>
        <v>0</v>
      </c>
      <c r="N57" s="73">
        <f t="shared" si="10"/>
        <v>323.90972638241271</v>
      </c>
      <c r="O57" s="73">
        <f t="shared" si="11"/>
        <v>5398.4954397068786</v>
      </c>
      <c r="P57" s="73">
        <f t="shared" si="12"/>
        <v>7.239490354555719</v>
      </c>
    </row>
    <row r="58" spans="8:16" x14ac:dyDescent="0.25">
      <c r="H58" s="1">
        <v>62</v>
      </c>
      <c r="I58" s="73">
        <f t="shared" si="4"/>
        <v>17.222222222222221</v>
      </c>
      <c r="J58" s="73">
        <f t="shared" si="5"/>
        <v>222.74377658682639</v>
      </c>
      <c r="K58" s="73">
        <f t="shared" si="6"/>
        <v>222.74377658682639</v>
      </c>
      <c r="L58" s="1">
        <f>'Resistencia aerodinámica sin Rr'!B43</f>
        <v>111.60222494750001</v>
      </c>
      <c r="M58" s="73">
        <f t="shared" si="0"/>
        <v>0</v>
      </c>
      <c r="N58" s="1">
        <f t="shared" si="10"/>
        <v>334.34600153432638</v>
      </c>
      <c r="O58" s="1">
        <f t="shared" si="11"/>
        <v>5758.181137535621</v>
      </c>
      <c r="P58" s="1">
        <f t="shared" si="12"/>
        <v>7.7218360690580186</v>
      </c>
    </row>
    <row r="59" spans="8:16" x14ac:dyDescent="0.25">
      <c r="H59" s="1">
        <v>64</v>
      </c>
      <c r="I59" s="73">
        <f t="shared" si="4"/>
        <v>17.777777777777779</v>
      </c>
      <c r="J59" s="73">
        <f t="shared" si="5"/>
        <v>226.09603954124017</v>
      </c>
      <c r="K59" s="73">
        <f t="shared" si="6"/>
        <v>226.09603954124017</v>
      </c>
      <c r="L59" s="73">
        <f>'Resistencia aerodinámica sin Rr'!B44</f>
        <v>118.91849984000002</v>
      </c>
      <c r="M59" s="73">
        <f t="shared" si="0"/>
        <v>0</v>
      </c>
      <c r="N59" s="73">
        <f t="shared" si="10"/>
        <v>345.01453938124018</v>
      </c>
      <c r="O59" s="73">
        <f t="shared" si="11"/>
        <v>6133.5918112220479</v>
      </c>
      <c r="P59" s="73">
        <f t="shared" si="12"/>
        <v>8.2252692906849916</v>
      </c>
    </row>
    <row r="60" spans="8:16" x14ac:dyDescent="0.25">
      <c r="H60" s="1">
        <v>65</v>
      </c>
      <c r="I60" s="73">
        <f t="shared" si="4"/>
        <v>18.055555555555554</v>
      </c>
      <c r="J60" s="73">
        <f t="shared" si="5"/>
        <v>227.77217101844707</v>
      </c>
      <c r="K60" s="73">
        <f t="shared" si="6"/>
        <v>227.77217101844707</v>
      </c>
      <c r="L60" s="73">
        <f>'Resistencia aerodinámica sin Rr'!B45</f>
        <v>122.66373579687499</v>
      </c>
      <c r="M60" s="73">
        <f t="shared" si="0"/>
        <v>0</v>
      </c>
      <c r="N60" s="73">
        <f t="shared" si="10"/>
        <v>350.43590681532203</v>
      </c>
      <c r="O60" s="73">
        <f t="shared" si="11"/>
        <v>6327.3149841655359</v>
      </c>
      <c r="P60" s="73">
        <f t="shared" si="12"/>
        <v>8.4850559400656671</v>
      </c>
    </row>
    <row r="61" spans="8:16" x14ac:dyDescent="0.25">
      <c r="H61" s="1">
        <v>66</v>
      </c>
      <c r="I61" s="73">
        <f t="shared" si="4"/>
        <v>18.333333333333332</v>
      </c>
      <c r="J61" s="73">
        <f t="shared" si="5"/>
        <v>229.44830249565391</v>
      </c>
      <c r="K61" s="73">
        <f t="shared" si="6"/>
        <v>229.44830249565391</v>
      </c>
      <c r="L61" s="73">
        <f>'Resistencia aerodinámica sin Rr'!B46</f>
        <v>126.4670374275</v>
      </c>
      <c r="M61" s="73">
        <f t="shared" si="0"/>
        <v>0</v>
      </c>
      <c r="N61" s="73">
        <f t="shared" si="10"/>
        <v>355.91533992315391</v>
      </c>
      <c r="O61" s="73">
        <f t="shared" si="11"/>
        <v>6525.1145652578216</v>
      </c>
      <c r="P61" s="73">
        <f t="shared" si="12"/>
        <v>8.7503091343020447</v>
      </c>
    </row>
    <row r="62" spans="8:16" x14ac:dyDescent="0.25">
      <c r="H62" s="1">
        <v>68</v>
      </c>
      <c r="I62" s="73">
        <f t="shared" si="4"/>
        <v>18.888888888888889</v>
      </c>
      <c r="J62" s="73">
        <f t="shared" si="5"/>
        <v>232.80056545006769</v>
      </c>
      <c r="K62" s="73">
        <f t="shared" si="6"/>
        <v>232.80056545006769</v>
      </c>
      <c r="L62" s="73">
        <f>'Resistencia aerodinámica sin Rr'!B47</f>
        <v>134.24783771000003</v>
      </c>
      <c r="M62" s="73">
        <f t="shared" si="0"/>
        <v>0</v>
      </c>
      <c r="N62" s="73">
        <f t="shared" si="10"/>
        <v>367.04840316006772</v>
      </c>
      <c r="O62" s="73">
        <f t="shared" si="11"/>
        <v>6933.1365041346126</v>
      </c>
      <c r="P62" s="73">
        <f t="shared" si="12"/>
        <v>9.297474714774598</v>
      </c>
    </row>
    <row r="63" spans="8:16" x14ac:dyDescent="0.25">
      <c r="H63" s="1">
        <v>70</v>
      </c>
      <c r="I63" s="73">
        <f t="shared" si="4"/>
        <v>19.444444444444443</v>
      </c>
      <c r="J63" s="73">
        <f t="shared" si="5"/>
        <v>236.15282840448143</v>
      </c>
      <c r="K63" s="73">
        <f t="shared" si="6"/>
        <v>236.15282840448143</v>
      </c>
      <c r="L63" s="73">
        <f>'Resistencia aerodinámica sin Rr'!B48</f>
        <v>142.2609006875</v>
      </c>
      <c r="M63" s="73">
        <f t="shared" si="0"/>
        <v>0</v>
      </c>
      <c r="N63" s="73">
        <f t="shared" si="10"/>
        <v>378.41372909198139</v>
      </c>
      <c r="O63" s="73">
        <f t="shared" si="11"/>
        <v>7358.0447323440821</v>
      </c>
      <c r="P63" s="73">
        <f t="shared" si="12"/>
        <v>9.8672851469680616</v>
      </c>
    </row>
    <row r="64" spans="8:16" x14ac:dyDescent="0.25">
      <c r="H64" s="1">
        <v>72</v>
      </c>
      <c r="I64" s="73">
        <f t="shared" si="4"/>
        <v>20</v>
      </c>
      <c r="J64" s="73">
        <f t="shared" si="5"/>
        <v>239.50509135889516</v>
      </c>
      <c r="K64" s="73">
        <f t="shared" si="6"/>
        <v>239.50509135889516</v>
      </c>
      <c r="L64" s="1">
        <f>'Resistencia aerodinámica sin Rr'!B49</f>
        <v>150.50622636000003</v>
      </c>
      <c r="M64" s="73">
        <f t="shared" si="0"/>
        <v>0</v>
      </c>
      <c r="N64" s="1">
        <f t="shared" si="10"/>
        <v>390.01131771889516</v>
      </c>
      <c r="O64" s="1">
        <f t="shared" si="11"/>
        <v>7800.2263543779027</v>
      </c>
      <c r="P64" s="1">
        <f t="shared" si="12"/>
        <v>10.460259545747855</v>
      </c>
    </row>
    <row r="65" spans="8:16" x14ac:dyDescent="0.25">
      <c r="H65" s="1">
        <v>74</v>
      </c>
      <c r="I65" s="73">
        <f t="shared" si="4"/>
        <v>20.555555555555554</v>
      </c>
      <c r="J65" s="73">
        <f t="shared" si="5"/>
        <v>242.85735431330895</v>
      </c>
      <c r="K65" s="73">
        <f t="shared" si="6"/>
        <v>242.85735431330895</v>
      </c>
      <c r="L65" s="73">
        <f>'Resistencia aerodinámica sin Rr'!B50</f>
        <v>158.98381472749998</v>
      </c>
      <c r="M65" s="73">
        <f t="shared" si="0"/>
        <v>0</v>
      </c>
      <c r="N65" s="73">
        <f t="shared" si="10"/>
        <v>401.84116904080895</v>
      </c>
      <c r="O65" s="73">
        <f t="shared" si="11"/>
        <v>8260.0684747277392</v>
      </c>
      <c r="P65" s="73">
        <f t="shared" si="12"/>
        <v>11.076917025979393</v>
      </c>
    </row>
    <row r="66" spans="8:16" x14ac:dyDescent="0.25">
      <c r="H66" s="1">
        <v>75</v>
      </c>
      <c r="I66" s="73">
        <f t="shared" si="4"/>
        <v>20.833333333333332</v>
      </c>
      <c r="J66" s="73">
        <f t="shared" si="5"/>
        <v>244.53348579051578</v>
      </c>
      <c r="K66" s="73">
        <f t="shared" si="6"/>
        <v>244.53348579051578</v>
      </c>
      <c r="L66" s="73">
        <f>'Resistencia aerodinámica sin Rr'!B51</f>
        <v>163.309707421875</v>
      </c>
      <c r="M66" s="73">
        <f t="shared" si="0"/>
        <v>0</v>
      </c>
      <c r="N66" s="73">
        <f t="shared" si="10"/>
        <v>407.84319321239082</v>
      </c>
      <c r="O66" s="73">
        <f t="shared" si="11"/>
        <v>8496.7331919248081</v>
      </c>
      <c r="P66" s="73">
        <f t="shared" si="12"/>
        <v>11.394289145035007</v>
      </c>
    </row>
    <row r="67" spans="8:16" x14ac:dyDescent="0.25">
      <c r="H67" s="1">
        <v>76</v>
      </c>
      <c r="I67" s="73">
        <f t="shared" si="4"/>
        <v>21.111111111111111</v>
      </c>
      <c r="J67" s="73">
        <f t="shared" si="5"/>
        <v>246.20961726772273</v>
      </c>
      <c r="K67" s="73">
        <f t="shared" si="6"/>
        <v>246.20961726772273</v>
      </c>
      <c r="L67" s="73">
        <f>'Resistencia aerodinámica sin Rr'!B52</f>
        <v>167.69366579000001</v>
      </c>
      <c r="M67" s="73">
        <f t="shared" si="0"/>
        <v>0</v>
      </c>
      <c r="N67" s="73">
        <f t="shared" si="10"/>
        <v>413.90328305772277</v>
      </c>
      <c r="O67" s="73">
        <f t="shared" si="11"/>
        <v>8737.9581978852584</v>
      </c>
      <c r="P67" s="73">
        <f t="shared" si="12"/>
        <v>11.71777670252809</v>
      </c>
    </row>
    <row r="68" spans="8:16" x14ac:dyDescent="0.25">
      <c r="H68" s="1">
        <v>78</v>
      </c>
      <c r="I68" s="73">
        <f t="shared" si="4"/>
        <v>21.666666666666668</v>
      </c>
      <c r="J68" s="73">
        <f t="shared" si="5"/>
        <v>249.56188022213641</v>
      </c>
      <c r="K68" s="73">
        <f t="shared" si="6"/>
        <v>249.56188022213641</v>
      </c>
      <c r="L68" s="1">
        <f>'Resistencia aerodinámica sin Rr'!B53</f>
        <v>176.63577954750005</v>
      </c>
      <c r="M68" s="73">
        <f t="shared" si="0"/>
        <v>0</v>
      </c>
      <c r="N68" s="1">
        <f t="shared" si="10"/>
        <v>426.19765976963646</v>
      </c>
      <c r="O68" s="1">
        <f t="shared" si="11"/>
        <v>9234.2826283421236</v>
      </c>
      <c r="P68" s="1">
        <f t="shared" si="12"/>
        <v>12.383357690259356</v>
      </c>
    </row>
    <row r="69" spans="8:16" x14ac:dyDescent="0.25">
      <c r="H69" s="1">
        <v>80</v>
      </c>
      <c r="I69" s="73">
        <f t="shared" si="4"/>
        <v>22.222222222222221</v>
      </c>
      <c r="J69" s="73">
        <f t="shared" si="5"/>
        <v>252.9141431765502</v>
      </c>
      <c r="K69" s="73">
        <f t="shared" si="6"/>
        <v>252.9141431765502</v>
      </c>
      <c r="L69" s="73">
        <f>'Resistencia aerodinámica sin Rr'!B54</f>
        <v>185.81015600000001</v>
      </c>
      <c r="M69" s="73">
        <f t="shared" si="0"/>
        <v>0</v>
      </c>
      <c r="N69" s="73">
        <f t="shared" si="10"/>
        <v>438.72429917655018</v>
      </c>
      <c r="O69" s="73">
        <f t="shared" si="11"/>
        <v>9749.4288705900035</v>
      </c>
      <c r="P69" s="73">
        <f t="shared" si="12"/>
        <v>13.074179104038608</v>
      </c>
    </row>
    <row r="70" spans="8:16" x14ac:dyDescent="0.25">
      <c r="H70" s="1">
        <v>82</v>
      </c>
      <c r="I70" s="73">
        <f t="shared" si="4"/>
        <v>22.777777777777779</v>
      </c>
      <c r="J70" s="73">
        <f t="shared" si="5"/>
        <v>256.26640613096396</v>
      </c>
      <c r="K70" s="73">
        <f t="shared" si="6"/>
        <v>256.26640613096396</v>
      </c>
      <c r="L70" s="73">
        <f>'Resistencia aerodinámica sin Rr'!B55</f>
        <v>195.21679514750005</v>
      </c>
      <c r="M70" s="73">
        <f t="shared" si="0"/>
        <v>0</v>
      </c>
      <c r="N70" s="73">
        <f t="shared" si="10"/>
        <v>451.48320127846398</v>
      </c>
      <c r="O70" s="73">
        <f t="shared" si="11"/>
        <v>10283.784029120568</v>
      </c>
      <c r="P70" s="73">
        <f t="shared" si="12"/>
        <v>13.790760058731266</v>
      </c>
    </row>
    <row r="71" spans="8:16" x14ac:dyDescent="0.25">
      <c r="H71" s="1">
        <v>84</v>
      </c>
      <c r="I71" s="73">
        <f t="shared" si="4"/>
        <v>23.333333333333332</v>
      </c>
      <c r="J71" s="73">
        <f t="shared" si="5"/>
        <v>259.61866908537775</v>
      </c>
      <c r="K71" s="73">
        <f t="shared" si="6"/>
        <v>259.61866908537775</v>
      </c>
      <c r="L71" s="73">
        <f>'Resistencia aerodinámica sin Rr'!B56</f>
        <v>204.85569698999998</v>
      </c>
      <c r="M71" s="73">
        <f t="shared" si="0"/>
        <v>0</v>
      </c>
      <c r="N71" s="73">
        <f t="shared" si="10"/>
        <v>464.4743660753777</v>
      </c>
      <c r="O71" s="73">
        <f t="shared" si="11"/>
        <v>10837.73520842548</v>
      </c>
      <c r="P71" s="73">
        <f t="shared" si="12"/>
        <v>14.533619669202738</v>
      </c>
    </row>
    <row r="72" spans="8:16" x14ac:dyDescent="0.25">
      <c r="H72" s="1">
        <v>85</v>
      </c>
      <c r="I72" s="73">
        <f t="shared" si="4"/>
        <v>23.611111111111111</v>
      </c>
      <c r="J72" s="73">
        <f t="shared" si="5"/>
        <v>261.29480056258461</v>
      </c>
      <c r="K72" s="73">
        <f t="shared" si="6"/>
        <v>261.29480056258461</v>
      </c>
      <c r="L72" s="73">
        <f>'Resistencia aerodinámica sin Rr'!B57</f>
        <v>209.76224642187501</v>
      </c>
      <c r="M72" s="73">
        <f t="shared" si="0"/>
        <v>0</v>
      </c>
      <c r="N72" s="73">
        <f t="shared" si="10"/>
        <v>471.05704698445959</v>
      </c>
      <c r="O72" s="73">
        <f t="shared" si="11"/>
        <v>11122.180276021962</v>
      </c>
      <c r="P72" s="73">
        <f t="shared" si="12"/>
        <v>14.915066193750972</v>
      </c>
    </row>
    <row r="73" spans="8:16" x14ac:dyDescent="0.25">
      <c r="H73" s="1">
        <v>86</v>
      </c>
      <c r="I73" s="73">
        <f t="shared" si="4"/>
        <v>23.888888888888889</v>
      </c>
      <c r="J73" s="73">
        <f t="shared" si="5"/>
        <v>262.97093203979148</v>
      </c>
      <c r="K73" s="73">
        <f t="shared" si="6"/>
        <v>262.97093203979148</v>
      </c>
      <c r="L73" s="73">
        <f>'Resistencia aerodinámica sin Rr'!B58</f>
        <v>214.72686152750001</v>
      </c>
      <c r="M73" s="73">
        <f t="shared" si="0"/>
        <v>0</v>
      </c>
      <c r="N73" s="73">
        <f t="shared" si="10"/>
        <v>477.69779356729146</v>
      </c>
      <c r="O73" s="73">
        <f t="shared" si="11"/>
        <v>11411.669512996406</v>
      </c>
      <c r="P73" s="73">
        <f t="shared" si="12"/>
        <v>15.303277050318442</v>
      </c>
    </row>
    <row r="74" spans="8:16" x14ac:dyDescent="0.25">
      <c r="H74" s="1">
        <v>88</v>
      </c>
      <c r="I74" s="73">
        <f t="shared" si="4"/>
        <v>24.444444444444443</v>
      </c>
      <c r="J74" s="73">
        <f t="shared" si="5"/>
        <v>266.32319499420521</v>
      </c>
      <c r="K74" s="73">
        <f t="shared" si="6"/>
        <v>266.32319499420521</v>
      </c>
      <c r="L74" s="1">
        <f>'Resistencia aerodinámica sin Rr'!B59</f>
        <v>224.83028876</v>
      </c>
      <c r="M74" s="73">
        <f t="shared" si="0"/>
        <v>0</v>
      </c>
      <c r="N74" s="1">
        <f t="shared" si="10"/>
        <v>491.15348375420524</v>
      </c>
      <c r="O74" s="1">
        <f t="shared" si="11"/>
        <v>12005.974047325017</v>
      </c>
      <c r="P74" s="1">
        <f t="shared" si="12"/>
        <v>16.100251316943794</v>
      </c>
    </row>
    <row r="75" spans="8:16" x14ac:dyDescent="0.25">
      <c r="H75" s="1">
        <v>90</v>
      </c>
      <c r="I75" s="73">
        <f t="shared" si="4"/>
        <v>25</v>
      </c>
      <c r="J75" s="73">
        <f t="shared" si="5"/>
        <v>269.675457948619</v>
      </c>
      <c r="K75" s="73">
        <f t="shared" si="6"/>
        <v>269.675457948619</v>
      </c>
      <c r="L75" s="73">
        <f>'Resistencia aerodinámica sin Rr'!B60</f>
        <v>235.16597868750003</v>
      </c>
      <c r="M75" s="73">
        <f t="shared" si="0"/>
        <v>0</v>
      </c>
      <c r="N75" s="73">
        <f t="shared" si="10"/>
        <v>504.84143663611906</v>
      </c>
      <c r="O75" s="73">
        <f t="shared" si="11"/>
        <v>12621.035915902976</v>
      </c>
      <c r="P75" s="73">
        <f t="shared" si="12"/>
        <v>16.92506158394421</v>
      </c>
    </row>
    <row r="76" spans="8:16" x14ac:dyDescent="0.25">
      <c r="H76" s="1">
        <v>92</v>
      </c>
      <c r="I76" s="73">
        <f t="shared" si="4"/>
        <v>25.555555555555554</v>
      </c>
      <c r="J76" s="73">
        <f t="shared" si="5"/>
        <v>273.02772090303273</v>
      </c>
      <c r="K76" s="73">
        <f t="shared" si="6"/>
        <v>273.02772090303273</v>
      </c>
      <c r="L76" s="73">
        <f>'Resistencia aerodinámica sin Rr'!B61</f>
        <v>245.73393131</v>
      </c>
      <c r="M76" s="73">
        <f t="shared" si="0"/>
        <v>0</v>
      </c>
      <c r="N76" s="73">
        <f t="shared" si="10"/>
        <v>518.76165221303268</v>
      </c>
      <c r="O76" s="73">
        <f t="shared" si="11"/>
        <v>13257.242223221945</v>
      </c>
      <c r="P76" s="73">
        <f t="shared" si="12"/>
        <v>17.778226966185095</v>
      </c>
    </row>
    <row r="77" spans="8:16" x14ac:dyDescent="0.25">
      <c r="H77" s="1">
        <v>94</v>
      </c>
      <c r="I77" s="73">
        <f t="shared" si="4"/>
        <v>26.111111111111111</v>
      </c>
      <c r="J77" s="73">
        <f t="shared" si="5"/>
        <v>276.37998385744652</v>
      </c>
      <c r="K77" s="73">
        <f t="shared" si="6"/>
        <v>276.37998385744652</v>
      </c>
      <c r="L77" s="73">
        <f>'Resistencia aerodinámica sin Rr'!B62</f>
        <v>256.53414662750004</v>
      </c>
      <c r="M77" s="73">
        <f t="shared" si="0"/>
        <v>0</v>
      </c>
      <c r="N77" s="73">
        <f t="shared" si="10"/>
        <v>532.91413048494655</v>
      </c>
      <c r="O77" s="73">
        <f t="shared" si="11"/>
        <v>13914.980073773604</v>
      </c>
      <c r="P77" s="73">
        <f t="shared" si="12"/>
        <v>18.660266578531878</v>
      </c>
    </row>
    <row r="78" spans="8:16" x14ac:dyDescent="0.25">
      <c r="H78" s="1">
        <v>95</v>
      </c>
      <c r="I78" s="73">
        <f t="shared" si="4"/>
        <v>26.388888888888889</v>
      </c>
      <c r="J78" s="73">
        <f t="shared" si="5"/>
        <v>278.05611533465333</v>
      </c>
      <c r="K78" s="73">
        <f t="shared" si="6"/>
        <v>278.05611533465333</v>
      </c>
      <c r="L78" s="1">
        <f>'Resistencia aerodinámica sin Rr'!B63</f>
        <v>262.02135279687502</v>
      </c>
      <c r="M78" s="73">
        <f t="shared" si="0"/>
        <v>0</v>
      </c>
      <c r="N78" s="1">
        <f t="shared" si="10"/>
        <v>540.07746813152835</v>
      </c>
      <c r="O78" s="1">
        <f t="shared" si="11"/>
        <v>14252.044297915332</v>
      </c>
      <c r="P78" s="1">
        <f t="shared" si="12"/>
        <v>19.112276444390421</v>
      </c>
    </row>
    <row r="79" spans="8:16" x14ac:dyDescent="0.25">
      <c r="H79" s="1">
        <v>96</v>
      </c>
      <c r="I79" s="73">
        <f t="shared" si="4"/>
        <v>26.666666666666664</v>
      </c>
      <c r="J79" s="73">
        <f t="shared" si="5"/>
        <v>279.73224681186025</v>
      </c>
      <c r="K79" s="73">
        <f t="shared" si="6"/>
        <v>279.73224681186025</v>
      </c>
      <c r="L79" s="73">
        <f>'Resistencia aerodinámica sin Rr'!B64</f>
        <v>267.56662463999999</v>
      </c>
      <c r="M79" s="73">
        <f t="shared" si="0"/>
        <v>0</v>
      </c>
      <c r="N79" s="73">
        <f t="shared" si="10"/>
        <v>547.29887145186024</v>
      </c>
      <c r="O79" s="73">
        <f t="shared" si="11"/>
        <v>14594.636572049605</v>
      </c>
      <c r="P79" s="73">
        <f t="shared" si="12"/>
        <v>19.571699535849962</v>
      </c>
    </row>
    <row r="80" spans="8:16" x14ac:dyDescent="0.25">
      <c r="H80" s="1">
        <v>98</v>
      </c>
      <c r="I80" s="73">
        <f t="shared" si="4"/>
        <v>27.222222222222221</v>
      </c>
      <c r="J80" s="73">
        <f t="shared" si="5"/>
        <v>283.08450976627398</v>
      </c>
      <c r="K80" s="73">
        <f t="shared" si="6"/>
        <v>283.08450976627398</v>
      </c>
      <c r="L80" s="73">
        <f>'Resistencia aerodinámica sin Rr'!B65</f>
        <v>278.83136534750003</v>
      </c>
      <c r="M80" s="73">
        <f t="shared" si="0"/>
        <v>0</v>
      </c>
      <c r="N80" s="73">
        <f t="shared" si="10"/>
        <v>561.91587511377406</v>
      </c>
      <c r="O80" s="73">
        <f t="shared" si="11"/>
        <v>15296.598822541628</v>
      </c>
      <c r="P80" s="73">
        <f t="shared" si="12"/>
        <v>20.513044953004773</v>
      </c>
    </row>
    <row r="81" spans="8:16" x14ac:dyDescent="0.25">
      <c r="H81" s="1">
        <v>100</v>
      </c>
      <c r="I81" s="73">
        <f t="shared" si="4"/>
        <v>27.777777777777779</v>
      </c>
      <c r="J81" s="73">
        <f t="shared" si="5"/>
        <v>286.43677272068777</v>
      </c>
      <c r="K81" s="73">
        <f t="shared" si="6"/>
        <v>286.43677272068777</v>
      </c>
      <c r="L81" s="73">
        <f>'Resistencia aerodinámica sin Rr'!B66</f>
        <v>290.32836875000004</v>
      </c>
      <c r="M81" s="73">
        <f t="shared" si="0"/>
        <v>0</v>
      </c>
      <c r="N81" s="73">
        <f t="shared" si="10"/>
        <v>576.76514147068781</v>
      </c>
      <c r="O81" s="73">
        <f t="shared" si="11"/>
        <v>16021.253929741328</v>
      </c>
      <c r="P81" s="73">
        <f t="shared" si="12"/>
        <v>21.484821944861718</v>
      </c>
    </row>
    <row r="82" spans="8:16" x14ac:dyDescent="0.25">
      <c r="H82" s="1">
        <v>102</v>
      </c>
      <c r="I82" s="73">
        <f t="shared" si="4"/>
        <v>28.333333333333332</v>
      </c>
      <c r="J82" s="73">
        <f t="shared" si="5"/>
        <v>289.7890356751015</v>
      </c>
      <c r="K82" s="73">
        <f t="shared" si="6"/>
        <v>289.7890356751015</v>
      </c>
      <c r="L82" s="73">
        <f>'Resistencia aerodinámica sin Rr'!B67</f>
        <v>302.05763484750003</v>
      </c>
      <c r="M82" s="73">
        <f t="shared" si="0"/>
        <v>0</v>
      </c>
      <c r="N82" s="73">
        <f t="shared" si="10"/>
        <v>591.84667052260147</v>
      </c>
      <c r="O82" s="73">
        <f t="shared" si="11"/>
        <v>16768.988998140376</v>
      </c>
      <c r="P82" s="73">
        <f t="shared" si="12"/>
        <v>22.487549626286206</v>
      </c>
    </row>
    <row r="83" spans="8:16" x14ac:dyDescent="0.25">
      <c r="H83" s="1">
        <v>104</v>
      </c>
      <c r="I83" s="73">
        <f t="shared" si="4"/>
        <v>28.888888888888889</v>
      </c>
      <c r="J83" s="73">
        <f t="shared" si="5"/>
        <v>293.14129862951529</v>
      </c>
      <c r="K83" s="73">
        <f t="shared" si="6"/>
        <v>293.14129862951529</v>
      </c>
      <c r="L83" s="73">
        <f>'Resistencia aerodinámica sin Rr'!B68</f>
        <v>314.01916364000004</v>
      </c>
      <c r="M83" s="73">
        <f t="shared" si="0"/>
        <v>0</v>
      </c>
      <c r="N83" s="73">
        <f t="shared" si="10"/>
        <v>607.16046226951539</v>
      </c>
      <c r="O83" s="73">
        <f t="shared" si="11"/>
        <v>17540.191132230444</v>
      </c>
      <c r="P83" s="73">
        <f t="shared" si="12"/>
        <v>23.521747112143672</v>
      </c>
    </row>
    <row r="84" spans="8:16" x14ac:dyDescent="0.25">
      <c r="H84" s="1">
        <v>105</v>
      </c>
      <c r="I84" s="73">
        <f t="shared" si="4"/>
        <v>29.166666666666664</v>
      </c>
      <c r="J84" s="73">
        <f t="shared" si="5"/>
        <v>294.81743010672216</v>
      </c>
      <c r="K84" s="73">
        <f t="shared" si="6"/>
        <v>294.81743010672216</v>
      </c>
      <c r="L84" s="1">
        <f>'Resistencia aerodinámica sin Rr'!B69</f>
        <v>320.08702654687499</v>
      </c>
      <c r="M84" s="73">
        <f t="shared" si="0"/>
        <v>0</v>
      </c>
      <c r="N84" s="1">
        <f t="shared" si="10"/>
        <v>614.90445665359721</v>
      </c>
      <c r="O84" s="1">
        <f t="shared" si="11"/>
        <v>17934.713319063252</v>
      </c>
      <c r="P84" s="1">
        <f t="shared" si="12"/>
        <v>24.050809255130204</v>
      </c>
    </row>
    <row r="85" spans="8:16" x14ac:dyDescent="0.25">
      <c r="H85" s="1">
        <v>106</v>
      </c>
      <c r="I85" s="73">
        <f t="shared" si="4"/>
        <v>29.444444444444443</v>
      </c>
      <c r="J85" s="73">
        <f t="shared" si="5"/>
        <v>296.49356158392902</v>
      </c>
      <c r="K85" s="73">
        <f t="shared" si="6"/>
        <v>296.49356158392902</v>
      </c>
      <c r="L85" s="73">
        <f>'Resistencia aerodinámica sin Rr'!B70</f>
        <v>326.21295512749998</v>
      </c>
      <c r="M85" s="73">
        <f t="shared" si="0"/>
        <v>0</v>
      </c>
      <c r="N85" s="73">
        <f t="shared" si="10"/>
        <v>622.706516711429</v>
      </c>
      <c r="O85" s="73">
        <f t="shared" si="11"/>
        <v>18335.247436503185</v>
      </c>
      <c r="P85" s="73">
        <f t="shared" si="12"/>
        <v>24.587933517299501</v>
      </c>
    </row>
    <row r="86" spans="8:16" x14ac:dyDescent="0.25">
      <c r="H86" s="1">
        <v>108</v>
      </c>
      <c r="I86" s="73">
        <f t="shared" si="4"/>
        <v>30</v>
      </c>
      <c r="J86" s="73">
        <f t="shared" si="5"/>
        <v>299.84582453834281</v>
      </c>
      <c r="K86" s="73">
        <f t="shared" si="6"/>
        <v>299.84582453834281</v>
      </c>
      <c r="L86" s="73">
        <f>'Resistencia aerodinámica sin Rr'!B71</f>
        <v>338.63900931000006</v>
      </c>
      <c r="M86" s="73">
        <f t="shared" si="0"/>
        <v>0</v>
      </c>
      <c r="N86" s="73">
        <f t="shared" si="10"/>
        <v>638.48483384834287</v>
      </c>
      <c r="O86" s="73">
        <f t="shared" si="11"/>
        <v>19154.545015450287</v>
      </c>
      <c r="P86" s="73">
        <f t="shared" si="12"/>
        <v>25.686627956619144</v>
      </c>
    </row>
    <row r="87" spans="8:16" x14ac:dyDescent="0.25">
      <c r="H87" s="1">
        <v>110</v>
      </c>
      <c r="I87" s="73">
        <f t="shared" si="4"/>
        <v>30.555555555555554</v>
      </c>
      <c r="J87" s="73">
        <f t="shared" si="5"/>
        <v>303.19808749275654</v>
      </c>
      <c r="K87" s="73">
        <f t="shared" si="6"/>
        <v>303.19808749275654</v>
      </c>
      <c r="L87" s="73">
        <f>'Resistencia aerodinámica sin Rr'!B72</f>
        <v>351.29732618749995</v>
      </c>
      <c r="M87" s="73">
        <f t="shared" si="0"/>
        <v>0</v>
      </c>
      <c r="N87" s="73">
        <f t="shared" si="10"/>
        <v>654.49541368025643</v>
      </c>
      <c r="O87" s="73">
        <f t="shared" si="11"/>
        <v>19998.470973563391</v>
      </c>
      <c r="P87" s="73">
        <f t="shared" si="12"/>
        <v>26.81834954496798</v>
      </c>
    </row>
    <row r="88" spans="8:16" x14ac:dyDescent="0.25">
      <c r="H88" s="1">
        <v>112</v>
      </c>
      <c r="I88" s="73">
        <f t="shared" si="4"/>
        <v>31.111111111111111</v>
      </c>
      <c r="J88" s="73">
        <f t="shared" si="5"/>
        <v>306.55035044717033</v>
      </c>
      <c r="K88" s="73">
        <f t="shared" si="6"/>
        <v>306.55035044717033</v>
      </c>
      <c r="L88" s="1">
        <f>'Resistencia aerodinámica sin Rr'!B73</f>
        <v>364.18790576000004</v>
      </c>
      <c r="M88" s="73">
        <f t="shared" si="0"/>
        <v>0</v>
      </c>
      <c r="N88" s="1">
        <f t="shared" si="10"/>
        <v>670.73825620717037</v>
      </c>
      <c r="O88" s="1">
        <f t="shared" si="11"/>
        <v>20867.412415334187</v>
      </c>
      <c r="P88" s="1">
        <f t="shared" si="12"/>
        <v>27.983617397211454</v>
      </c>
    </row>
    <row r="89" spans="8:16" x14ac:dyDescent="0.25">
      <c r="H89" s="1">
        <v>114</v>
      </c>
      <c r="I89" s="73">
        <f t="shared" ref="I89:I143" si="13">H89/3.6</f>
        <v>31.666666666666664</v>
      </c>
      <c r="J89" s="73">
        <f t="shared" ref="J89:J143" si="14">(($C$13+($C$14*
($H89/100)*EXP($L$5)))
*$D$4)</f>
        <v>309.90261340158406</v>
      </c>
      <c r="K89" s="73">
        <f t="shared" ref="K89:K143" si="15">(($C$13+($C$14*
($H89/100)*EXP($L$5)))
*$D$4)*
COS($C$19)</f>
        <v>309.90261340158406</v>
      </c>
      <c r="L89" s="73">
        <f>'Resistencia aerodinámica sin Rr'!B74</f>
        <v>377.31074802749998</v>
      </c>
      <c r="M89" s="73">
        <f t="shared" si="0"/>
        <v>0</v>
      </c>
      <c r="N89" s="73">
        <f t="shared" si="10"/>
        <v>687.21336142908399</v>
      </c>
      <c r="O89" s="73">
        <f t="shared" si="11"/>
        <v>21761.756445254323</v>
      </c>
      <c r="P89" s="73">
        <f t="shared" si="12"/>
        <v>29.182950628214954</v>
      </c>
    </row>
    <row r="90" spans="8:16" x14ac:dyDescent="0.25">
      <c r="H90" s="1">
        <v>115</v>
      </c>
      <c r="I90" s="73">
        <f t="shared" si="13"/>
        <v>31.944444444444443</v>
      </c>
      <c r="J90" s="73">
        <f t="shared" si="14"/>
        <v>311.57874487879093</v>
      </c>
      <c r="K90" s="73">
        <f t="shared" si="15"/>
        <v>311.57874487879093</v>
      </c>
      <c r="L90" s="73">
        <f>'Resistencia aerodinámica sin Rr'!B75</f>
        <v>383.95926767187501</v>
      </c>
      <c r="M90" s="73">
        <f t="shared" si="0"/>
        <v>0</v>
      </c>
      <c r="N90" s="73">
        <f t="shared" si="10"/>
        <v>695.53801255066594</v>
      </c>
      <c r="O90" s="73">
        <f t="shared" si="11"/>
        <v>22218.575400924048</v>
      </c>
      <c r="P90" s="73">
        <f t="shared" si="12"/>
        <v>29.795553984147169</v>
      </c>
    </row>
    <row r="91" spans="8:16" x14ac:dyDescent="0.25">
      <c r="H91" s="1">
        <v>116</v>
      </c>
      <c r="I91" s="73">
        <f t="shared" si="13"/>
        <v>32.222222222222221</v>
      </c>
      <c r="J91" s="73">
        <f t="shared" si="14"/>
        <v>313.25487635599779</v>
      </c>
      <c r="K91" s="73">
        <f t="shared" si="15"/>
        <v>313.25487635599779</v>
      </c>
      <c r="L91" s="73">
        <f>'Resistencia aerodinámica sin Rr'!B76</f>
        <v>390.66585299000002</v>
      </c>
      <c r="M91" s="73">
        <f t="shared" si="0"/>
        <v>0</v>
      </c>
      <c r="N91" s="73">
        <f t="shared" si="10"/>
        <v>703.92072934599787</v>
      </c>
      <c r="O91" s="73">
        <f t="shared" si="11"/>
        <v>22681.890167815487</v>
      </c>
      <c r="P91" s="73">
        <f t="shared" si="12"/>
        <v>30.416868352843927</v>
      </c>
    </row>
    <row r="92" spans="8:16" x14ac:dyDescent="0.25">
      <c r="H92" s="1">
        <v>118</v>
      </c>
      <c r="I92" s="73">
        <f t="shared" si="13"/>
        <v>32.777777777777779</v>
      </c>
      <c r="J92" s="73">
        <f t="shared" si="14"/>
        <v>316.60713931041158</v>
      </c>
      <c r="K92" s="73">
        <f t="shared" si="15"/>
        <v>316.60713931041158</v>
      </c>
      <c r="L92" s="73">
        <f>'Resistencia aerodinámica sin Rr'!B77</f>
        <v>404.25322064750003</v>
      </c>
      <c r="M92" s="73">
        <f t="shared" si="0"/>
        <v>0</v>
      </c>
      <c r="N92" s="73">
        <f t="shared" si="10"/>
        <v>720.86035995791167</v>
      </c>
      <c r="O92" s="73">
        <f t="shared" si="11"/>
        <v>23628.200687509328</v>
      </c>
      <c r="P92" s="73">
        <f t="shared" si="12"/>
        <v>31.685889685963762</v>
      </c>
    </row>
    <row r="93" spans="8:16" x14ac:dyDescent="0.25">
      <c r="H93" s="1">
        <v>120</v>
      </c>
      <c r="I93" s="73">
        <f t="shared" si="13"/>
        <v>33.333333333333336</v>
      </c>
      <c r="J93" s="73">
        <f t="shared" si="14"/>
        <v>319.95940226482531</v>
      </c>
      <c r="K93" s="73">
        <f t="shared" si="15"/>
        <v>319.95940226482531</v>
      </c>
      <c r="L93" s="73">
        <f>'Resistencia aerodinámica sin Rr'!B78</f>
        <v>418.07285100000013</v>
      </c>
      <c r="M93" s="73">
        <f t="shared" si="0"/>
        <v>0</v>
      </c>
      <c r="N93" s="73">
        <f t="shared" si="10"/>
        <v>738.03225326482539</v>
      </c>
      <c r="O93" s="73">
        <f t="shared" si="11"/>
        <v>24601.075108827514</v>
      </c>
      <c r="P93" s="73">
        <f t="shared" si="12"/>
        <v>32.990533742439872</v>
      </c>
    </row>
    <row r="94" spans="8:16" x14ac:dyDescent="0.25">
      <c r="H94" s="1">
        <v>122</v>
      </c>
      <c r="I94" s="73">
        <f t="shared" si="13"/>
        <v>33.888888888888886</v>
      </c>
      <c r="J94" s="73">
        <f t="shared" si="14"/>
        <v>323.31166521923905</v>
      </c>
      <c r="K94" s="73">
        <f t="shared" si="15"/>
        <v>323.31166521923905</v>
      </c>
      <c r="L94" s="1">
        <f>'Resistencia aerodinámica sin Rr'!B79</f>
        <v>432.12474404749997</v>
      </c>
      <c r="M94" s="73">
        <f t="shared" si="0"/>
        <v>0</v>
      </c>
      <c r="N94" s="1">
        <f t="shared" si="10"/>
        <v>755.43640926673902</v>
      </c>
      <c r="O94" s="1">
        <f t="shared" si="11"/>
        <v>25600.90053626171</v>
      </c>
      <c r="P94" s="1">
        <f t="shared" si="12"/>
        <v>34.331319637137682</v>
      </c>
    </row>
    <row r="95" spans="8:16" x14ac:dyDescent="0.25">
      <c r="H95" s="1">
        <v>124</v>
      </c>
      <c r="I95" s="73">
        <f t="shared" si="13"/>
        <v>34.444444444444443</v>
      </c>
      <c r="J95" s="73">
        <f t="shared" si="14"/>
        <v>326.66392817365278</v>
      </c>
      <c r="K95" s="73">
        <f t="shared" si="15"/>
        <v>326.66392817365278</v>
      </c>
      <c r="L95" s="73">
        <f>'Resistencia aerodinámica sin Rr'!B80</f>
        <v>446.40889979000002</v>
      </c>
      <c r="M95" s="73">
        <f t="shared" si="0"/>
        <v>0</v>
      </c>
      <c r="N95" s="73">
        <f t="shared" si="10"/>
        <v>773.0728279636528</v>
      </c>
      <c r="O95" s="73">
        <f t="shared" si="11"/>
        <v>26628.064074303595</v>
      </c>
      <c r="P95" s="73">
        <f t="shared" si="12"/>
        <v>35.708766484922606</v>
      </c>
    </row>
    <row r="96" spans="8:16" x14ac:dyDescent="0.25">
      <c r="H96" s="1">
        <v>125</v>
      </c>
      <c r="I96" s="73">
        <f t="shared" si="13"/>
        <v>34.722222222222221</v>
      </c>
      <c r="J96" s="73">
        <f t="shared" si="14"/>
        <v>328.3400596508597</v>
      </c>
      <c r="K96" s="73">
        <f t="shared" si="15"/>
        <v>328.3400596508597</v>
      </c>
      <c r="L96" s="73">
        <f>'Resistencia aerodinámica sin Rr'!B81</f>
        <v>453.63807617187501</v>
      </c>
      <c r="M96" s="73">
        <f t="shared" si="0"/>
        <v>0</v>
      </c>
      <c r="N96" s="73">
        <f t="shared" si="10"/>
        <v>781.97813582273466</v>
      </c>
      <c r="O96" s="73">
        <f t="shared" si="11"/>
        <v>27152.018604956065</v>
      </c>
      <c r="P96" s="73">
        <f t="shared" si="12"/>
        <v>36.411399989618182</v>
      </c>
    </row>
    <row r="97" spans="8:16" x14ac:dyDescent="0.25">
      <c r="H97" s="1">
        <v>126</v>
      </c>
      <c r="I97" s="73">
        <f t="shared" si="13"/>
        <v>35</v>
      </c>
      <c r="J97" s="73">
        <f t="shared" si="14"/>
        <v>330.01619112806657</v>
      </c>
      <c r="K97" s="73">
        <f t="shared" si="15"/>
        <v>330.01619112806657</v>
      </c>
      <c r="L97" s="73">
        <f>'Resistencia aerodinámica sin Rr'!B82</f>
        <v>460.92531822750004</v>
      </c>
      <c r="M97" s="73">
        <f t="shared" si="0"/>
        <v>0</v>
      </c>
      <c r="N97" s="73">
        <f t="shared" si="10"/>
        <v>790.94150935556661</v>
      </c>
      <c r="O97" s="73">
        <f t="shared" si="11"/>
        <v>27682.952827444831</v>
      </c>
      <c r="P97" s="73">
        <f t="shared" si="12"/>
        <v>37.123393400660071</v>
      </c>
    </row>
    <row r="98" spans="8:16" x14ac:dyDescent="0.25">
      <c r="H98" s="1">
        <v>128</v>
      </c>
      <c r="I98" s="73">
        <f t="shared" si="13"/>
        <v>35.555555555555557</v>
      </c>
      <c r="J98" s="73">
        <f t="shared" si="14"/>
        <v>333.36845408248035</v>
      </c>
      <c r="K98" s="73">
        <f t="shared" si="15"/>
        <v>333.36845408248035</v>
      </c>
      <c r="L98" s="1">
        <f>'Resistencia aerodinámica sin Rr'!B83</f>
        <v>475.6739993600001</v>
      </c>
      <c r="M98" s="73">
        <f t="shared" si="0"/>
        <v>0</v>
      </c>
      <c r="N98" s="1">
        <f t="shared" si="10"/>
        <v>809.04245344248045</v>
      </c>
      <c r="O98" s="1">
        <f t="shared" si="11"/>
        <v>28765.953900177083</v>
      </c>
      <c r="P98" s="1">
        <f t="shared" si="12"/>
        <v>38.575719499215474</v>
      </c>
    </row>
    <row r="99" spans="8:16" x14ac:dyDescent="0.25">
      <c r="H99" s="1">
        <v>130</v>
      </c>
      <c r="I99" s="73">
        <f t="shared" si="13"/>
        <v>36.111111111111107</v>
      </c>
      <c r="J99" s="73">
        <f t="shared" si="14"/>
        <v>336.72071703689409</v>
      </c>
      <c r="K99" s="73">
        <f t="shared" si="15"/>
        <v>336.72071703689409</v>
      </c>
      <c r="L99" s="73">
        <f>'Resistencia aerodinámica sin Rr'!B84</f>
        <v>490.65494318749995</v>
      </c>
      <c r="M99" s="73">
        <f t="shared" si="0"/>
        <v>0</v>
      </c>
      <c r="N99" s="73">
        <f t="shared" si="10"/>
        <v>827.3756602243941</v>
      </c>
      <c r="O99" s="73">
        <f t="shared" si="11"/>
        <v>29877.454396992005</v>
      </c>
      <c r="P99" s="73">
        <f t="shared" si="12"/>
        <v>40.06626389545422</v>
      </c>
    </row>
    <row r="100" spans="8:16" x14ac:dyDescent="0.25">
      <c r="H100" s="1">
        <v>132</v>
      </c>
      <c r="I100" s="73">
        <f t="shared" si="13"/>
        <v>36.666666666666664</v>
      </c>
      <c r="J100" s="73">
        <f t="shared" si="14"/>
        <v>340.07297999130788</v>
      </c>
      <c r="K100" s="73">
        <f t="shared" si="15"/>
        <v>340.07297999130788</v>
      </c>
      <c r="L100" s="73">
        <f>'Resistencia aerodinámica sin Rr'!B85</f>
        <v>505.86814971000001</v>
      </c>
      <c r="M100" s="73">
        <f t="shared" si="0"/>
        <v>0</v>
      </c>
      <c r="N100" s="73">
        <f t="shared" si="10"/>
        <v>845.94112970130789</v>
      </c>
      <c r="O100" s="73">
        <f t="shared" si="11"/>
        <v>31017.841422381287</v>
      </c>
      <c r="P100" s="73">
        <f t="shared" si="12"/>
        <v>41.595545704241758</v>
      </c>
    </row>
    <row r="101" spans="8:16" x14ac:dyDescent="0.25">
      <c r="H101" s="1">
        <v>134</v>
      </c>
      <c r="I101" s="73">
        <f t="shared" si="13"/>
        <v>37.222222222222221</v>
      </c>
      <c r="J101" s="73">
        <f t="shared" si="14"/>
        <v>343.42524294572166</v>
      </c>
      <c r="K101" s="73">
        <f t="shared" si="15"/>
        <v>343.42524294572166</v>
      </c>
      <c r="L101" s="73">
        <f>'Resistencia aerodinámica sin Rr'!B86</f>
        <v>521.31361892749999</v>
      </c>
      <c r="M101" s="73">
        <f t="shared" si="0"/>
        <v>0</v>
      </c>
      <c r="N101" s="73">
        <f t="shared" si="10"/>
        <v>864.73886187322159</v>
      </c>
      <c r="O101" s="73">
        <f t="shared" si="11"/>
        <v>32187.502080836581</v>
      </c>
      <c r="P101" s="73">
        <f t="shared" si="12"/>
        <v>43.164084040443477</v>
      </c>
    </row>
    <row r="102" spans="8:16" x14ac:dyDescent="0.25">
      <c r="H102" s="1">
        <v>135</v>
      </c>
      <c r="I102" s="73">
        <f t="shared" si="13"/>
        <v>37.5</v>
      </c>
      <c r="J102" s="73">
        <f t="shared" si="14"/>
        <v>345.10137442292853</v>
      </c>
      <c r="K102" s="73">
        <f t="shared" si="15"/>
        <v>345.10137442292853</v>
      </c>
      <c r="L102" s="73">
        <f>'Resistencia aerodinámica sin Rr'!B87</f>
        <v>529.12345204687506</v>
      </c>
      <c r="M102" s="73">
        <f t="shared" si="0"/>
        <v>0</v>
      </c>
      <c r="N102" s="73">
        <f t="shared" ref="N102:N143" si="16">K102+L102+M102</f>
        <v>874.22482646980359</v>
      </c>
      <c r="O102" s="73">
        <f t="shared" ref="O102:O143" si="17">I102*N102</f>
        <v>32783.430992617636</v>
      </c>
      <c r="P102" s="73">
        <f t="shared" ref="P102:P143" si="18">O102*0.00134102</f>
        <v>43.9632366297201</v>
      </c>
    </row>
    <row r="103" spans="8:16" x14ac:dyDescent="0.25">
      <c r="H103" s="1">
        <v>136</v>
      </c>
      <c r="I103" s="73">
        <f t="shared" si="13"/>
        <v>37.777777777777779</v>
      </c>
      <c r="J103" s="73">
        <f t="shared" si="14"/>
        <v>346.77750590013534</v>
      </c>
      <c r="K103" s="73">
        <f t="shared" si="15"/>
        <v>346.77750590013534</v>
      </c>
      <c r="L103" s="73">
        <f>'Resistencia aerodinámica sin Rr'!B88</f>
        <v>536.99135084000011</v>
      </c>
      <c r="M103" s="73">
        <f t="shared" si="0"/>
        <v>0</v>
      </c>
      <c r="N103" s="73">
        <f t="shared" si="16"/>
        <v>883.76885674013545</v>
      </c>
      <c r="O103" s="73">
        <f t="shared" si="17"/>
        <v>33386.82347684956</v>
      </c>
      <c r="P103" s="73">
        <f t="shared" si="18"/>
        <v>44.772398018924797</v>
      </c>
    </row>
    <row r="104" spans="8:16" x14ac:dyDescent="0.25">
      <c r="H104" s="1">
        <v>138</v>
      </c>
      <c r="I104" s="73">
        <f t="shared" si="13"/>
        <v>38.333333333333336</v>
      </c>
      <c r="J104" s="73">
        <f t="shared" si="14"/>
        <v>350.12976885454913</v>
      </c>
      <c r="K104" s="73">
        <f t="shared" si="15"/>
        <v>350.12976885454913</v>
      </c>
      <c r="L104" s="1">
        <f>'Resistencia aerodinámica sin Rr'!B89</f>
        <v>552.90134544750015</v>
      </c>
      <c r="M104" s="73">
        <f t="shared" si="0"/>
        <v>0</v>
      </c>
      <c r="N104" s="1">
        <f t="shared" si="16"/>
        <v>903.03111430204922</v>
      </c>
      <c r="O104" s="1">
        <f t="shared" si="17"/>
        <v>34616.192714911886</v>
      </c>
      <c r="P104" s="1">
        <f t="shared" si="18"/>
        <v>46.421006754551136</v>
      </c>
    </row>
    <row r="105" spans="8:16" x14ac:dyDescent="0.25">
      <c r="H105" s="1">
        <v>140</v>
      </c>
      <c r="I105" s="73">
        <f t="shared" si="13"/>
        <v>38.888888888888886</v>
      </c>
      <c r="J105" s="73">
        <f t="shared" si="14"/>
        <v>353.48203180896286</v>
      </c>
      <c r="K105" s="73">
        <f t="shared" si="15"/>
        <v>353.48203180896286</v>
      </c>
      <c r="L105" s="73">
        <f>'Resistencia aerodinámica sin Rr'!B90</f>
        <v>569.04360274999999</v>
      </c>
      <c r="M105" s="73">
        <f t="shared" si="0"/>
        <v>0</v>
      </c>
      <c r="N105" s="73">
        <f t="shared" si="16"/>
        <v>922.52563455896279</v>
      </c>
      <c r="O105" s="73">
        <f t="shared" si="17"/>
        <v>35875.996899515216</v>
      </c>
      <c r="P105" s="73">
        <f t="shared" si="18"/>
        <v>48.110429362187894</v>
      </c>
    </row>
    <row r="106" spans="8:16" x14ac:dyDescent="0.25">
      <c r="H106" s="1">
        <v>142</v>
      </c>
      <c r="I106" s="73">
        <f t="shared" si="13"/>
        <v>39.444444444444443</v>
      </c>
      <c r="J106" s="73">
        <f t="shared" si="14"/>
        <v>356.83429476337665</v>
      </c>
      <c r="K106" s="73">
        <f t="shared" si="15"/>
        <v>356.83429476337665</v>
      </c>
      <c r="L106" s="73">
        <f>'Resistencia aerodinámica sin Rr'!B91</f>
        <v>585.41812274749998</v>
      </c>
      <c r="M106" s="73">
        <f t="shared" si="0"/>
        <v>0</v>
      </c>
      <c r="N106" s="73">
        <f t="shared" si="16"/>
        <v>942.25241751087663</v>
      </c>
      <c r="O106" s="73">
        <f t="shared" si="17"/>
        <v>37166.62313515124</v>
      </c>
      <c r="P106" s="73">
        <f t="shared" si="18"/>
        <v>49.841184956700516</v>
      </c>
    </row>
    <row r="107" spans="8:16" x14ac:dyDescent="0.25">
      <c r="H107" s="1">
        <v>144</v>
      </c>
      <c r="I107" s="73">
        <f t="shared" si="13"/>
        <v>40</v>
      </c>
      <c r="J107" s="73">
        <f t="shared" si="14"/>
        <v>360.18655771779038</v>
      </c>
      <c r="K107" s="73">
        <f t="shared" si="15"/>
        <v>360.18655771779038</v>
      </c>
      <c r="L107" s="73">
        <f>'Resistencia aerodinámica sin Rr'!B92</f>
        <v>602.02490544000011</v>
      </c>
      <c r="M107" s="73">
        <f t="shared" si="0"/>
        <v>0</v>
      </c>
      <c r="N107" s="73">
        <f t="shared" si="16"/>
        <v>962.21146315779049</v>
      </c>
      <c r="O107" s="73">
        <f t="shared" si="17"/>
        <v>38488.458526311617</v>
      </c>
      <c r="P107" s="73">
        <f t="shared" si="18"/>
        <v>51.613792652954409</v>
      </c>
    </row>
    <row r="108" spans="8:16" x14ac:dyDescent="0.25">
      <c r="H108" s="1">
        <v>145</v>
      </c>
      <c r="I108" s="73">
        <f t="shared" si="13"/>
        <v>40.277777777777779</v>
      </c>
      <c r="J108" s="73">
        <f t="shared" si="14"/>
        <v>361.86268919499724</v>
      </c>
      <c r="K108" s="73">
        <f t="shared" si="15"/>
        <v>361.86268919499724</v>
      </c>
      <c r="L108" s="1">
        <f>'Resistencia aerodinámica sin Rr'!B93</f>
        <v>610.41539529687509</v>
      </c>
      <c r="M108" s="73">
        <f t="shared" si="0"/>
        <v>0</v>
      </c>
      <c r="N108" s="1">
        <f t="shared" si="16"/>
        <v>972.27808449187228</v>
      </c>
      <c r="O108" s="1">
        <f t="shared" si="17"/>
        <v>39161.200625367077</v>
      </c>
      <c r="P108" s="1">
        <f t="shared" si="18"/>
        <v>52.515953262629758</v>
      </c>
    </row>
    <row r="109" spans="8:16" x14ac:dyDescent="0.25">
      <c r="H109" s="1">
        <v>146</v>
      </c>
      <c r="I109" s="73">
        <f t="shared" si="13"/>
        <v>40.555555555555557</v>
      </c>
      <c r="J109" s="73">
        <f t="shared" si="14"/>
        <v>363.53882067220411</v>
      </c>
      <c r="K109" s="73">
        <f t="shared" si="15"/>
        <v>363.53882067220411</v>
      </c>
      <c r="L109" s="73">
        <f>'Resistencia aerodinámica sin Rr'!B94</f>
        <v>618.86395082750005</v>
      </c>
      <c r="M109" s="73">
        <f t="shared" si="0"/>
        <v>0</v>
      </c>
      <c r="N109" s="73">
        <f t="shared" si="16"/>
        <v>982.40277149970416</v>
      </c>
      <c r="O109" s="73">
        <f t="shared" si="17"/>
        <v>39841.890177488007</v>
      </c>
      <c r="P109" s="73">
        <f t="shared" si="18"/>
        <v>53.428771565814969</v>
      </c>
    </row>
    <row r="110" spans="8:16" x14ac:dyDescent="0.25">
      <c r="H110" s="1">
        <v>148</v>
      </c>
      <c r="I110" s="73">
        <f t="shared" si="13"/>
        <v>41.111111111111107</v>
      </c>
      <c r="J110" s="73">
        <f t="shared" si="14"/>
        <v>366.8910836266179</v>
      </c>
      <c r="K110" s="73">
        <f t="shared" si="15"/>
        <v>366.8910836266179</v>
      </c>
      <c r="L110" s="73">
        <f>'Resistencia aerodinámica sin Rr'!B95</f>
        <v>635.9352589099999</v>
      </c>
      <c r="M110" s="73">
        <f t="shared" si="0"/>
        <v>0</v>
      </c>
      <c r="N110" s="73">
        <f t="shared" si="16"/>
        <v>1002.8263425366179</v>
      </c>
      <c r="O110" s="73">
        <f t="shared" si="17"/>
        <v>41227.305193172062</v>
      </c>
      <c r="P110" s="73">
        <f t="shared" si="18"/>
        <v>55.286640810147603</v>
      </c>
    </row>
    <row r="111" spans="8:16" x14ac:dyDescent="0.25">
      <c r="H111" s="1">
        <v>150</v>
      </c>
      <c r="I111" s="73">
        <f t="shared" si="13"/>
        <v>41.666666666666664</v>
      </c>
      <c r="J111" s="73">
        <f t="shared" si="14"/>
        <v>370.24334658103163</v>
      </c>
      <c r="K111" s="73">
        <f t="shared" si="15"/>
        <v>370.24334658103163</v>
      </c>
      <c r="L111" s="73">
        <f>'Resistencia aerodinámica sin Rr'!B96</f>
        <v>653.23882968750002</v>
      </c>
      <c r="M111" s="73">
        <f t="shared" si="0"/>
        <v>0</v>
      </c>
      <c r="N111" s="73">
        <f t="shared" si="16"/>
        <v>1023.4821762685317</v>
      </c>
      <c r="O111" s="73">
        <f t="shared" si="17"/>
        <v>42645.090677855485</v>
      </c>
      <c r="P111" s="73">
        <f t="shared" si="18"/>
        <v>57.187919500817763</v>
      </c>
    </row>
    <row r="112" spans="8:16" x14ac:dyDescent="0.25">
      <c r="H112" s="1">
        <v>152</v>
      </c>
      <c r="I112" s="73">
        <f t="shared" si="13"/>
        <v>42.222222222222221</v>
      </c>
      <c r="J112" s="73">
        <f t="shared" si="14"/>
        <v>373.59560953544542</v>
      </c>
      <c r="K112" s="73">
        <f t="shared" si="15"/>
        <v>373.59560953544542</v>
      </c>
      <c r="L112" s="73">
        <f>'Resistencia aerodinámica sin Rr'!B97</f>
        <v>670.77466316000005</v>
      </c>
      <c r="M112" s="73">
        <f t="shared" si="0"/>
        <v>0</v>
      </c>
      <c r="N112" s="73">
        <f t="shared" si="16"/>
        <v>1044.3702726954455</v>
      </c>
      <c r="O112" s="73">
        <f t="shared" si="17"/>
        <v>44095.633736029922</v>
      </c>
      <c r="P112" s="73">
        <f t="shared" si="18"/>
        <v>59.133126752690849</v>
      </c>
    </row>
    <row r="113" spans="8:16" x14ac:dyDescent="0.25">
      <c r="H113" s="1">
        <v>154</v>
      </c>
      <c r="I113" s="73">
        <f t="shared" si="13"/>
        <v>42.777777777777779</v>
      </c>
      <c r="J113" s="73">
        <f t="shared" si="14"/>
        <v>376.94787248985915</v>
      </c>
      <c r="K113" s="73">
        <f t="shared" si="15"/>
        <v>376.94787248985915</v>
      </c>
      <c r="L113" s="73">
        <f>'Resistencia aerodinámica sin Rr'!B98</f>
        <v>688.54275932750011</v>
      </c>
      <c r="M113" s="73">
        <f t="shared" si="0"/>
        <v>0</v>
      </c>
      <c r="N113" s="73">
        <f t="shared" si="16"/>
        <v>1065.4906318173594</v>
      </c>
      <c r="O113" s="73">
        <f t="shared" si="17"/>
        <v>45579.321472187039</v>
      </c>
      <c r="P113" s="73">
        <f t="shared" si="18"/>
        <v>61.122781680632265</v>
      </c>
    </row>
    <row r="114" spans="8:16" x14ac:dyDescent="0.25">
      <c r="H114" s="1">
        <v>155</v>
      </c>
      <c r="I114" s="73">
        <f t="shared" si="13"/>
        <v>43.055555555555557</v>
      </c>
      <c r="J114" s="73">
        <f t="shared" si="14"/>
        <v>378.62400396706607</v>
      </c>
      <c r="K114" s="73">
        <f t="shared" si="15"/>
        <v>378.62400396706607</v>
      </c>
      <c r="L114" s="1">
        <f>'Resistencia aerodinámica sin Rr'!B99</f>
        <v>697.51390592187511</v>
      </c>
      <c r="M114" s="73">
        <f t="shared" si="0"/>
        <v>0</v>
      </c>
      <c r="N114" s="1">
        <f t="shared" si="16"/>
        <v>1076.1379098889411</v>
      </c>
      <c r="O114" s="1">
        <f t="shared" si="17"/>
        <v>46333.715564662743</v>
      </c>
      <c r="P114" s="1">
        <f t="shared" si="18"/>
        <v>62.134439246524032</v>
      </c>
    </row>
    <row r="115" spans="8:16" x14ac:dyDescent="0.25">
      <c r="H115" s="1">
        <v>156</v>
      </c>
      <c r="I115" s="73">
        <f t="shared" si="13"/>
        <v>43.333333333333336</v>
      </c>
      <c r="J115" s="73">
        <f t="shared" si="14"/>
        <v>380.30013544427288</v>
      </c>
      <c r="K115" s="73">
        <f t="shared" si="15"/>
        <v>380.30013544427288</v>
      </c>
      <c r="L115" s="73">
        <f>'Resistencia aerodinámica sin Rr'!B100</f>
        <v>706.5431181900002</v>
      </c>
      <c r="M115" s="73">
        <f t="shared" si="0"/>
        <v>0</v>
      </c>
      <c r="N115" s="73">
        <f t="shared" si="16"/>
        <v>1086.843253634273</v>
      </c>
      <c r="O115" s="73">
        <f t="shared" si="17"/>
        <v>47096.540990818496</v>
      </c>
      <c r="P115" s="73">
        <f t="shared" si="18"/>
        <v>63.157403399507423</v>
      </c>
    </row>
    <row r="116" spans="8:16" x14ac:dyDescent="0.25">
      <c r="H116" s="1">
        <v>158</v>
      </c>
      <c r="I116" s="73">
        <f t="shared" si="13"/>
        <v>43.888888888888886</v>
      </c>
      <c r="J116" s="73">
        <f t="shared" si="14"/>
        <v>383.65239839868667</v>
      </c>
      <c r="K116" s="73">
        <f t="shared" si="15"/>
        <v>383.65239839868667</v>
      </c>
      <c r="L116" s="73">
        <f>'Resistencia aerodinámica sin Rr'!B101</f>
        <v>724.77573974749998</v>
      </c>
      <c r="M116" s="73">
        <f t="shared" si="0"/>
        <v>0</v>
      </c>
      <c r="N116" s="73">
        <f t="shared" si="16"/>
        <v>1108.4281381461867</v>
      </c>
      <c r="O116" s="73">
        <f t="shared" si="17"/>
        <v>48647.679396415966</v>
      </c>
      <c r="P116" s="73">
        <f t="shared" si="18"/>
        <v>65.237511024181742</v>
      </c>
    </row>
    <row r="117" spans="8:16" x14ac:dyDescent="0.25">
      <c r="H117" s="1">
        <v>160</v>
      </c>
      <c r="I117" s="73">
        <f t="shared" si="13"/>
        <v>44.444444444444443</v>
      </c>
      <c r="J117" s="73">
        <f t="shared" si="14"/>
        <v>387.00466135310046</v>
      </c>
      <c r="K117" s="73">
        <f t="shared" si="15"/>
        <v>387.00466135310046</v>
      </c>
      <c r="L117" s="73">
        <f>'Resistencia aerodinámica sin Rr'!B102</f>
        <v>743.24062400000003</v>
      </c>
      <c r="M117" s="73">
        <f t="shared" si="0"/>
        <v>0</v>
      </c>
      <c r="N117" s="73">
        <f t="shared" si="16"/>
        <v>1130.2452853531004</v>
      </c>
      <c r="O117" s="73">
        <f t="shared" si="17"/>
        <v>50233.123793471124</v>
      </c>
      <c r="P117" s="73">
        <f t="shared" si="18"/>
        <v>67.363623669520649</v>
      </c>
    </row>
    <row r="118" spans="8:16" x14ac:dyDescent="0.25">
      <c r="H118" s="1">
        <v>162</v>
      </c>
      <c r="I118" s="73">
        <f t="shared" si="13"/>
        <v>45</v>
      </c>
      <c r="J118" s="73">
        <f t="shared" si="14"/>
        <v>390.35692430751419</v>
      </c>
      <c r="K118" s="73">
        <f t="shared" si="15"/>
        <v>390.35692430751419</v>
      </c>
      <c r="L118" s="1">
        <f>'Resistencia aerodinámica sin Rr'!B103</f>
        <v>761.9377709475001</v>
      </c>
      <c r="M118" s="73">
        <f t="shared" si="0"/>
        <v>0</v>
      </c>
      <c r="N118" s="1">
        <f t="shared" si="16"/>
        <v>1152.2946952550142</v>
      </c>
      <c r="O118" s="1">
        <f t="shared" si="17"/>
        <v>51853.261286475637</v>
      </c>
      <c r="P118" s="1">
        <f t="shared" si="18"/>
        <v>69.536260450389562</v>
      </c>
    </row>
    <row r="119" spans="8:16" x14ac:dyDescent="0.25">
      <c r="H119" s="1">
        <v>164</v>
      </c>
      <c r="I119" s="73">
        <f t="shared" si="13"/>
        <v>45.555555555555557</v>
      </c>
      <c r="J119" s="73">
        <f t="shared" si="14"/>
        <v>393.70918726192792</v>
      </c>
      <c r="K119" s="73">
        <f t="shared" si="15"/>
        <v>393.70918726192792</v>
      </c>
      <c r="L119" s="73">
        <f>'Resistencia aerodinámica sin Rr'!B104</f>
        <v>780.8671805900002</v>
      </c>
      <c r="M119" s="73">
        <f t="shared" si="0"/>
        <v>0</v>
      </c>
      <c r="N119" s="73">
        <f t="shared" si="16"/>
        <v>1174.5763678519281</v>
      </c>
      <c r="O119" s="73">
        <f t="shared" si="17"/>
        <v>53508.478979921172</v>
      </c>
      <c r="P119" s="73">
        <f t="shared" si="18"/>
        <v>71.755940481653894</v>
      </c>
    </row>
    <row r="120" spans="8:16" x14ac:dyDescent="0.25">
      <c r="H120" s="1">
        <v>165</v>
      </c>
      <c r="I120" s="73">
        <f t="shared" si="13"/>
        <v>45.833333333333336</v>
      </c>
      <c r="J120" s="73">
        <f t="shared" si="14"/>
        <v>395.38531873913479</v>
      </c>
      <c r="K120" s="73">
        <f t="shared" si="15"/>
        <v>395.38531873913479</v>
      </c>
      <c r="L120" s="73">
        <f>'Resistencia aerodinámica sin Rr'!B105</f>
        <v>790.41898392187522</v>
      </c>
      <c r="M120" s="73">
        <f t="shared" ref="M120:M143" si="19">$D$4*SIN($C$19)</f>
        <v>0</v>
      </c>
      <c r="N120" s="73">
        <f t="shared" si="16"/>
        <v>1185.8043026610101</v>
      </c>
      <c r="O120" s="73">
        <f t="shared" si="17"/>
        <v>54349.363871962967</v>
      </c>
      <c r="P120" s="73">
        <f t="shared" si="18"/>
        <v>72.883583939579779</v>
      </c>
    </row>
    <row r="121" spans="8:16" x14ac:dyDescent="0.25">
      <c r="H121" s="1">
        <v>166</v>
      </c>
      <c r="I121" s="73">
        <f t="shared" si="13"/>
        <v>46.111111111111107</v>
      </c>
      <c r="J121" s="73">
        <f t="shared" si="14"/>
        <v>397.06145021634165</v>
      </c>
      <c r="K121" s="73">
        <f t="shared" si="15"/>
        <v>397.06145021634165</v>
      </c>
      <c r="L121" s="73">
        <f>'Resistencia aerodinámica sin Rr'!B106</f>
        <v>800.0288529275</v>
      </c>
      <c r="M121" s="73">
        <f t="shared" si="19"/>
        <v>0</v>
      </c>
      <c r="N121" s="73">
        <f t="shared" si="16"/>
        <v>1197.0903031438415</v>
      </c>
      <c r="O121" s="73">
        <f t="shared" si="17"/>
        <v>55199.163978299352</v>
      </c>
      <c r="P121" s="73">
        <f t="shared" si="18"/>
        <v>74.023182878179</v>
      </c>
    </row>
    <row r="122" spans="8:16" x14ac:dyDescent="0.25">
      <c r="H122" s="1">
        <v>168</v>
      </c>
      <c r="I122" s="73">
        <f t="shared" si="13"/>
        <v>46.666666666666664</v>
      </c>
      <c r="J122" s="73">
        <f t="shared" si="14"/>
        <v>400.41371317075544</v>
      </c>
      <c r="K122" s="73">
        <f t="shared" si="15"/>
        <v>400.41371317075544</v>
      </c>
      <c r="L122" s="73">
        <f>'Resistencia aerodinámica sin Rr'!B107</f>
        <v>819.42278795999994</v>
      </c>
      <c r="M122" s="73">
        <f t="shared" si="19"/>
        <v>0</v>
      </c>
      <c r="N122" s="73">
        <f t="shared" si="16"/>
        <v>1219.8365011307553</v>
      </c>
      <c r="O122" s="73">
        <f t="shared" si="17"/>
        <v>56925.703386101915</v>
      </c>
      <c r="P122" s="73">
        <f t="shared" si="18"/>
        <v>76.338506754830391</v>
      </c>
    </row>
    <row r="123" spans="8:16" x14ac:dyDescent="0.25">
      <c r="H123" s="1">
        <v>170</v>
      </c>
      <c r="I123" s="73">
        <f t="shared" si="13"/>
        <v>47.222222222222221</v>
      </c>
      <c r="J123" s="73">
        <f t="shared" si="14"/>
        <v>403.76597612516917</v>
      </c>
      <c r="K123" s="73">
        <f t="shared" si="15"/>
        <v>403.76597612516917</v>
      </c>
      <c r="L123" s="73">
        <f>'Resistencia aerodinámica sin Rr'!B108</f>
        <v>839.04898568750002</v>
      </c>
      <c r="M123" s="73">
        <f t="shared" si="19"/>
        <v>0</v>
      </c>
      <c r="N123" s="73">
        <f t="shared" si="16"/>
        <v>1242.8149618126693</v>
      </c>
      <c r="O123" s="73">
        <f t="shared" si="17"/>
        <v>58688.484307820494</v>
      </c>
      <c r="P123" s="73">
        <f t="shared" si="18"/>
        <v>78.702431226473436</v>
      </c>
    </row>
    <row r="124" spans="8:16" x14ac:dyDescent="0.25">
      <c r="H124" s="1">
        <v>172</v>
      </c>
      <c r="I124" s="73">
        <f t="shared" si="13"/>
        <v>47.777777777777779</v>
      </c>
      <c r="J124" s="73">
        <f t="shared" si="14"/>
        <v>407.11823907958291</v>
      </c>
      <c r="K124" s="73">
        <f t="shared" si="15"/>
        <v>407.11823907958291</v>
      </c>
      <c r="L124" s="1">
        <f>'Resistencia aerodinámica sin Rr'!B109</f>
        <v>858.90744611000002</v>
      </c>
      <c r="M124" s="73">
        <f t="shared" si="19"/>
        <v>0</v>
      </c>
      <c r="N124" s="1">
        <f t="shared" si="16"/>
        <v>1266.0256851895829</v>
      </c>
      <c r="O124" s="1">
        <f t="shared" si="17"/>
        <v>60487.89384794674</v>
      </c>
      <c r="P124" s="1">
        <f t="shared" si="18"/>
        <v>81.115475407973534</v>
      </c>
    </row>
    <row r="125" spans="8:16" x14ac:dyDescent="0.25">
      <c r="H125" s="1">
        <v>174</v>
      </c>
      <c r="I125" s="73">
        <f t="shared" si="13"/>
        <v>48.333333333333329</v>
      </c>
      <c r="J125" s="73">
        <f t="shared" si="14"/>
        <v>410.47050203399669</v>
      </c>
      <c r="K125" s="73">
        <f t="shared" si="15"/>
        <v>410.47050203399669</v>
      </c>
      <c r="L125" s="73">
        <f>'Resistencia aerodinámica sin Rr'!B110</f>
        <v>878.99816922750006</v>
      </c>
      <c r="M125" s="73">
        <f t="shared" si="19"/>
        <v>0</v>
      </c>
      <c r="N125" s="73">
        <f t="shared" si="16"/>
        <v>1289.4686712614966</v>
      </c>
      <c r="O125" s="73">
        <f t="shared" si="17"/>
        <v>62324.319110972334</v>
      </c>
      <c r="P125" s="73">
        <f t="shared" si="18"/>
        <v>83.578158414196125</v>
      </c>
    </row>
    <row r="126" spans="8:16" x14ac:dyDescent="0.25">
      <c r="H126" s="1">
        <v>175</v>
      </c>
      <c r="I126" s="73">
        <f t="shared" si="13"/>
        <v>48.611111111111107</v>
      </c>
      <c r="J126" s="73">
        <f t="shared" si="14"/>
        <v>412.14663351120362</v>
      </c>
      <c r="K126" s="73">
        <f t="shared" si="15"/>
        <v>412.14663351120362</v>
      </c>
      <c r="L126" s="73">
        <f>'Resistencia aerodinámica sin Rr'!B111</f>
        <v>889.13062929687499</v>
      </c>
      <c r="M126" s="73">
        <f t="shared" si="19"/>
        <v>0</v>
      </c>
      <c r="N126" s="73">
        <f t="shared" si="16"/>
        <v>1301.2772628080786</v>
      </c>
      <c r="O126" s="73">
        <f t="shared" si="17"/>
        <v>63256.533608726037</v>
      </c>
      <c r="P126" s="73">
        <f t="shared" si="18"/>
        <v>84.828276699973799</v>
      </c>
    </row>
    <row r="127" spans="8:16" x14ac:dyDescent="0.25">
      <c r="H127" s="1">
        <v>176</v>
      </c>
      <c r="I127" s="73">
        <f t="shared" si="13"/>
        <v>48.888888888888886</v>
      </c>
      <c r="J127" s="73">
        <f t="shared" si="14"/>
        <v>413.82276498841048</v>
      </c>
      <c r="K127" s="73">
        <f t="shared" si="15"/>
        <v>413.82276498841048</v>
      </c>
      <c r="L127" s="73">
        <f>'Resistencia aerodinámica sin Rr'!B112</f>
        <v>899.32115504000001</v>
      </c>
      <c r="M127" s="73">
        <f t="shared" si="19"/>
        <v>0</v>
      </c>
      <c r="N127" s="73">
        <f t="shared" si="16"/>
        <v>1313.1439200284105</v>
      </c>
      <c r="O127" s="73">
        <f t="shared" si="17"/>
        <v>64198.147201388958</v>
      </c>
      <c r="P127" s="73">
        <f t="shared" si="18"/>
        <v>86.09099936000662</v>
      </c>
    </row>
    <row r="128" spans="8:16" x14ac:dyDescent="0.25">
      <c r="H128" s="1">
        <v>178</v>
      </c>
      <c r="I128" s="73">
        <f t="shared" si="13"/>
        <v>49.444444444444443</v>
      </c>
      <c r="J128" s="73">
        <f t="shared" si="14"/>
        <v>417.17502794282422</v>
      </c>
      <c r="K128" s="73">
        <f t="shared" si="15"/>
        <v>417.17502794282422</v>
      </c>
      <c r="L128" s="1">
        <f>'Resistencia aerodinámica sin Rr'!B113</f>
        <v>919.87640354749999</v>
      </c>
      <c r="M128" s="73">
        <f t="shared" si="19"/>
        <v>0</v>
      </c>
      <c r="N128" s="1">
        <f t="shared" si="16"/>
        <v>1337.0514314903241</v>
      </c>
      <c r="O128" s="1">
        <f t="shared" si="17"/>
        <v>66109.765223688242</v>
      </c>
      <c r="P128" s="1">
        <f t="shared" si="18"/>
        <v>88.654517360270404</v>
      </c>
    </row>
    <row r="129" spans="8:16" x14ac:dyDescent="0.25">
      <c r="H129" s="1">
        <v>180</v>
      </c>
      <c r="I129" s="73">
        <f t="shared" si="13"/>
        <v>50</v>
      </c>
      <c r="J129" s="73">
        <f t="shared" si="14"/>
        <v>420.52729089723795</v>
      </c>
      <c r="K129" s="73">
        <f t="shared" si="15"/>
        <v>420.52729089723795</v>
      </c>
      <c r="L129" s="73">
        <f>'Resistencia aerodinámica sin Rr'!B114</f>
        <v>940.66391475000012</v>
      </c>
      <c r="M129" s="73">
        <f t="shared" si="19"/>
        <v>0</v>
      </c>
      <c r="N129" s="73">
        <f t="shared" si="16"/>
        <v>1361.1912056472381</v>
      </c>
      <c r="O129" s="73">
        <f t="shared" si="17"/>
        <v>68059.560282361912</v>
      </c>
      <c r="P129" s="73">
        <f t="shared" si="18"/>
        <v>91.269231529852973</v>
      </c>
    </row>
    <row r="130" spans="8:16" x14ac:dyDescent="0.25">
      <c r="H130" s="1">
        <v>185</v>
      </c>
      <c r="I130" s="73">
        <f t="shared" si="13"/>
        <v>51.388888888888886</v>
      </c>
      <c r="J130" s="73">
        <f t="shared" si="14"/>
        <v>428.90794828327245</v>
      </c>
      <c r="K130" s="73">
        <f t="shared" si="15"/>
        <v>428.90794828327245</v>
      </c>
      <c r="L130" s="73">
        <f>'Resistencia aerodinámica sin Rr'!B115</f>
        <v>993.64884204687507</v>
      </c>
      <c r="M130" s="73">
        <f t="shared" si="19"/>
        <v>0</v>
      </c>
      <c r="N130" s="73">
        <f t="shared" si="16"/>
        <v>1422.5567903301476</v>
      </c>
      <c r="O130" s="73">
        <f t="shared" si="17"/>
        <v>73103.612836410364</v>
      </c>
      <c r="P130" s="73">
        <f t="shared" si="18"/>
        <v>98.033406885883025</v>
      </c>
    </row>
    <row r="131" spans="8:16" x14ac:dyDescent="0.25">
      <c r="H131" s="1">
        <v>190</v>
      </c>
      <c r="I131" s="73">
        <f t="shared" si="13"/>
        <v>52.777777777777779</v>
      </c>
      <c r="J131" s="73">
        <f t="shared" si="14"/>
        <v>437.28860566930672</v>
      </c>
      <c r="K131" s="73">
        <f t="shared" si="15"/>
        <v>437.28860566930672</v>
      </c>
      <c r="L131" s="73">
        <f>'Resistencia aerodinámica sin Rr'!B116</f>
        <v>1048.0854111875001</v>
      </c>
      <c r="M131" s="73">
        <f t="shared" si="19"/>
        <v>0</v>
      </c>
      <c r="N131" s="73">
        <f t="shared" si="16"/>
        <v>1485.3740168568067</v>
      </c>
      <c r="O131" s="73">
        <f t="shared" si="17"/>
        <v>78394.739778553689</v>
      </c>
      <c r="P131" s="73">
        <f t="shared" si="18"/>
        <v>105.12891393783607</v>
      </c>
    </row>
    <row r="132" spans="8:16" x14ac:dyDescent="0.25">
      <c r="H132" s="1">
        <v>195</v>
      </c>
      <c r="I132" s="73">
        <f t="shared" si="13"/>
        <v>54.166666666666664</v>
      </c>
      <c r="J132" s="73">
        <f t="shared" si="14"/>
        <v>445.66926305534116</v>
      </c>
      <c r="K132" s="73">
        <f t="shared" si="15"/>
        <v>445.66926305534116</v>
      </c>
      <c r="L132" s="73">
        <f>'Resistencia aerodinámica sin Rr'!B117</f>
        <v>1103.9736221718749</v>
      </c>
      <c r="M132" s="73">
        <f t="shared" si="19"/>
        <v>0</v>
      </c>
      <c r="N132" s="73">
        <f t="shared" si="16"/>
        <v>1549.6428852272161</v>
      </c>
      <c r="O132" s="73">
        <f t="shared" si="17"/>
        <v>83938.989616474195</v>
      </c>
      <c r="P132" s="73">
        <f t="shared" si="18"/>
        <v>112.56386385548423</v>
      </c>
    </row>
    <row r="133" spans="8:16" x14ac:dyDescent="0.25">
      <c r="H133" s="1">
        <v>200</v>
      </c>
      <c r="I133" s="73">
        <f t="shared" si="13"/>
        <v>55.555555555555557</v>
      </c>
      <c r="J133" s="73">
        <f t="shared" si="14"/>
        <v>454.04992044137555</v>
      </c>
      <c r="K133" s="73">
        <f t="shared" si="15"/>
        <v>454.04992044137555</v>
      </c>
      <c r="L133" s="73">
        <f>'Resistencia aerodinámica sin Rr'!B118</f>
        <v>1161.3134750000002</v>
      </c>
      <c r="M133" s="73">
        <f t="shared" si="19"/>
        <v>0</v>
      </c>
      <c r="N133" s="73">
        <f t="shared" si="16"/>
        <v>1615.3633954413758</v>
      </c>
      <c r="O133" s="73">
        <f t="shared" si="17"/>
        <v>89742.410857854207</v>
      </c>
      <c r="P133" s="73">
        <f t="shared" si="18"/>
        <v>120.34636780859965</v>
      </c>
    </row>
    <row r="134" spans="8:16" x14ac:dyDescent="0.25">
      <c r="H134" s="1">
        <v>205</v>
      </c>
      <c r="I134" s="73">
        <f t="shared" si="13"/>
        <v>56.944444444444443</v>
      </c>
      <c r="J134" s="73">
        <f t="shared" si="14"/>
        <v>462.43057782740988</v>
      </c>
      <c r="K134" s="73">
        <f t="shared" si="15"/>
        <v>462.43057782740988</v>
      </c>
      <c r="L134" s="1">
        <f>'Resistencia aerodinámica sin Rr'!B119</f>
        <v>1220.1049696718751</v>
      </c>
      <c r="M134" s="73">
        <f t="shared" si="19"/>
        <v>0</v>
      </c>
      <c r="N134" s="1">
        <f t="shared" si="16"/>
        <v>1682.535547499285</v>
      </c>
      <c r="O134" s="1">
        <f t="shared" si="17"/>
        <v>95811.052010375948</v>
      </c>
      <c r="P134" s="1">
        <f t="shared" si="18"/>
        <v>128.48453696695435</v>
      </c>
    </row>
    <row r="135" spans="8:16" x14ac:dyDescent="0.25">
      <c r="H135" s="1">
        <v>210</v>
      </c>
      <c r="I135" s="73">
        <f t="shared" si="13"/>
        <v>58.333333333333329</v>
      </c>
      <c r="J135" s="73">
        <f t="shared" si="14"/>
        <v>470.81123521344438</v>
      </c>
      <c r="K135" s="73">
        <f t="shared" si="15"/>
        <v>470.81123521344438</v>
      </c>
      <c r="L135" s="73">
        <f>'Resistencia aerodinámica sin Rr'!B120</f>
        <v>1280.3481061875</v>
      </c>
      <c r="M135" s="73">
        <f t="shared" si="19"/>
        <v>0</v>
      </c>
      <c r="N135" s="73">
        <f t="shared" si="16"/>
        <v>1751.1593414009444</v>
      </c>
      <c r="O135" s="73">
        <f t="shared" si="17"/>
        <v>102150.96158172176</v>
      </c>
      <c r="P135" s="73">
        <f t="shared" si="18"/>
        <v>136.98648250032051</v>
      </c>
    </row>
    <row r="136" spans="8:16" x14ac:dyDescent="0.25">
      <c r="H136" s="1">
        <v>215</v>
      </c>
      <c r="I136" s="73">
        <f t="shared" si="13"/>
        <v>59.722222222222221</v>
      </c>
      <c r="J136" s="73">
        <f t="shared" si="14"/>
        <v>479.19189259947859</v>
      </c>
      <c r="K136" s="73">
        <f t="shared" si="15"/>
        <v>479.19189259947859</v>
      </c>
      <c r="L136" s="73">
        <f>'Resistencia aerodinámica sin Rr'!B121</f>
        <v>1342.042884546875</v>
      </c>
      <c r="M136" s="73">
        <f t="shared" si="19"/>
        <v>0</v>
      </c>
      <c r="N136" s="73">
        <f t="shared" si="16"/>
        <v>1821.2347771463537</v>
      </c>
      <c r="O136" s="73">
        <f t="shared" si="17"/>
        <v>108768.1880795739</v>
      </c>
      <c r="P136" s="73">
        <f t="shared" si="18"/>
        <v>145.86031557847019</v>
      </c>
    </row>
    <row r="137" spans="8:16" x14ac:dyDescent="0.25">
      <c r="H137" s="1">
        <v>220</v>
      </c>
      <c r="I137" s="73">
        <f t="shared" si="13"/>
        <v>61.111111111111107</v>
      </c>
      <c r="J137" s="73">
        <f t="shared" si="14"/>
        <v>487.57254998551309</v>
      </c>
      <c r="K137" s="73">
        <f t="shared" si="15"/>
        <v>487.57254998551309</v>
      </c>
      <c r="L137" s="73">
        <f>'Resistencia aerodinámica sin Rr'!B122</f>
        <v>1405.1893047499998</v>
      </c>
      <c r="M137" s="73">
        <f t="shared" si="19"/>
        <v>0</v>
      </c>
      <c r="N137" s="73">
        <f t="shared" si="16"/>
        <v>1892.7618547355128</v>
      </c>
      <c r="O137" s="73">
        <f t="shared" si="17"/>
        <v>115668.78001161467</v>
      </c>
      <c r="P137" s="73">
        <f t="shared" si="18"/>
        <v>155.11414737117551</v>
      </c>
    </row>
    <row r="138" spans="8:16" x14ac:dyDescent="0.25">
      <c r="H138" s="1">
        <v>225</v>
      </c>
      <c r="I138" s="73">
        <f t="shared" si="13"/>
        <v>62.5</v>
      </c>
      <c r="J138" s="73">
        <f t="shared" si="14"/>
        <v>495.95320737154753</v>
      </c>
      <c r="K138" s="73">
        <f t="shared" si="15"/>
        <v>495.95320737154753</v>
      </c>
      <c r="L138" s="1">
        <f>'Resistencia aerodinámica sin Rr'!B123</f>
        <v>1469.7873667968752</v>
      </c>
      <c r="M138" s="73">
        <f t="shared" si="19"/>
        <v>0</v>
      </c>
      <c r="N138" s="1">
        <f t="shared" si="16"/>
        <v>1965.7405741684227</v>
      </c>
      <c r="O138" s="1">
        <f t="shared" si="17"/>
        <v>122858.78588552642</v>
      </c>
      <c r="P138" s="1">
        <f t="shared" si="18"/>
        <v>164.75608904820865</v>
      </c>
    </row>
    <row r="139" spans="8:16" x14ac:dyDescent="0.25">
      <c r="H139" s="1">
        <v>230</v>
      </c>
      <c r="I139" s="73">
        <f t="shared" si="13"/>
        <v>63.888888888888886</v>
      </c>
      <c r="J139" s="73">
        <f t="shared" si="14"/>
        <v>504.33386475758186</v>
      </c>
      <c r="K139" s="73">
        <f t="shared" si="15"/>
        <v>504.33386475758186</v>
      </c>
      <c r="L139" s="73">
        <f>'Resistencia aerodinámica sin Rr'!B124</f>
        <v>1535.8370706875</v>
      </c>
      <c r="M139" s="73">
        <f t="shared" si="19"/>
        <v>0</v>
      </c>
      <c r="N139" s="73">
        <f t="shared" si="16"/>
        <v>2040.1709354450818</v>
      </c>
      <c r="O139" s="73">
        <f t="shared" si="17"/>
        <v>130344.25420899133</v>
      </c>
      <c r="P139" s="73">
        <f t="shared" si="18"/>
        <v>174.79425177934158</v>
      </c>
    </row>
    <row r="140" spans="8:16" x14ac:dyDescent="0.25">
      <c r="H140" s="1">
        <v>235</v>
      </c>
      <c r="I140" s="73">
        <f t="shared" si="13"/>
        <v>65.277777777777771</v>
      </c>
      <c r="J140" s="73">
        <f t="shared" si="14"/>
        <v>512.71452214361625</v>
      </c>
      <c r="K140" s="73">
        <f t="shared" si="15"/>
        <v>512.71452214361625</v>
      </c>
      <c r="L140" s="73">
        <f>'Resistencia aerodinámica sin Rr'!B125</f>
        <v>1603.3384164218749</v>
      </c>
      <c r="M140" s="73">
        <f t="shared" si="19"/>
        <v>0</v>
      </c>
      <c r="N140" s="73">
        <f t="shared" si="16"/>
        <v>2116.0529385654909</v>
      </c>
      <c r="O140" s="73">
        <f t="shared" si="17"/>
        <v>138131.23348969175</v>
      </c>
      <c r="P140" s="73">
        <f t="shared" si="18"/>
        <v>185.23674673434644</v>
      </c>
    </row>
    <row r="141" spans="8:16" x14ac:dyDescent="0.25">
      <c r="H141" s="1">
        <v>240</v>
      </c>
      <c r="I141" s="73">
        <f t="shared" si="13"/>
        <v>66.666666666666671</v>
      </c>
      <c r="J141" s="73">
        <f t="shared" si="14"/>
        <v>521.09517952965064</v>
      </c>
      <c r="K141" s="73">
        <f t="shared" si="15"/>
        <v>521.09517952965064</v>
      </c>
      <c r="L141" s="73">
        <f>'Resistencia aerodinámica sin Rr'!B126</f>
        <v>1672.2914040000005</v>
      </c>
      <c r="M141" s="73">
        <f t="shared" si="19"/>
        <v>0</v>
      </c>
      <c r="N141" s="73">
        <f t="shared" si="16"/>
        <v>2193.386583529651</v>
      </c>
      <c r="O141" s="73">
        <f t="shared" si="17"/>
        <v>146225.77223531008</v>
      </c>
      <c r="P141" s="73">
        <f t="shared" si="18"/>
        <v>196.09168508299553</v>
      </c>
    </row>
    <row r="142" spans="8:16" x14ac:dyDescent="0.25">
      <c r="H142" s="1">
        <v>245</v>
      </c>
      <c r="I142" s="73">
        <f t="shared" si="13"/>
        <v>68.055555555555557</v>
      </c>
      <c r="J142" s="73">
        <f t="shared" si="14"/>
        <v>529.47583691568502</v>
      </c>
      <c r="K142" s="73">
        <f t="shared" si="15"/>
        <v>529.47583691568502</v>
      </c>
      <c r="L142" s="73">
        <f>'Resistencia aerodinámica sin Rr'!B127</f>
        <v>1742.6960334218754</v>
      </c>
      <c r="M142" s="73">
        <f t="shared" si="19"/>
        <v>0</v>
      </c>
      <c r="N142" s="73">
        <f t="shared" si="16"/>
        <v>2272.1718703375604</v>
      </c>
      <c r="O142" s="73">
        <f t="shared" si="17"/>
        <v>154633.91895352842</v>
      </c>
      <c r="P142" s="73">
        <f t="shared" si="18"/>
        <v>207.3671779950607</v>
      </c>
    </row>
    <row r="143" spans="8:16" x14ac:dyDescent="0.25">
      <c r="H143" s="1">
        <v>250</v>
      </c>
      <c r="I143" s="73">
        <f t="shared" si="13"/>
        <v>69.444444444444443</v>
      </c>
      <c r="J143" s="73">
        <f t="shared" si="14"/>
        <v>537.85649430171952</v>
      </c>
      <c r="K143" s="73">
        <f t="shared" si="15"/>
        <v>537.85649430171952</v>
      </c>
      <c r="L143" s="73">
        <f>'Resistencia aerodinámica sin Rr'!B128</f>
        <v>1814.5523046875001</v>
      </c>
      <c r="M143" s="73">
        <f t="shared" si="19"/>
        <v>0</v>
      </c>
      <c r="N143" s="73">
        <f t="shared" si="16"/>
        <v>2352.4087989892196</v>
      </c>
      <c r="O143" s="73">
        <f t="shared" si="17"/>
        <v>163361.72215202914</v>
      </c>
      <c r="P143" s="73">
        <f t="shared" si="18"/>
        <v>219.07133664031412</v>
      </c>
    </row>
  </sheetData>
  <mergeCells count="7">
    <mergeCell ref="A12:D12"/>
    <mergeCell ref="A16:F16"/>
    <mergeCell ref="H1:J1"/>
    <mergeCell ref="H2:J2"/>
    <mergeCell ref="H6:J6"/>
    <mergeCell ref="A1:D1"/>
    <mergeCell ref="A2:D2"/>
  </mergeCells>
  <conditionalFormatting sqref="H3:H5 H7:H9">
    <cfRule type="expression" dxfId="0" priority="1">
      <formula>$D$3=$H$3:$H$5=$H$7:$H$9="FWD"</formula>
    </cfRule>
  </conditionalFormatting>
  <dataValidations disablePrompts="1" count="2">
    <dataValidation type="list" allowBlank="1" showInputMessage="1" showErrorMessage="1" sqref="F18" xr:uid="{F6E69FC7-4A94-4F7D-BACB-435B43F21AE7}">
      <formula1>"0,1,2,3,4,5,6,7,8,9,10"</formula1>
    </dataValidation>
    <dataValidation type="list" allowBlank="1" showInputMessage="1" showErrorMessage="1" sqref="D3" xr:uid="{89647CFB-B7A7-4801-BC95-65EAE0C9F0E5}">
      <formula1>"FWD,RWD,AWD"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140C-F12A-4A8B-B08C-F1FE28AAA607}">
  <dimension ref="A1:AH92"/>
  <sheetViews>
    <sheetView zoomScale="70" zoomScaleNormal="70" workbookViewId="0">
      <selection activeCell="T8" sqref="T8"/>
    </sheetView>
  </sheetViews>
  <sheetFormatPr baseColWidth="10" defaultRowHeight="15" x14ac:dyDescent="0.25"/>
  <cols>
    <col min="6" max="6" width="11.85546875" bestFit="1" customWidth="1"/>
    <col min="7" max="7" width="11.42578125" customWidth="1"/>
    <col min="17" max="17" width="31.140625" customWidth="1"/>
    <col min="18" max="18" width="13.140625" customWidth="1"/>
    <col min="19" max="19" width="14.5703125" customWidth="1"/>
    <col min="20" max="20" width="21.5703125" customWidth="1"/>
    <col min="21" max="21" width="13" customWidth="1"/>
    <col min="27" max="27" width="18.140625" customWidth="1"/>
    <col min="28" max="28" width="22.42578125" customWidth="1"/>
    <col min="29" max="29" width="24.140625" customWidth="1"/>
    <col min="30" max="30" width="18.7109375" customWidth="1"/>
    <col min="33" max="33" width="22.42578125" customWidth="1"/>
    <col min="34" max="34" width="28" customWidth="1"/>
  </cols>
  <sheetData>
    <row r="1" spans="2:34" ht="15.75" thickBot="1" x14ac:dyDescent="0.3">
      <c r="B1" s="219" t="s">
        <v>141</v>
      </c>
      <c r="C1" s="220"/>
      <c r="D1" s="221"/>
      <c r="F1" s="216" t="s">
        <v>244</v>
      </c>
      <c r="G1" s="217"/>
      <c r="H1" s="217"/>
      <c r="I1" s="217"/>
      <c r="J1" s="217"/>
      <c r="K1" s="218"/>
      <c r="M1" s="219" t="s">
        <v>245</v>
      </c>
      <c r="N1" s="220"/>
      <c r="O1" s="221"/>
      <c r="Q1" s="219" t="s">
        <v>219</v>
      </c>
      <c r="R1" s="220"/>
      <c r="S1" s="220"/>
      <c r="T1" s="220"/>
      <c r="U1" s="221"/>
      <c r="Z1" t="s">
        <v>265</v>
      </c>
    </row>
    <row r="2" spans="2:34" ht="15.75" x14ac:dyDescent="0.25">
      <c r="B2" s="90" t="s">
        <v>142</v>
      </c>
      <c r="C2" s="123" t="s">
        <v>143</v>
      </c>
      <c r="D2" s="124" t="s">
        <v>144</v>
      </c>
      <c r="F2" s="122" cm="1">
        <f t="array" ref="F2:K6">LINEST(C3:C19,B3:B19^{1,2,3,4,5},,1)</f>
        <v>-4.4455028975147434E-16</v>
      </c>
      <c r="G2" s="122">
        <v>5.6254663808835525E-12</v>
      </c>
      <c r="H2" s="122">
        <v>-2.6428673493684706E-8</v>
      </c>
      <c r="I2" s="122">
        <v>4.712526792092284E-5</v>
      </c>
      <c r="J2" s="122">
        <v>2.5849210129408169E-2</v>
      </c>
      <c r="K2" s="122">
        <v>-41.701952845920573</v>
      </c>
      <c r="M2" s="90" t="s">
        <v>142</v>
      </c>
      <c r="N2" s="123" t="s">
        <v>143</v>
      </c>
      <c r="O2" s="124" t="s">
        <v>144</v>
      </c>
      <c r="Q2" s="130">
        <v>195</v>
      </c>
      <c r="R2" s="130" t="s">
        <v>220</v>
      </c>
      <c r="S2" s="130">
        <v>65</v>
      </c>
      <c r="T2" s="130" t="s">
        <v>221</v>
      </c>
      <c r="U2" s="130">
        <v>15</v>
      </c>
      <c r="Z2" s="116" t="s">
        <v>269</v>
      </c>
      <c r="AA2" s="116" t="s">
        <v>266</v>
      </c>
      <c r="AB2" s="116" t="s">
        <v>270</v>
      </c>
      <c r="AC2" s="116" t="s">
        <v>271</v>
      </c>
      <c r="AD2" s="116" t="s">
        <v>272</v>
      </c>
      <c r="AE2" s="116" t="s">
        <v>273</v>
      </c>
      <c r="AF2" s="116" t="s">
        <v>274</v>
      </c>
      <c r="AG2" s="116" t="s">
        <v>276</v>
      </c>
      <c r="AH2" s="116" t="s">
        <v>275</v>
      </c>
    </row>
    <row r="3" spans="2:34" x14ac:dyDescent="0.25">
      <c r="B3" s="1">
        <v>1000</v>
      </c>
      <c r="C3" s="1">
        <v>13</v>
      </c>
      <c r="D3" s="1">
        <v>88</v>
      </c>
      <c r="F3" s="1">
        <v>4.6768537550791328E-16</v>
      </c>
      <c r="G3" s="1">
        <v>7.0315009563128738E-12</v>
      </c>
      <c r="H3" s="1">
        <v>4.0215089427745893E-8</v>
      </c>
      <c r="I3" s="1">
        <v>1.0844267931913648E-4</v>
      </c>
      <c r="J3" s="1">
        <v>0.13652853491568787</v>
      </c>
      <c r="K3" s="1">
        <v>63.538266192973822</v>
      </c>
      <c r="M3" s="1">
        <v>1000</v>
      </c>
      <c r="N3" s="1">
        <f>($F$2*M3^5)+
($G$2*M3^4)+
($H$2*M3^3)+
($I$2*M3^2)+
($J$2*M3)+
$K$2</f>
        <v>10.024767801857806</v>
      </c>
      <c r="O3" s="1">
        <f>N3*745.7/(2*PI()*M3/60)</f>
        <v>71.385473937590831</v>
      </c>
      <c r="Z3" s="116">
        <v>0</v>
      </c>
      <c r="AA3" s="144">
        <f>$U$30</f>
        <v>6071.3711369148205</v>
      </c>
      <c r="AB3" s="150">
        <f>'Resistencia aerodinámica con Rr'!N21</f>
        <v>118.82362499999999</v>
      </c>
      <c r="AC3" s="150">
        <f>$AA3-$AB3</f>
        <v>5952.5475119148205</v>
      </c>
      <c r="AD3" s="150">
        <f>AC3/('Resistencia aerodinámica con Rr'!$C$4*'Resistencia aerodinámica con Rr'!$E$4)</f>
        <v>4.2442406502066454</v>
      </c>
      <c r="AE3" s="150">
        <f>((Z4-Z3)/3.6)/AD3</f>
        <v>0.13089633725846966</v>
      </c>
      <c r="AF3" s="149">
        <f>AE3</f>
        <v>0.13089633725846966</v>
      </c>
      <c r="AG3" s="149">
        <f>(AE3*Z3)/3.6</f>
        <v>0</v>
      </c>
      <c r="AH3" s="150">
        <v>0</v>
      </c>
    </row>
    <row r="4" spans="2:34" x14ac:dyDescent="0.25">
      <c r="B4" s="1">
        <v>1250</v>
      </c>
      <c r="C4" s="1">
        <v>19</v>
      </c>
      <c r="D4" s="1">
        <v>106</v>
      </c>
      <c r="F4" s="1">
        <v>0.99411456334165194</v>
      </c>
      <c r="G4" s="1">
        <v>2.8997622178109741</v>
      </c>
      <c r="H4" s="1" t="e">
        <v>#N/A</v>
      </c>
      <c r="I4" s="1" t="e">
        <v>#N/A</v>
      </c>
      <c r="J4" s="1" t="e">
        <v>#N/A</v>
      </c>
      <c r="K4" s="1" t="e">
        <v>#N/A</v>
      </c>
      <c r="M4" s="1">
        <v>1250</v>
      </c>
      <c r="N4" s="1">
        <f t="shared" ref="N4:N19" si="0">($F$2*M4^5)+
($G$2*M4^4)+
($H$2*M4^3)+
($I$2*M4^2)+
($J$2*M4)+
$K$2</f>
        <v>25.001676986584414</v>
      </c>
      <c r="O4" s="1">
        <f t="shared" ref="O4:O19" si="1">N4*745.7/(2*PI()*M4/60)</f>
        <v>142.42776261340495</v>
      </c>
      <c r="Z4" s="116">
        <v>2</v>
      </c>
      <c r="AA4" s="144">
        <f t="shared" ref="AA4:AA6" si="2">$U$30</f>
        <v>6071.3711369148205</v>
      </c>
      <c r="AB4" s="150">
        <f>'Resistencia aerodinámica con Rr'!N22</f>
        <v>122.29201930191375</v>
      </c>
      <c r="AC4" s="150">
        <f>$AA4-$AB4</f>
        <v>5949.0791176129069</v>
      </c>
      <c r="AD4" s="150">
        <f>AC4/('Resistencia aerodinámica con Rr'!$C$4*'Resistencia aerodinámica con Rr'!$E$4)</f>
        <v>4.2417676417917338</v>
      </c>
      <c r="AE4" s="150">
        <f t="shared" ref="AE4:AE67" si="3">((Z5-Z4)/3.6)/AD4</f>
        <v>0.13097265160919741</v>
      </c>
      <c r="AF4" s="149">
        <f>AF3+AE4</f>
        <v>0.26186898886766707</v>
      </c>
      <c r="AG4" s="149">
        <f t="shared" ref="AG4:AG67" si="4">(AE4*Z4)/3.6</f>
        <v>7.2762584227331895E-2</v>
      </c>
      <c r="AH4" s="150">
        <f>AH3+AG4</f>
        <v>7.2762584227331895E-2</v>
      </c>
    </row>
    <row r="5" spans="2:34" x14ac:dyDescent="0.25">
      <c r="B5" s="1">
        <v>1500</v>
      </c>
      <c r="C5" s="1">
        <v>38</v>
      </c>
      <c r="D5" s="1">
        <v>178</v>
      </c>
      <c r="F5" s="1">
        <v>371.60403999072668</v>
      </c>
      <c r="G5" s="1">
        <v>11</v>
      </c>
      <c r="H5" s="1" t="e">
        <v>#N/A</v>
      </c>
      <c r="I5" s="1" t="e">
        <v>#N/A</v>
      </c>
      <c r="J5" s="1" t="e">
        <v>#N/A</v>
      </c>
      <c r="K5" s="1" t="e">
        <v>#N/A</v>
      </c>
      <c r="M5" s="1">
        <v>1500</v>
      </c>
      <c r="N5" s="1">
        <f t="shared" si="0"/>
        <v>39.010061919504921</v>
      </c>
      <c r="O5" s="1">
        <f t="shared" si="1"/>
        <v>185.19143874451623</v>
      </c>
      <c r="R5" s="116" t="s">
        <v>230</v>
      </c>
      <c r="S5" s="116" t="s">
        <v>231</v>
      </c>
      <c r="T5" s="116" t="s">
        <v>232</v>
      </c>
      <c r="Z5" s="116">
        <v>4</v>
      </c>
      <c r="AA5" s="144">
        <f t="shared" si="2"/>
        <v>6071.3711369148205</v>
      </c>
      <c r="AB5" s="150">
        <f>'Resistencia aerodinámica con Rr'!N23</f>
        <v>125.99267629882752</v>
      </c>
      <c r="AC5" s="150">
        <f t="shared" ref="AC5:AC68" si="5">$AA5-$AB5</f>
        <v>5945.3784606159934</v>
      </c>
      <c r="AD5" s="150">
        <f>AC5/('Resistencia aerodinámica con Rr'!$C$4*'Resistencia aerodinámica con Rr'!$E$4)</f>
        <v>4.2391290271771789</v>
      </c>
      <c r="AE5" s="150">
        <f t="shared" si="3"/>
        <v>0.13105417457073679</v>
      </c>
      <c r="AF5" s="149">
        <f t="shared" ref="AF5:AF68" si="6">AF4+AE5</f>
        <v>0.39292316343840383</v>
      </c>
      <c r="AG5" s="149">
        <f t="shared" si="4"/>
        <v>0.14561574952304088</v>
      </c>
      <c r="AH5" s="150">
        <f t="shared" ref="AH5:AH68" si="7">AH4+AG5</f>
        <v>0.21837833375037277</v>
      </c>
    </row>
    <row r="6" spans="2:34" x14ac:dyDescent="0.25">
      <c r="B6" s="1">
        <v>1750</v>
      </c>
      <c r="C6" s="1">
        <v>56</v>
      </c>
      <c r="D6" s="1">
        <v>223</v>
      </c>
      <c r="F6" s="1">
        <v>15623.387522822888</v>
      </c>
      <c r="G6" s="1">
        <v>92.494830118284213</v>
      </c>
      <c r="H6" s="1" t="e">
        <v>#N/A</v>
      </c>
      <c r="I6" s="1" t="e">
        <v>#N/A</v>
      </c>
      <c r="J6" s="1" t="e">
        <v>#N/A</v>
      </c>
      <c r="K6" s="1" t="e">
        <v>#N/A</v>
      </c>
      <c r="M6" s="1">
        <v>1750</v>
      </c>
      <c r="N6" s="1">
        <f t="shared" si="0"/>
        <v>51.678405572755622</v>
      </c>
      <c r="O6" s="1">
        <f t="shared" si="1"/>
        <v>210.28417085511109</v>
      </c>
      <c r="Q6" s="72" t="s">
        <v>222</v>
      </c>
      <c r="R6" s="117">
        <f>U2</f>
        <v>15</v>
      </c>
      <c r="S6" s="118">
        <f>R6*25.4</f>
        <v>381</v>
      </c>
      <c r="T6" s="116"/>
      <c r="Z6" s="116">
        <v>6</v>
      </c>
      <c r="AA6" s="144">
        <f t="shared" si="2"/>
        <v>6071.3711369148205</v>
      </c>
      <c r="AB6" s="150">
        <f>'Resistencia aerodinámica con Rr'!N25</f>
        <v>129.92559599074127</v>
      </c>
      <c r="AC6" s="150">
        <f t="shared" si="5"/>
        <v>5941.4455409240791</v>
      </c>
      <c r="AD6" s="150">
        <f>AC6/('Resistencia aerodinámica con Rr'!$C$4*'Resistencia aerodinámica con Rr'!$E$4)</f>
        <v>4.2363248063629797</v>
      </c>
      <c r="AE6" s="150">
        <f t="shared" si="3"/>
        <v>0.13114092543638498</v>
      </c>
      <c r="AF6" s="149">
        <f t="shared" si="6"/>
        <v>0.52406408887478884</v>
      </c>
      <c r="AG6" s="149">
        <f t="shared" si="4"/>
        <v>0.21856820906064162</v>
      </c>
      <c r="AH6" s="150">
        <f t="shared" si="7"/>
        <v>0.43694654281101442</v>
      </c>
    </row>
    <row r="7" spans="2:34" x14ac:dyDescent="0.25">
      <c r="B7" s="1">
        <v>2000</v>
      </c>
      <c r="C7" s="1">
        <v>66</v>
      </c>
      <c r="D7" s="1">
        <v>231</v>
      </c>
      <c r="M7" s="1">
        <v>2000</v>
      </c>
      <c r="N7" s="1">
        <f t="shared" si="0"/>
        <v>62.850003969199136</v>
      </c>
      <c r="O7" s="1">
        <f t="shared" si="1"/>
        <v>223.77462545762336</v>
      </c>
      <c r="Q7" s="72" t="s">
        <v>223</v>
      </c>
      <c r="R7" s="117"/>
      <c r="S7" s="117"/>
      <c r="T7" s="119">
        <v>0.03</v>
      </c>
      <c r="Z7" s="116">
        <v>8</v>
      </c>
      <c r="AA7" s="151">
        <f>$R$36</f>
        <v>2522.7547675883061</v>
      </c>
      <c r="AB7" s="150">
        <f>'Resistencia aerodinámica con Rr'!N26</f>
        <v>134.090778377655</v>
      </c>
      <c r="AC7" s="150">
        <f t="shared" si="5"/>
        <v>2388.6639892106509</v>
      </c>
      <c r="AD7" s="150">
        <f>AC7/('Resistencia aerodinámica con Rr'!$C$4*'Resistencia aerodinámica con Rr'!$E$4)</f>
        <v>1.7031472293837082</v>
      </c>
      <c r="AE7" s="150">
        <f t="shared" si="3"/>
        <v>0.32619349987527851</v>
      </c>
      <c r="AF7" s="149">
        <f t="shared" si="6"/>
        <v>0.85025758875006741</v>
      </c>
      <c r="AG7" s="149">
        <f t="shared" si="4"/>
        <v>0.72487444416728553</v>
      </c>
      <c r="AH7" s="150">
        <f t="shared" si="7"/>
        <v>1.1618209869783001</v>
      </c>
    </row>
    <row r="8" spans="2:34" x14ac:dyDescent="0.25">
      <c r="B8" s="1">
        <v>2250</v>
      </c>
      <c r="C8" s="1">
        <v>72</v>
      </c>
      <c r="D8" s="1">
        <v>225</v>
      </c>
      <c r="M8" s="1">
        <v>2250</v>
      </c>
      <c r="N8" s="1">
        <f t="shared" si="0"/>
        <v>72.530870445344249</v>
      </c>
      <c r="O8" s="1">
        <f t="shared" si="1"/>
        <v>229.54925969068853</v>
      </c>
      <c r="Q8" s="72" t="s">
        <v>224</v>
      </c>
      <c r="R8" s="117"/>
      <c r="S8" s="117">
        <f>S2*Q2/100</f>
        <v>126.75</v>
      </c>
      <c r="T8" s="116"/>
      <c r="Z8" s="116">
        <v>10</v>
      </c>
      <c r="AA8" s="151">
        <f>$R$37</f>
        <v>5033.3814059150473</v>
      </c>
      <c r="AB8" s="150">
        <f>'Resistencia aerodinámica con Rr'!N27</f>
        <v>138.48822345956876</v>
      </c>
      <c r="AC8" s="150">
        <f t="shared" si="5"/>
        <v>4894.8931824554784</v>
      </c>
      <c r="AD8" s="150">
        <f>AC8/('Resistencia aerodinámica con Rr'!$C$4*'Resistencia aerodinámica con Rr'!$E$4)</f>
        <v>3.4901199161892893</v>
      </c>
      <c r="AE8" s="150">
        <f t="shared" si="3"/>
        <v>0.15917950354042351</v>
      </c>
      <c r="AF8" s="149">
        <f t="shared" si="6"/>
        <v>1.0094370922904909</v>
      </c>
      <c r="AG8" s="149">
        <f t="shared" si="4"/>
        <v>0.44216528761228752</v>
      </c>
      <c r="AH8" s="150">
        <f t="shared" si="7"/>
        <v>1.6039862745905875</v>
      </c>
    </row>
    <row r="9" spans="2:34" x14ac:dyDescent="0.25">
      <c r="B9" s="1">
        <v>2500</v>
      </c>
      <c r="C9" s="1">
        <v>79</v>
      </c>
      <c r="D9" s="1">
        <v>221</v>
      </c>
      <c r="F9" s="128" t="s">
        <v>256</v>
      </c>
      <c r="J9" t="s">
        <v>258</v>
      </c>
      <c r="M9" s="1">
        <v>2500</v>
      </c>
      <c r="N9" s="1">
        <f t="shared" si="0"/>
        <v>80.837639914265438</v>
      </c>
      <c r="O9" s="1">
        <f t="shared" si="1"/>
        <v>230.25503837432424</v>
      </c>
      <c r="Q9" s="72" t="s">
        <v>225</v>
      </c>
      <c r="R9" s="117"/>
      <c r="S9" s="117">
        <f>S6+2*S8</f>
        <v>634.5</v>
      </c>
      <c r="T9" s="116" t="s">
        <v>233</v>
      </c>
      <c r="Z9" s="116">
        <v>12</v>
      </c>
      <c r="AA9" s="144">
        <f>$U$30</f>
        <v>6071.3711369148205</v>
      </c>
      <c r="AB9" s="117">
        <f>'Resistencia aerodinámica con Rr'!N28</f>
        <v>143.11793123648252</v>
      </c>
      <c r="AC9" s="150">
        <f t="shared" si="5"/>
        <v>5928.2532056783375</v>
      </c>
      <c r="AD9" s="150">
        <f>AC9/('Resistencia aerodinámica con Rr'!$C$4*'Resistencia aerodinámica con Rr'!$E$4)</f>
        <v>4.2269185067225221</v>
      </c>
      <c r="AE9" s="150">
        <f t="shared" si="3"/>
        <v>0.13143275761574205</v>
      </c>
      <c r="AF9" s="149">
        <f t="shared" si="6"/>
        <v>1.1408698499062331</v>
      </c>
      <c r="AG9" s="149">
        <f t="shared" si="4"/>
        <v>0.43810919205247351</v>
      </c>
      <c r="AH9" s="150">
        <f t="shared" si="7"/>
        <v>2.0420954666430609</v>
      </c>
    </row>
    <row r="10" spans="2:34" x14ac:dyDescent="0.25">
      <c r="B10" s="1">
        <v>2750</v>
      </c>
      <c r="C10" s="1">
        <v>86</v>
      </c>
      <c r="D10" s="1">
        <v>220</v>
      </c>
      <c r="F10" s="128" t="s">
        <v>255</v>
      </c>
      <c r="J10" t="s">
        <v>257</v>
      </c>
      <c r="M10" s="1">
        <v>2750</v>
      </c>
      <c r="N10" s="1">
        <f t="shared" si="0"/>
        <v>87.945473128522821</v>
      </c>
      <c r="O10" s="1">
        <f t="shared" si="1"/>
        <v>227.72794176228589</v>
      </c>
      <c r="Q10" s="72" t="s">
        <v>226</v>
      </c>
      <c r="R10" s="117"/>
      <c r="S10" s="117">
        <f>S9/2</f>
        <v>317.25</v>
      </c>
      <c r="T10" s="116" t="s">
        <v>234</v>
      </c>
      <c r="Z10" s="116">
        <v>14</v>
      </c>
      <c r="AA10" s="144">
        <f t="shared" ref="AA10:AA21" si="8">$U$30</f>
        <v>6071.3711369148205</v>
      </c>
      <c r="AB10" s="150">
        <f>'Resistencia aerodinámica con Rr'!N28</f>
        <v>143.11793123648252</v>
      </c>
      <c r="AC10" s="150">
        <f t="shared" si="5"/>
        <v>5928.2532056783375</v>
      </c>
      <c r="AD10" s="150">
        <f>AC10/('Resistencia aerodinámica con Rr'!$C$4*'Resistencia aerodinámica con Rr'!$E$4)</f>
        <v>4.2269185067225221</v>
      </c>
      <c r="AE10" s="150">
        <f t="shared" si="3"/>
        <v>0.13143275761574205</v>
      </c>
      <c r="AF10" s="149">
        <f t="shared" si="6"/>
        <v>1.2723026075219752</v>
      </c>
      <c r="AG10" s="149">
        <f t="shared" si="4"/>
        <v>0.51112739072788571</v>
      </c>
      <c r="AH10" s="150">
        <f t="shared" si="7"/>
        <v>2.5532228573709466</v>
      </c>
    </row>
    <row r="11" spans="2:34" ht="15.75" thickBot="1" x14ac:dyDescent="0.3">
      <c r="B11" s="1">
        <v>3000</v>
      </c>
      <c r="C11" s="1">
        <v>93</v>
      </c>
      <c r="D11" s="1">
        <v>218</v>
      </c>
      <c r="M11" s="1">
        <v>3000</v>
      </c>
      <c r="N11" s="1">
        <f t="shared" si="0"/>
        <v>94.035960943081932</v>
      </c>
      <c r="O11" s="1">
        <f t="shared" si="1"/>
        <v>223.20721941824451</v>
      </c>
      <c r="Q11" s="72" t="s">
        <v>227</v>
      </c>
      <c r="R11" s="117"/>
      <c r="S11" s="117">
        <v>0.78</v>
      </c>
      <c r="T11" s="116"/>
      <c r="Z11" s="116">
        <v>16</v>
      </c>
      <c r="AA11" s="144">
        <f t="shared" si="8"/>
        <v>6071.3711369148205</v>
      </c>
      <c r="AB11" s="150">
        <f>'Resistencia aerodinámica con Rr'!N29</f>
        <v>147.97990170839628</v>
      </c>
      <c r="AC11" s="150">
        <f t="shared" si="5"/>
        <v>5923.3912352064244</v>
      </c>
      <c r="AD11" s="150">
        <f>AC11/('Resistencia aerodinámica con Rr'!$C$4*'Resistencia aerodinámica con Rr'!$E$4)</f>
        <v>4.2234518611097505</v>
      </c>
      <c r="AE11" s="150">
        <f t="shared" si="3"/>
        <v>0.13154063875362326</v>
      </c>
      <c r="AF11" s="149">
        <f t="shared" si="6"/>
        <v>1.4038432462755985</v>
      </c>
      <c r="AG11" s="149">
        <f t="shared" si="4"/>
        <v>0.58462506112721446</v>
      </c>
      <c r="AH11" s="150">
        <f t="shared" si="7"/>
        <v>3.1378479184981609</v>
      </c>
    </row>
    <row r="12" spans="2:34" ht="15.75" thickBot="1" x14ac:dyDescent="0.3">
      <c r="B12" s="1">
        <v>3250</v>
      </c>
      <c r="C12" s="1">
        <v>99</v>
      </c>
      <c r="D12" s="1">
        <v>215</v>
      </c>
      <c r="F12" s="219" t="s">
        <v>246</v>
      </c>
      <c r="G12" s="220"/>
      <c r="H12" s="220"/>
      <c r="I12" s="220"/>
      <c r="J12" s="220"/>
      <c r="K12" s="221"/>
      <c r="M12" s="1">
        <v>3250</v>
      </c>
      <c r="N12" s="1">
        <f t="shared" si="0"/>
        <v>99.245028578233132</v>
      </c>
      <c r="O12" s="1">
        <f t="shared" si="1"/>
        <v>217.45075768757394</v>
      </c>
      <c r="Q12" s="72" t="s">
        <v>228</v>
      </c>
      <c r="R12" s="117"/>
      <c r="S12" s="117">
        <f>S6/2+S11*(S9-S6)/2</f>
        <v>289.36500000000001</v>
      </c>
      <c r="T12" s="116" t="s">
        <v>235</v>
      </c>
      <c r="U12" s="1" t="s">
        <v>237</v>
      </c>
      <c r="Z12" s="116">
        <v>18</v>
      </c>
      <c r="AA12" s="144">
        <f t="shared" si="8"/>
        <v>6071.3711369148205</v>
      </c>
      <c r="AB12" s="150">
        <f>'Resistencia aerodinámica con Rr'!N30</f>
        <v>150.49798545497816</v>
      </c>
      <c r="AC12" s="150">
        <f t="shared" si="5"/>
        <v>5920.8731514598421</v>
      </c>
      <c r="AD12" s="150">
        <f>AC12/('Resistencia aerodinámica con Rr'!$C$4*'Resistencia aerodinámica con Rr'!$E$4)</f>
        <v>4.2216564359784972</v>
      </c>
      <c r="AE12" s="150">
        <f t="shared" si="3"/>
        <v>0.13159658157421536</v>
      </c>
      <c r="AF12" s="149">
        <f t="shared" si="6"/>
        <v>1.5354398278498138</v>
      </c>
      <c r="AG12" s="149">
        <f t="shared" si="4"/>
        <v>0.65798290787107672</v>
      </c>
      <c r="AH12" s="150">
        <f t="shared" si="7"/>
        <v>3.7958308263692375</v>
      </c>
    </row>
    <row r="13" spans="2:34" ht="15.75" customHeight="1" thickBot="1" x14ac:dyDescent="0.3">
      <c r="B13" s="1">
        <v>3500</v>
      </c>
      <c r="C13" s="1">
        <v>105</v>
      </c>
      <c r="D13" s="1">
        <v>210</v>
      </c>
      <c r="F13" s="126"/>
      <c r="K13" s="125"/>
      <c r="M13" s="1">
        <v>3500</v>
      </c>
      <c r="N13" s="1">
        <f t="shared" si="0"/>
        <v>103.61083988251193</v>
      </c>
      <c r="O13" s="1">
        <f t="shared" si="1"/>
        <v>210.80100396694493</v>
      </c>
      <c r="Q13" s="132" t="s">
        <v>229</v>
      </c>
      <c r="R13" s="133"/>
      <c r="S13" s="133">
        <f>2/3*S10+1/3*S12</f>
        <v>307.95499999999998</v>
      </c>
      <c r="T13" s="133" t="s">
        <v>236</v>
      </c>
      <c r="U13" s="134" t="s">
        <v>237</v>
      </c>
      <c r="Z13" s="116">
        <v>20</v>
      </c>
      <c r="AA13" s="144">
        <f t="shared" si="8"/>
        <v>6071.3711369148205</v>
      </c>
      <c r="AB13" s="150">
        <f>'Resistencia aerodinámica con Rr'!N32</f>
        <v>158.40063073722376</v>
      </c>
      <c r="AC13" s="150">
        <f t="shared" si="5"/>
        <v>5912.9705061775967</v>
      </c>
      <c r="AD13" s="150">
        <f>AC13/('Resistencia aerodinámica con Rr'!$C$4*'Resistencia aerodinámica con Rr'!$E$4)</f>
        <v>4.2160217512852736</v>
      </c>
      <c r="AE13" s="150">
        <f t="shared" si="3"/>
        <v>0.13177245951973371</v>
      </c>
      <c r="AF13" s="149">
        <f t="shared" si="6"/>
        <v>1.6672122873695474</v>
      </c>
      <c r="AG13" s="149">
        <f t="shared" si="4"/>
        <v>0.73206921955407611</v>
      </c>
      <c r="AH13" s="150">
        <f t="shared" si="7"/>
        <v>4.5279000459233139</v>
      </c>
    </row>
    <row r="14" spans="2:34" ht="15.75" thickBot="1" x14ac:dyDescent="0.3">
      <c r="B14" s="1">
        <v>3750</v>
      </c>
      <c r="C14" s="1">
        <v>108</v>
      </c>
      <c r="D14" s="1">
        <v>203</v>
      </c>
      <c r="F14" s="222" t="s">
        <v>253</v>
      </c>
      <c r="G14" s="223"/>
      <c r="H14" s="224"/>
      <c r="I14" s="129">
        <v>3.3889999999999998</v>
      </c>
      <c r="K14" s="125"/>
      <c r="M14" s="1">
        <v>3750</v>
      </c>
      <c r="N14" s="1">
        <f t="shared" si="0"/>
        <v>107.02170159561823</v>
      </c>
      <c r="O14" s="1">
        <f t="shared" si="1"/>
        <v>203.22452126608016</v>
      </c>
      <c r="Q14" s="72" t="s">
        <v>238</v>
      </c>
      <c r="R14" s="116"/>
      <c r="S14" s="116">
        <f>S9/2*(1-T7)</f>
        <v>307.73250000000002</v>
      </c>
      <c r="T14" s="116" t="s">
        <v>239</v>
      </c>
      <c r="Z14" s="116">
        <v>22</v>
      </c>
      <c r="AA14" s="144">
        <f t="shared" si="8"/>
        <v>6071.3711369148205</v>
      </c>
      <c r="AB14" s="150">
        <f>'Resistencia aerodinámica con Rr'!N33</f>
        <v>163.95938929413757</v>
      </c>
      <c r="AC14" s="150">
        <f t="shared" si="5"/>
        <v>5907.4117476206829</v>
      </c>
      <c r="AD14" s="150">
        <f>AC14/('Resistencia aerodinámica con Rr'!$C$4*'Resistencia aerodinámica con Rr'!$E$4)</f>
        <v>4.212058287073571</v>
      </c>
      <c r="AE14" s="150">
        <f t="shared" si="3"/>
        <v>0.13189645481889598</v>
      </c>
      <c r="AF14" s="149">
        <f t="shared" si="6"/>
        <v>1.7991087421884433</v>
      </c>
      <c r="AG14" s="149">
        <f t="shared" si="4"/>
        <v>0.80603389055991981</v>
      </c>
      <c r="AH14" s="150">
        <f t="shared" si="7"/>
        <v>5.3339339364832341</v>
      </c>
    </row>
    <row r="15" spans="2:34" ht="15.75" thickBot="1" x14ac:dyDescent="0.3">
      <c r="B15" s="1">
        <v>4000</v>
      </c>
      <c r="C15" s="1">
        <v>110</v>
      </c>
      <c r="D15" s="1">
        <v>193</v>
      </c>
      <c r="F15" s="126"/>
      <c r="K15" s="125"/>
      <c r="M15" s="1">
        <v>4000</v>
      </c>
      <c r="N15" s="1">
        <f t="shared" si="0"/>
        <v>109.16396761133606</v>
      </c>
      <c r="O15" s="1">
        <f t="shared" si="1"/>
        <v>194.33670980885165</v>
      </c>
      <c r="Z15" s="116">
        <v>24</v>
      </c>
      <c r="AA15" s="144">
        <f t="shared" si="8"/>
        <v>6071.3711369148205</v>
      </c>
      <c r="AB15" s="150">
        <f>'Resistencia aerodinámica con Rr'!N34</f>
        <v>169.75041054605128</v>
      </c>
      <c r="AC15" s="150">
        <f t="shared" si="5"/>
        <v>5901.6207263687693</v>
      </c>
      <c r="AD15" s="150">
        <f>AC15/('Resistencia aerodinámica con Rr'!$C$4*'Resistencia aerodinámica con Rr'!$E$4)</f>
        <v>4.2079292166622242</v>
      </c>
      <c r="AE15" s="150">
        <f t="shared" si="3"/>
        <v>0.13202587946482341</v>
      </c>
      <c r="AF15" s="149">
        <f t="shared" si="6"/>
        <v>1.9311346216532668</v>
      </c>
      <c r="AG15" s="149">
        <f t="shared" si="4"/>
        <v>0.88017252976548943</v>
      </c>
      <c r="AH15" s="150">
        <f t="shared" si="7"/>
        <v>6.2141064662487233</v>
      </c>
    </row>
    <row r="16" spans="2:34" ht="15.75" thickBot="1" x14ac:dyDescent="0.3">
      <c r="B16" s="1">
        <v>4250</v>
      </c>
      <c r="C16" s="1">
        <v>110</v>
      </c>
      <c r="D16" s="1">
        <v>181</v>
      </c>
      <c r="F16" s="109" t="s">
        <v>247</v>
      </c>
      <c r="G16" s="109" t="s">
        <v>248</v>
      </c>
      <c r="H16" s="109" t="s">
        <v>249</v>
      </c>
      <c r="I16" s="109" t="s">
        <v>250</v>
      </c>
      <c r="J16" s="109" t="s">
        <v>251</v>
      </c>
      <c r="K16" s="109" t="s">
        <v>252</v>
      </c>
      <c r="M16" s="1">
        <v>4250</v>
      </c>
      <c r="N16" s="1">
        <f t="shared" si="0"/>
        <v>109.46994324045397</v>
      </c>
      <c r="O16" s="1">
        <f t="shared" si="1"/>
        <v>183.41780336340366</v>
      </c>
      <c r="Z16" s="116">
        <v>26</v>
      </c>
      <c r="AA16" s="144">
        <f t="shared" si="8"/>
        <v>6071.3711369148205</v>
      </c>
      <c r="AB16" s="117">
        <f>'Resistencia aerodinámica con Rr'!N35</f>
        <v>175.77369449296506</v>
      </c>
      <c r="AC16" s="150">
        <f t="shared" si="5"/>
        <v>5895.5974424218557</v>
      </c>
      <c r="AD16" s="150">
        <f>AC16/('Resistencia aerodinámica con Rr'!$C$4*'Resistencia aerodinámica con Rr'!$E$4)</f>
        <v>4.203634540051234</v>
      </c>
      <c r="AE16" s="150">
        <f t="shared" si="3"/>
        <v>0.13216076475306163</v>
      </c>
      <c r="AF16" s="149">
        <f t="shared" si="6"/>
        <v>2.0632953864063284</v>
      </c>
      <c r="AG16" s="149">
        <f t="shared" si="4"/>
        <v>0.95449441210544506</v>
      </c>
      <c r="AH16" s="150">
        <f t="shared" si="7"/>
        <v>7.1686008783541686</v>
      </c>
    </row>
    <row r="17" spans="2:34" ht="15.75" thickBot="1" x14ac:dyDescent="0.3">
      <c r="B17" s="1">
        <v>4500</v>
      </c>
      <c r="C17" s="1">
        <v>106</v>
      </c>
      <c r="D17" s="1">
        <v>166</v>
      </c>
      <c r="F17" s="75">
        <v>3.778</v>
      </c>
      <c r="G17" s="75">
        <v>2.0630000000000002</v>
      </c>
      <c r="H17" s="75">
        <v>1.3480000000000001</v>
      </c>
      <c r="I17" s="75">
        <v>0.96699999999999997</v>
      </c>
      <c r="J17" s="75">
        <v>0.76900000000000002</v>
      </c>
      <c r="K17" s="75">
        <v>0</v>
      </c>
      <c r="M17" s="1">
        <v>4500</v>
      </c>
      <c r="N17" s="1">
        <f t="shared" si="0"/>
        <v>107.06578947368382</v>
      </c>
      <c r="O17" s="1">
        <f t="shared" si="1"/>
        <v>169.42353346223229</v>
      </c>
      <c r="Z17" s="116">
        <v>28</v>
      </c>
      <c r="AA17" s="144">
        <f t="shared" si="8"/>
        <v>6071.3711369148205</v>
      </c>
      <c r="AB17" s="150">
        <f>'Resistencia aerodinámica con Rr'!N35</f>
        <v>175.77369449296506</v>
      </c>
      <c r="AC17" s="150">
        <f t="shared" si="5"/>
        <v>5895.5974424218557</v>
      </c>
      <c r="AD17" s="150">
        <f>AC17/('Resistencia aerodinámica con Rr'!$C$4*'Resistencia aerodinámica con Rr'!$E$4)</f>
        <v>4.203634540051234</v>
      </c>
      <c r="AE17" s="150">
        <f t="shared" si="3"/>
        <v>0.13216076475306163</v>
      </c>
      <c r="AF17" s="149">
        <f t="shared" si="6"/>
        <v>2.19545615115939</v>
      </c>
      <c r="AG17" s="149">
        <f t="shared" si="4"/>
        <v>1.0279170591904794</v>
      </c>
      <c r="AH17" s="150">
        <f t="shared" si="7"/>
        <v>8.1965179375446482</v>
      </c>
    </row>
    <row r="18" spans="2:34" ht="15.75" thickBot="1" x14ac:dyDescent="0.3">
      <c r="B18" s="1">
        <v>4750</v>
      </c>
      <c r="C18" s="1">
        <v>99</v>
      </c>
      <c r="D18" s="1">
        <v>147</v>
      </c>
      <c r="F18" s="225" t="s">
        <v>254</v>
      </c>
      <c r="G18" s="226"/>
      <c r="H18" s="226"/>
      <c r="I18" s="226"/>
      <c r="J18" s="226"/>
      <c r="K18" s="227"/>
      <c r="M18" s="1">
        <v>4750</v>
      </c>
      <c r="N18" s="1">
        <f t="shared" si="0"/>
        <v>100.71942724458154</v>
      </c>
      <c r="O18" s="1">
        <f t="shared" si="1"/>
        <v>150.99242597382195</v>
      </c>
      <c r="Z18" s="116">
        <v>30</v>
      </c>
      <c r="AA18" s="144">
        <f t="shared" si="8"/>
        <v>6071.3711369148205</v>
      </c>
      <c r="AB18" s="150">
        <f>'Resistencia aerodinámica con Rr'!N36</f>
        <v>178.87243497704694</v>
      </c>
      <c r="AC18" s="150">
        <f t="shared" si="5"/>
        <v>5892.4987019377731</v>
      </c>
      <c r="AD18" s="150">
        <f>AC18/('Resistencia aerodinámica con Rr'!$C$4*'Resistencia aerodinámica con Rr'!$E$4)</f>
        <v>4.2014250994208719</v>
      </c>
      <c r="AE18" s="150">
        <f t="shared" si="3"/>
        <v>0.13223026530501134</v>
      </c>
      <c r="AF18" s="149">
        <f t="shared" si="6"/>
        <v>2.3276864164644011</v>
      </c>
      <c r="AG18" s="149">
        <f t="shared" si="4"/>
        <v>1.101918877541761</v>
      </c>
      <c r="AH18" s="150">
        <f t="shared" si="7"/>
        <v>9.2984368150864096</v>
      </c>
    </row>
    <row r="19" spans="2:34" x14ac:dyDescent="0.25">
      <c r="B19" s="1">
        <v>5000</v>
      </c>
      <c r="C19" s="1">
        <v>90</v>
      </c>
      <c r="D19" s="1">
        <v>126</v>
      </c>
      <c r="F19" s="127">
        <f t="shared" ref="F19:K19" si="9">$I$14*F17</f>
        <v>12.803642</v>
      </c>
      <c r="G19" s="127">
        <f t="shared" si="9"/>
        <v>6.9915070000000004</v>
      </c>
      <c r="H19" s="127">
        <f t="shared" si="9"/>
        <v>4.5683720000000001</v>
      </c>
      <c r="I19" s="127">
        <f t="shared" si="9"/>
        <v>3.2771629999999998</v>
      </c>
      <c r="J19" s="127">
        <f t="shared" si="9"/>
        <v>2.606141</v>
      </c>
      <c r="K19" s="127">
        <f t="shared" si="9"/>
        <v>0</v>
      </c>
      <c r="M19" s="1">
        <v>5000</v>
      </c>
      <c r="N19" s="1">
        <f t="shared" si="0"/>
        <v>88.78844169246608</v>
      </c>
      <c r="O19" s="1">
        <f t="shared" si="1"/>
        <v>126.45090870278779</v>
      </c>
      <c r="Z19" s="116">
        <v>32</v>
      </c>
      <c r="AA19" s="144">
        <f t="shared" si="8"/>
        <v>6071.3711369148205</v>
      </c>
      <c r="AB19" s="150">
        <f>'Resistencia aerodinámica con Rr'!N37</f>
        <v>182.02924113487882</v>
      </c>
      <c r="AC19" s="150">
        <f t="shared" si="5"/>
        <v>5889.3418957799413</v>
      </c>
      <c r="AD19" s="150">
        <f>AC19/('Resistencia aerodinámica con Rr'!$C$4*'Resistencia aerodinámica con Rr'!$E$4)</f>
        <v>4.1991742572405997</v>
      </c>
      <c r="AE19" s="150">
        <f t="shared" si="3"/>
        <v>0.1323011433968514</v>
      </c>
      <c r="AF19" s="149">
        <f t="shared" si="6"/>
        <v>2.4599875598612524</v>
      </c>
      <c r="AG19" s="149">
        <f t="shared" si="4"/>
        <v>1.1760101635275679</v>
      </c>
      <c r="AH19" s="150">
        <f t="shared" si="7"/>
        <v>10.474446978613978</v>
      </c>
    </row>
    <row r="20" spans="2:34" ht="15" customHeight="1" x14ac:dyDescent="0.25">
      <c r="Z20" s="116">
        <v>34</v>
      </c>
      <c r="AA20" s="144">
        <f t="shared" si="8"/>
        <v>6071.3711369148205</v>
      </c>
      <c r="AB20" s="150">
        <f>'Resistencia aerodinámica con Rr'!N39</f>
        <v>195.23712250370636</v>
      </c>
      <c r="AC20" s="150">
        <f t="shared" si="5"/>
        <v>5876.1340144111145</v>
      </c>
      <c r="AD20" s="150">
        <f>AC20/('Resistencia aerodinámica con Rr'!$C$4*'Resistencia aerodinámica con Rr'!$E$4)</f>
        <v>4.1897568730204027</v>
      </c>
      <c r="AE20" s="150">
        <f t="shared" si="3"/>
        <v>0.13259851881454274</v>
      </c>
      <c r="AF20" s="149">
        <f t="shared" si="6"/>
        <v>2.592586078675795</v>
      </c>
      <c r="AG20" s="149">
        <f t="shared" si="4"/>
        <v>1.2523193443595702</v>
      </c>
      <c r="AH20" s="150">
        <f t="shared" si="7"/>
        <v>11.726766322973548</v>
      </c>
    </row>
    <row r="21" spans="2:34" ht="15" customHeight="1" x14ac:dyDescent="0.25">
      <c r="Q21" s="69"/>
      <c r="Z21" s="116">
        <v>36</v>
      </c>
      <c r="AA21" s="144">
        <f t="shared" si="8"/>
        <v>6071.3711369148205</v>
      </c>
      <c r="AB21" s="150">
        <f>'Resistencia aerodinámica con Rr'!N40</f>
        <v>202.18945723062006</v>
      </c>
      <c r="AC21" s="150">
        <f t="shared" si="5"/>
        <v>5869.1816796842004</v>
      </c>
      <c r="AD21" s="150">
        <f>AC21/('Resistencia aerodinámica con Rr'!$C$4*'Resistencia aerodinámica con Rr'!$E$4)</f>
        <v>4.1847997716108383</v>
      </c>
      <c r="AE21" s="150">
        <f t="shared" si="3"/>
        <v>0.13275558828988079</v>
      </c>
      <c r="AF21" s="149">
        <f t="shared" si="6"/>
        <v>2.7253416669656758</v>
      </c>
      <c r="AG21" s="149">
        <f t="shared" si="4"/>
        <v>1.3275558828988079</v>
      </c>
      <c r="AH21" s="150">
        <f t="shared" si="7"/>
        <v>13.054322205872356</v>
      </c>
    </row>
    <row r="22" spans="2:34" x14ac:dyDescent="0.25">
      <c r="Z22" s="116">
        <v>38</v>
      </c>
      <c r="AA22" s="145">
        <f>S41</f>
        <v>4690.3142679126504</v>
      </c>
      <c r="AB22" s="150">
        <f>'Resistencia aerodinámica con Rr'!N41</f>
        <v>209.37405465253386</v>
      </c>
      <c r="AC22" s="150">
        <f t="shared" si="5"/>
        <v>4480.9402132601163</v>
      </c>
      <c r="AD22" s="150">
        <f>AC22/('Resistencia aerodinámica con Rr'!$C$4*'Resistencia aerodinámica con Rr'!$E$4)</f>
        <v>3.1949662839644324</v>
      </c>
      <c r="AE22" s="150">
        <f t="shared" si="3"/>
        <v>0.17388463795186024</v>
      </c>
      <c r="AF22" s="149">
        <f t="shared" si="6"/>
        <v>2.8992263049175362</v>
      </c>
      <c r="AG22" s="149">
        <f t="shared" si="4"/>
        <v>1.8354489561585248</v>
      </c>
      <c r="AH22" s="150">
        <f t="shared" si="7"/>
        <v>14.889771162030881</v>
      </c>
    </row>
    <row r="23" spans="2:34" x14ac:dyDescent="0.25">
      <c r="Z23" s="116">
        <v>40</v>
      </c>
      <c r="AA23" s="145">
        <f>S42-((S42-S41)*(K42-Z23))/(K42-K41)</f>
        <v>4699.4782032446283</v>
      </c>
      <c r="AB23" s="117">
        <f>'Resistencia aerodinámica con Rr'!N42</f>
        <v>213.05345187411569</v>
      </c>
      <c r="AC23" s="150">
        <f t="shared" si="5"/>
        <v>4486.4247513705122</v>
      </c>
      <c r="AD23" s="150">
        <f>AC23/('Resistencia aerodinámica con Rr'!$C$4*'Resistencia aerodinámica con Rr'!$E$4)</f>
        <v>3.1988768280716666</v>
      </c>
      <c r="AE23" s="150">
        <f t="shared" si="3"/>
        <v>0.17367206848362873</v>
      </c>
      <c r="AF23" s="149">
        <f t="shared" si="6"/>
        <v>3.072898373401165</v>
      </c>
      <c r="AG23" s="149">
        <f t="shared" si="4"/>
        <v>1.9296896498180969</v>
      </c>
      <c r="AH23" s="150">
        <f t="shared" si="7"/>
        <v>16.819460811848977</v>
      </c>
    </row>
    <row r="24" spans="2:34" x14ac:dyDescent="0.25">
      <c r="Z24" s="116">
        <v>42</v>
      </c>
      <c r="AA24" s="145">
        <f>S42</f>
        <v>4704.7352415821188</v>
      </c>
      <c r="AB24" s="150">
        <f>'Resistencia aerodinámica con Rr'!N42</f>
        <v>213.05345187411569</v>
      </c>
      <c r="AC24" s="150">
        <f t="shared" si="5"/>
        <v>4491.6817897080027</v>
      </c>
      <c r="AD24" s="150">
        <f>AC24/('Resistencia aerodinámica con Rr'!$C$4*'Resistencia aerodinámica con Rr'!$E$4)</f>
        <v>3.2026251620021409</v>
      </c>
      <c r="AE24" s="150">
        <f t="shared" si="3"/>
        <v>0.17346880370110082</v>
      </c>
      <c r="AF24" s="149">
        <f t="shared" si="6"/>
        <v>3.246367177102266</v>
      </c>
      <c r="AG24" s="149">
        <f t="shared" si="4"/>
        <v>2.0238027098461759</v>
      </c>
      <c r="AH24" s="150">
        <f t="shared" si="7"/>
        <v>18.843263521695153</v>
      </c>
    </row>
    <row r="25" spans="2:34" x14ac:dyDescent="0.25">
      <c r="Z25" s="116">
        <v>44</v>
      </c>
      <c r="AA25" s="145">
        <f>S43-((S43-S42)*(K43-Z25))/(K43-K42)</f>
        <v>4673.8053678705419</v>
      </c>
      <c r="AB25" s="150">
        <f>'Resistencia aerodinámica con Rr'!N43</f>
        <v>216.7909147694476</v>
      </c>
      <c r="AC25" s="150">
        <f t="shared" si="5"/>
        <v>4457.0144531010947</v>
      </c>
      <c r="AD25" s="150">
        <f>AC25/('Resistencia aerodinámica con Rr'!$C$4*'Resistencia aerodinámica con Rr'!$E$4)</f>
        <v>3.1779069184321531</v>
      </c>
      <c r="AE25" s="150">
        <f t="shared" si="3"/>
        <v>0.17481807045174361</v>
      </c>
      <c r="AF25" s="149">
        <f t="shared" si="6"/>
        <v>3.4211852475540097</v>
      </c>
      <c r="AG25" s="149">
        <f t="shared" si="4"/>
        <v>2.1366653055213107</v>
      </c>
      <c r="AH25" s="150">
        <f t="shared" si="7"/>
        <v>20.979928827216465</v>
      </c>
    </row>
    <row r="26" spans="2:34" x14ac:dyDescent="0.25">
      <c r="Z26" s="116">
        <v>46</v>
      </c>
      <c r="AA26" s="145">
        <f>S43</f>
        <v>4653.099800405751</v>
      </c>
      <c r="AB26" s="150">
        <f>'Resistencia aerodinámica con Rr'!N44</f>
        <v>224.44003758136137</v>
      </c>
      <c r="AC26" s="150">
        <f t="shared" si="5"/>
        <v>4428.6597628243899</v>
      </c>
      <c r="AD26" s="150">
        <f>AC26/('Resistencia aerodinámica con Rr'!$C$4*'Resistencia aerodinámica con Rr'!$E$4)</f>
        <v>3.1576896704630233</v>
      </c>
      <c r="AE26" s="150">
        <f t="shared" si="3"/>
        <v>0.17593735089049853</v>
      </c>
      <c r="AF26" s="149">
        <f t="shared" si="6"/>
        <v>3.5971225984445083</v>
      </c>
      <c r="AG26" s="149">
        <f t="shared" si="4"/>
        <v>2.2480883724897036</v>
      </c>
      <c r="AH26" s="150">
        <f t="shared" si="7"/>
        <v>23.228017199706169</v>
      </c>
    </row>
    <row r="27" spans="2:34" x14ac:dyDescent="0.25">
      <c r="Z27" s="116">
        <v>48</v>
      </c>
      <c r="AA27" s="145">
        <f>S44-((S44-S43)*(K44-Z27))/(K44-K43)</f>
        <v>4601.1366483160027</v>
      </c>
      <c r="AB27" s="150">
        <f>'Resistencia aerodinámica con Rr'!N46</f>
        <v>240.43507129018883</v>
      </c>
      <c r="AC27" s="150">
        <f t="shared" si="5"/>
        <v>4360.701577025814</v>
      </c>
      <c r="AD27" s="150">
        <f>AC27/('Resistencia aerodinámica con Rr'!$C$4*'Resistencia aerodinámica con Rr'!$E$4)</f>
        <v>3.1092346360255356</v>
      </c>
      <c r="AE27" s="150">
        <f t="shared" si="3"/>
        <v>0.17867919941407501</v>
      </c>
      <c r="AF27" s="149">
        <f t="shared" si="6"/>
        <v>3.7758017978585832</v>
      </c>
      <c r="AG27" s="149">
        <f t="shared" si="4"/>
        <v>2.3823893255209998</v>
      </c>
      <c r="AH27" s="150">
        <f t="shared" si="7"/>
        <v>25.61040652522717</v>
      </c>
    </row>
    <row r="28" spans="2:34" ht="15.75" thickBot="1" x14ac:dyDescent="0.3">
      <c r="Z28" s="116">
        <v>50</v>
      </c>
      <c r="AA28" s="145">
        <f>S44</f>
        <v>4560.7291757298099</v>
      </c>
      <c r="AB28" s="150">
        <f>'Resistencia aerodinámica con Rr'!N47</f>
        <v>248.78098218710264</v>
      </c>
      <c r="AC28" s="150">
        <f t="shared" si="5"/>
        <v>4311.9481935427075</v>
      </c>
      <c r="AD28" s="150">
        <f>AC28/('Resistencia aerodinámica con Rr'!$C$4*'Resistencia aerodinámica con Rr'!$E$4)</f>
        <v>3.0744728652710926</v>
      </c>
      <c r="AE28" s="150">
        <f t="shared" si="3"/>
        <v>0.18069944992231027</v>
      </c>
      <c r="AF28" s="149">
        <f t="shared" si="6"/>
        <v>3.9565012477808934</v>
      </c>
      <c r="AG28" s="149">
        <f t="shared" si="4"/>
        <v>2.509714582254309</v>
      </c>
      <c r="AH28" s="150">
        <f t="shared" si="7"/>
        <v>28.120121107481477</v>
      </c>
    </row>
    <row r="29" spans="2:34" ht="15.75" thickBot="1" x14ac:dyDescent="0.3">
      <c r="R29" s="216" t="s">
        <v>260</v>
      </c>
      <c r="S29" s="218"/>
      <c r="U29" s="228" t="s">
        <v>267</v>
      </c>
      <c r="V29" s="229"/>
      <c r="Z29" s="116">
        <v>52</v>
      </c>
      <c r="AA29" s="145">
        <f>S45-((S45-S44)*(K45-Z29))/(K45-K44)</f>
        <v>4498.849634661834</v>
      </c>
      <c r="AB29" s="150">
        <f>'Resistencia aerodinámica con Rr'!N48</f>
        <v>253.04103614618447</v>
      </c>
      <c r="AC29" s="150">
        <f t="shared" si="5"/>
        <v>4245.8085985156495</v>
      </c>
      <c r="AD29" s="150">
        <f>AC29/('Resistencia aerodinámica con Rr'!$C$4*'Resistencia aerodinámica con Rr'!$E$4)</f>
        <v>3.0273145087455613</v>
      </c>
      <c r="AE29" s="150">
        <f t="shared" si="3"/>
        <v>0.18351431737621574</v>
      </c>
      <c r="AF29" s="149">
        <f t="shared" si="6"/>
        <v>4.1400155651571096</v>
      </c>
      <c r="AG29" s="149">
        <f t="shared" si="4"/>
        <v>2.650762362100894</v>
      </c>
      <c r="AH29" s="150">
        <f t="shared" si="7"/>
        <v>30.770883469582373</v>
      </c>
    </row>
    <row r="30" spans="2:34" x14ac:dyDescent="0.25">
      <c r="R30" s="142" t="s">
        <v>262</v>
      </c>
      <c r="S30" s="143">
        <v>0.85</v>
      </c>
      <c r="U30" s="134">
        <f>'Resistencia aerodinámica con Rr'!I7</f>
        <v>6071.3711369148205</v>
      </c>
      <c r="V30" s="134" t="s">
        <v>131</v>
      </c>
      <c r="Z30" s="116">
        <v>54</v>
      </c>
      <c r="AA30" s="145">
        <f>S45</f>
        <v>4443.1090421495983</v>
      </c>
      <c r="AB30" s="117">
        <f>'Resistencia aerodinámica con Rr'!N49</f>
        <v>257.35915577901636</v>
      </c>
      <c r="AC30" s="150">
        <f t="shared" si="5"/>
        <v>4185.7498863705823</v>
      </c>
      <c r="AD30" s="150">
        <f>AC30/('Resistencia aerodinámica con Rr'!$C$4*'Resistencia aerodinámica con Rr'!$E$4)</f>
        <v>2.9844918975904329</v>
      </c>
      <c r="AE30" s="150">
        <f t="shared" si="3"/>
        <v>0.18614744975655331</v>
      </c>
      <c r="AF30" s="149">
        <f t="shared" si="6"/>
        <v>4.3261630149136625</v>
      </c>
      <c r="AG30" s="149">
        <f t="shared" si="4"/>
        <v>2.7922117463482996</v>
      </c>
      <c r="AH30" s="150">
        <f t="shared" si="7"/>
        <v>33.563095215930673</v>
      </c>
    </row>
    <row r="31" spans="2:34" x14ac:dyDescent="0.25">
      <c r="R31" s="140" t="s">
        <v>261</v>
      </c>
      <c r="S31" s="141">
        <v>0.9</v>
      </c>
      <c r="Z31" s="116">
        <v>56</v>
      </c>
      <c r="AA31" s="145">
        <f>S46-((S46-S45)*(K46-Z31))/(K46-K45)</f>
        <v>4376.5801003432907</v>
      </c>
      <c r="AB31" s="150">
        <f>'Resistencia aerodinámica con Rr'!N49</f>
        <v>257.35915577901636</v>
      </c>
      <c r="AC31" s="150">
        <f t="shared" si="5"/>
        <v>4119.2209445642748</v>
      </c>
      <c r="AD31" s="150">
        <f>AC31/('Resistencia aerodinámica con Rr'!$C$4*'Resistencia aerodinámica con Rr'!$E$4)</f>
        <v>2.9370559319531373</v>
      </c>
      <c r="AE31" s="150">
        <f t="shared" si="3"/>
        <v>0.18915389029929439</v>
      </c>
      <c r="AF31" s="149">
        <f t="shared" si="6"/>
        <v>4.5153169052129565</v>
      </c>
      <c r="AG31" s="149">
        <f t="shared" si="4"/>
        <v>2.9423938491001347</v>
      </c>
      <c r="AH31" s="150">
        <f t="shared" si="7"/>
        <v>36.505489065030808</v>
      </c>
    </row>
    <row r="32" spans="2:34" x14ac:dyDescent="0.25">
      <c r="Z32" s="116">
        <v>58</v>
      </c>
      <c r="AA32" s="145">
        <f>S46</f>
        <v>4307.2365292258</v>
      </c>
      <c r="AB32" s="150">
        <f>'Resistencia aerodinámica con Rr'!N50</f>
        <v>266.16959206593015</v>
      </c>
      <c r="AC32" s="150">
        <f t="shared" si="5"/>
        <v>4041.0669371598697</v>
      </c>
      <c r="AD32" s="150">
        <f>AC32/('Resistencia aerodinámica con Rr'!$C$4*'Resistencia aerodinámica con Rr'!$E$4)</f>
        <v>2.8813311494901033</v>
      </c>
      <c r="AE32" s="150">
        <f t="shared" si="3"/>
        <v>0.19281211590478584</v>
      </c>
      <c r="AF32" s="149">
        <f t="shared" si="6"/>
        <v>4.7081290211177427</v>
      </c>
      <c r="AG32" s="149">
        <f t="shared" si="4"/>
        <v>3.1064174229104382</v>
      </c>
      <c r="AH32" s="150">
        <f t="shared" si="7"/>
        <v>39.611906487941248</v>
      </c>
    </row>
    <row r="33" spans="1:34" ht="15.75" thickBot="1" x14ac:dyDescent="0.3">
      <c r="Z33" s="116">
        <v>60</v>
      </c>
      <c r="AA33" s="145">
        <f>S47-((S47-S46)*(K47-Z33))/(K47-K46)</f>
        <v>4237.0793132999679</v>
      </c>
      <c r="AB33" s="150">
        <f>'Resistencia aerodinámica con Rr'!N51</f>
        <v>275.21229104784391</v>
      </c>
      <c r="AC33" s="150">
        <f t="shared" si="5"/>
        <v>3961.8670222521241</v>
      </c>
      <c r="AD33" s="150">
        <f>AC33/('Resistencia aerodinámica con Rr'!$C$4*'Resistencia aerodinámica con Rr'!$E$4)</f>
        <v>2.8248606219266481</v>
      </c>
      <c r="AE33" s="150">
        <f t="shared" si="3"/>
        <v>0.1966665368348858</v>
      </c>
      <c r="AF33" s="149">
        <f t="shared" si="6"/>
        <v>4.9047955579526281</v>
      </c>
      <c r="AG33" s="149">
        <f t="shared" si="4"/>
        <v>3.2777756139147631</v>
      </c>
      <c r="AH33" s="150">
        <f t="shared" si="7"/>
        <v>42.88968210185601</v>
      </c>
    </row>
    <row r="34" spans="1:34" ht="15.75" thickBot="1" x14ac:dyDescent="0.3">
      <c r="J34" s="109" t="s">
        <v>247</v>
      </c>
      <c r="K34" s="109" t="s">
        <v>248</v>
      </c>
      <c r="L34" s="109" t="s">
        <v>249</v>
      </c>
      <c r="M34" s="109" t="s">
        <v>250</v>
      </c>
      <c r="N34" s="109" t="s">
        <v>251</v>
      </c>
      <c r="O34" s="109" t="s">
        <v>252</v>
      </c>
      <c r="R34" s="109" t="s">
        <v>247</v>
      </c>
      <c r="S34" s="109" t="s">
        <v>248</v>
      </c>
      <c r="T34" s="109" t="s">
        <v>249</v>
      </c>
      <c r="U34" s="109" t="s">
        <v>250</v>
      </c>
      <c r="V34" s="109" t="s">
        <v>251</v>
      </c>
      <c r="W34" s="109" t="s">
        <v>252</v>
      </c>
      <c r="Z34" s="116">
        <v>62</v>
      </c>
      <c r="AA34" s="145">
        <f>S47</f>
        <v>4152.428428514243</v>
      </c>
      <c r="AB34" s="150">
        <f>'Resistencia aerodinámica con Rr'!N53</f>
        <v>293.9944770966714</v>
      </c>
      <c r="AC34" s="150">
        <f t="shared" si="5"/>
        <v>3858.4339514175717</v>
      </c>
      <c r="AD34" s="150">
        <f>AC34/('Resistencia aerodinámica con Rr'!$C$4*'Resistencia aerodinámica con Rr'!$E$4)</f>
        <v>2.7511115518128855</v>
      </c>
      <c r="AE34" s="150">
        <f t="shared" si="3"/>
        <v>0.20193857831372344</v>
      </c>
      <c r="AF34" s="149">
        <f t="shared" si="6"/>
        <v>5.1067341362663514</v>
      </c>
      <c r="AG34" s="149">
        <f t="shared" si="4"/>
        <v>3.4778310709585702</v>
      </c>
      <c r="AH34" s="150">
        <f t="shared" si="7"/>
        <v>46.367513172814583</v>
      </c>
    </row>
    <row r="35" spans="1:34" ht="15.75" thickBot="1" x14ac:dyDescent="0.3">
      <c r="A35" t="s">
        <v>268</v>
      </c>
      <c r="B35" s="216" t="s">
        <v>259</v>
      </c>
      <c r="C35" s="217"/>
      <c r="D35" s="217"/>
      <c r="E35" s="217"/>
      <c r="F35" s="217"/>
      <c r="G35" s="218"/>
      <c r="I35" t="s">
        <v>268</v>
      </c>
      <c r="J35" s="216" t="s">
        <v>264</v>
      </c>
      <c r="K35" s="217"/>
      <c r="L35" s="217"/>
      <c r="M35" s="217"/>
      <c r="N35" s="217"/>
      <c r="O35" s="218"/>
      <c r="Q35" s="139" t="s">
        <v>268</v>
      </c>
      <c r="R35" s="216" t="s">
        <v>263</v>
      </c>
      <c r="S35" s="217"/>
      <c r="T35" s="217"/>
      <c r="U35" s="217"/>
      <c r="V35" s="217"/>
      <c r="W35" s="218"/>
      <c r="Z35" s="116">
        <v>64</v>
      </c>
      <c r="AA35" s="145">
        <f>S48-((S48-S47)*(K48-Z35))/(K48-K47)</f>
        <v>4076.7486278414922</v>
      </c>
      <c r="AB35" s="150">
        <f>'Resistencia aerodinámica con Rr'!N54</f>
        <v>298.83518779325323</v>
      </c>
      <c r="AC35" s="150">
        <f t="shared" si="5"/>
        <v>3777.913440048239</v>
      </c>
      <c r="AD35" s="150">
        <f>AC35/('Resistencia aerodinámica con Rr'!$C$4*'Resistencia aerodinámica con Rr'!$E$4)</f>
        <v>2.6936994224942881</v>
      </c>
      <c r="AE35" s="150">
        <f t="shared" si="3"/>
        <v>0.20624259370450737</v>
      </c>
      <c r="AF35" s="149">
        <f t="shared" si="6"/>
        <v>5.3129767299708588</v>
      </c>
      <c r="AG35" s="149">
        <f t="shared" si="4"/>
        <v>3.6665349991912422</v>
      </c>
      <c r="AH35" s="150">
        <f t="shared" si="7"/>
        <v>50.034048172005825</v>
      </c>
    </row>
    <row r="36" spans="1:34" x14ac:dyDescent="0.25">
      <c r="A36" s="1">
        <v>1000</v>
      </c>
      <c r="B36" s="1">
        <f t="shared" ref="B36:B52" si="10">$A36/$F$19</f>
        <v>78.102777319140912</v>
      </c>
      <c r="C36" s="1">
        <f t="shared" ref="C36:C52" si="11">$A36/$G$19</f>
        <v>143.03067993781596</v>
      </c>
      <c r="D36" s="1">
        <f t="shared" ref="D36:D52" si="12">$A36/$H$19</f>
        <v>218.89635957842313</v>
      </c>
      <c r="E36" s="1">
        <f t="shared" ref="E36:E52" si="13">$A36/$I$19</f>
        <v>305.14197798522684</v>
      </c>
      <c r="F36" s="1">
        <f t="shared" ref="F36:F52" si="14">$A36/$J$19</f>
        <v>383.70909325320463</v>
      </c>
      <c r="G36" s="1" t="e">
        <f t="shared" ref="G36:G52" si="15">$A36/$K$19</f>
        <v>#DIV/0!</v>
      </c>
      <c r="I36" s="1">
        <v>1000</v>
      </c>
      <c r="J36" s="135">
        <f t="shared" ref="J36:J52" si="16">(0.0036*$S$13)*B36*2*PI()/60</f>
        <v>9.0674434568187205</v>
      </c>
      <c r="K36" s="1">
        <f t="shared" ref="K36:K52" si="17">(0.0036*$S$13)*C36*2*PI()/60</f>
        <v>16.605332709578828</v>
      </c>
      <c r="L36" s="1">
        <f t="shared" ref="L36:L52" si="18">(0.0036*$S$13)*D36*2*PI()/60</f>
        <v>25.413057403457813</v>
      </c>
      <c r="M36" s="1">
        <f t="shared" ref="M36:M52" si="19">(0.0036*$S$13)*E36*2*PI()/60</f>
        <v>35.425854581035296</v>
      </c>
      <c r="N36" s="1">
        <f t="shared" ref="N36:N52" si="20">(0.0036*$S$13)*F36*2*PI()/60</f>
        <v>44.547205955606145</v>
      </c>
      <c r="O36" s="1" t="e">
        <f t="shared" ref="O36:O52" si="21">(0.0036*$S$13)*G36*2*PI()/60</f>
        <v>#DIV/0!</v>
      </c>
      <c r="Q36" s="1">
        <v>1000</v>
      </c>
      <c r="R36" s="135">
        <f>$O3*F$19*$S$30/($S$13/1000)</f>
        <v>2522.7547675883061</v>
      </c>
      <c r="S36" s="1">
        <f>$O3*G$19*$S$31/($S$13/1000)</f>
        <v>1458.5989402986979</v>
      </c>
      <c r="T36" s="1">
        <f>$O3*H$19*$S$31/($S$13/1000)</f>
        <v>953.07385919662863</v>
      </c>
      <c r="U36" s="1">
        <f>$O3*I$19*$S$31/($S$13/1000)</f>
        <v>683.69615863734407</v>
      </c>
      <c r="V36" s="1">
        <f>$O3*J$19*$S$31/($S$13/1000)</f>
        <v>543.7045977167711</v>
      </c>
      <c r="W36" s="1">
        <f t="shared" ref="W36:W51" si="22">$O3*K$19*$S$31/($S$13/1000)</f>
        <v>0</v>
      </c>
      <c r="Z36" s="116">
        <v>66</v>
      </c>
      <c r="AA36" s="145">
        <f>S48</f>
        <v>3970.8263229595227</v>
      </c>
      <c r="AB36" s="150">
        <f>'Resistencia aerodinámica con Rr'!N55</f>
        <v>303.7339641635852</v>
      </c>
      <c r="AC36" s="150">
        <f t="shared" si="5"/>
        <v>3667.0923587959373</v>
      </c>
      <c r="AD36" s="150">
        <f>AC36/('Resistencia aerodinámica con Rr'!$C$4*'Resistencia aerodinámica con Rr'!$E$4)</f>
        <v>2.6146826087671569</v>
      </c>
      <c r="AE36" s="150">
        <f t="shared" si="3"/>
        <v>0.21247533207003827</v>
      </c>
      <c r="AF36" s="149">
        <f t="shared" si="6"/>
        <v>5.5254520620408973</v>
      </c>
      <c r="AG36" s="149">
        <f t="shared" si="4"/>
        <v>3.8953810879507018</v>
      </c>
      <c r="AH36" s="150">
        <f t="shared" si="7"/>
        <v>53.929429259956528</v>
      </c>
    </row>
    <row r="37" spans="1:34" x14ac:dyDescent="0.25">
      <c r="A37" s="1">
        <v>1250</v>
      </c>
      <c r="B37" s="1">
        <f t="shared" si="10"/>
        <v>97.628471648926137</v>
      </c>
      <c r="C37" s="1">
        <f t="shared" si="11"/>
        <v>178.78834992226996</v>
      </c>
      <c r="D37" s="1">
        <f t="shared" si="12"/>
        <v>273.62044947302888</v>
      </c>
      <c r="E37" s="1">
        <f t="shared" si="13"/>
        <v>381.42747248153358</v>
      </c>
      <c r="F37" s="1">
        <f t="shared" si="14"/>
        <v>479.63636656650579</v>
      </c>
      <c r="G37" s="1" t="e">
        <f t="shared" si="15"/>
        <v>#DIV/0!</v>
      </c>
      <c r="I37" s="1">
        <v>1250</v>
      </c>
      <c r="J37" s="135">
        <f t="shared" si="16"/>
        <v>11.334304321023401</v>
      </c>
      <c r="K37" s="1">
        <f t="shared" si="17"/>
        <v>20.75666588697354</v>
      </c>
      <c r="L37" s="1">
        <f t="shared" si="18"/>
        <v>31.766321754322259</v>
      </c>
      <c r="M37" s="1">
        <f t="shared" si="19"/>
        <v>44.282318226294116</v>
      </c>
      <c r="N37" s="1">
        <f t="shared" si="20"/>
        <v>55.684007444507678</v>
      </c>
      <c r="O37" s="1" t="e">
        <f t="shared" si="21"/>
        <v>#DIV/0!</v>
      </c>
      <c r="Q37" s="1">
        <v>1250</v>
      </c>
      <c r="R37" s="135">
        <f t="shared" ref="R37:R52" si="23">$O4*F$19*$S$30/($S$13/1000)</f>
        <v>5033.3814059150473</v>
      </c>
      <c r="S37" s="1">
        <f t="shared" ref="S37:S52" si="24">$O4*G$19*$S$31/($S$13/1000)</f>
        <v>2910.1856744503684</v>
      </c>
      <c r="T37" s="1">
        <f t="shared" ref="T37:T52" si="25">$O4*H$19*$S$31/($S$13/1000)</f>
        <v>1901.5658212113897</v>
      </c>
      <c r="U37" s="1">
        <f t="shared" ref="U37:U52" si="26">$O4*I$19*$S$31/($S$13/1000)</f>
        <v>1364.1054518630665</v>
      </c>
      <c r="V37" s="1">
        <f t="shared" ref="V37:W52" si="27">$O4*J$19*$S$31/($S$13/1000)</f>
        <v>1084.7953386584263</v>
      </c>
      <c r="W37" s="1">
        <f t="shared" si="22"/>
        <v>0</v>
      </c>
      <c r="Z37" s="116">
        <v>68</v>
      </c>
      <c r="AA37" s="146">
        <f>T43-((T43-T42)*(L43-Z37))/(L43-L42)</f>
        <v>3050.4314135979407</v>
      </c>
      <c r="AB37" s="117">
        <f>'Resistencia aerodinámica con Rr'!N56</f>
        <v>313.70571392549886</v>
      </c>
      <c r="AC37" s="150">
        <f t="shared" si="5"/>
        <v>2736.7256996724418</v>
      </c>
      <c r="AD37" s="150">
        <f>AC37/('Resistencia aerodinámica con Rr'!$C$4*'Resistencia aerodinámica con Rr'!$E$4)</f>
        <v>1.9513195719589602</v>
      </c>
      <c r="AE37" s="150">
        <f t="shared" si="3"/>
        <v>0.28470762223628221</v>
      </c>
      <c r="AF37" s="149">
        <f t="shared" si="6"/>
        <v>5.8101596842771794</v>
      </c>
      <c r="AG37" s="149">
        <f t="shared" si="4"/>
        <v>5.3778106422408856</v>
      </c>
      <c r="AH37" s="150">
        <f t="shared" si="7"/>
        <v>59.307239902197416</v>
      </c>
    </row>
    <row r="38" spans="1:34" x14ac:dyDescent="0.25">
      <c r="A38" s="1">
        <v>1500</v>
      </c>
      <c r="B38" s="1">
        <f t="shared" si="10"/>
        <v>117.15416597871138</v>
      </c>
      <c r="C38" s="1">
        <f t="shared" si="11"/>
        <v>214.54601990672396</v>
      </c>
      <c r="D38" s="1">
        <f t="shared" si="12"/>
        <v>328.3445393676347</v>
      </c>
      <c r="E38" s="1">
        <f t="shared" si="13"/>
        <v>457.71296697784032</v>
      </c>
      <c r="F38" s="1">
        <f t="shared" si="14"/>
        <v>575.56363987980694</v>
      </c>
      <c r="G38" s="1" t="e">
        <f t="shared" si="15"/>
        <v>#DIV/0!</v>
      </c>
      <c r="I38" s="1">
        <v>1500</v>
      </c>
      <c r="J38" s="135">
        <f t="shared" si="16"/>
        <v>13.601165185228085</v>
      </c>
      <c r="K38" s="1">
        <f t="shared" si="17"/>
        <v>24.907999064368248</v>
      </c>
      <c r="L38" s="1">
        <f t="shared" si="18"/>
        <v>38.11958610518672</v>
      </c>
      <c r="M38" s="1">
        <f t="shared" si="19"/>
        <v>53.138781871552951</v>
      </c>
      <c r="N38" s="1">
        <f t="shared" si="20"/>
        <v>66.820808933409211</v>
      </c>
      <c r="O38" s="1" t="e">
        <f t="shared" si="21"/>
        <v>#DIV/0!</v>
      </c>
      <c r="Q38" s="1">
        <v>1500</v>
      </c>
      <c r="R38" s="135">
        <f t="shared" si="23"/>
        <v>6544.6449990331648</v>
      </c>
      <c r="S38" s="1">
        <f t="shared" si="24"/>
        <v>3783.9636190031692</v>
      </c>
      <c r="T38" s="1">
        <f t="shared" si="25"/>
        <v>2472.5074931731806</v>
      </c>
      <c r="U38" s="1">
        <f t="shared" si="26"/>
        <v>1773.6756275211169</v>
      </c>
      <c r="V38" s="1">
        <f t="shared" si="27"/>
        <v>1410.5031619066588</v>
      </c>
      <c r="W38" s="1">
        <f t="shared" si="22"/>
        <v>0</v>
      </c>
      <c r="Z38" s="116">
        <v>70</v>
      </c>
      <c r="AA38" s="146">
        <f>T43</f>
        <v>3040.4161565423901</v>
      </c>
      <c r="AB38" s="150">
        <f>'Resistencia aerodinámica con Rr'!N56</f>
        <v>313.70571392549886</v>
      </c>
      <c r="AC38" s="150">
        <f t="shared" si="5"/>
        <v>2726.7104426168912</v>
      </c>
      <c r="AD38" s="150">
        <f>AC38/('Resistencia aerodinámica con Rr'!$C$4*'Resistencia aerodinámica con Rr'!$E$4)</f>
        <v>1.944178568710796</v>
      </c>
      <c r="AE38" s="150">
        <f t="shared" si="3"/>
        <v>0.28575335851168754</v>
      </c>
      <c r="AF38" s="149">
        <f t="shared" si="6"/>
        <v>6.095913042788867</v>
      </c>
      <c r="AG38" s="149">
        <f t="shared" si="4"/>
        <v>5.556315304393924</v>
      </c>
      <c r="AH38" s="150">
        <f t="shared" si="7"/>
        <v>64.863555206591343</v>
      </c>
    </row>
    <row r="39" spans="1:34" x14ac:dyDescent="0.25">
      <c r="A39" s="1">
        <v>1750</v>
      </c>
      <c r="B39" s="1">
        <f t="shared" si="10"/>
        <v>136.67986030849659</v>
      </c>
      <c r="C39" s="1">
        <f t="shared" si="11"/>
        <v>250.30368989117795</v>
      </c>
      <c r="D39" s="1">
        <f t="shared" si="12"/>
        <v>383.06862926224045</v>
      </c>
      <c r="E39" s="1">
        <f t="shared" si="13"/>
        <v>533.99846147414701</v>
      </c>
      <c r="F39" s="1">
        <f t="shared" si="14"/>
        <v>671.4909131931081</v>
      </c>
      <c r="G39" s="1" t="e">
        <f t="shared" si="15"/>
        <v>#DIV/0!</v>
      </c>
      <c r="I39" s="1">
        <v>1750</v>
      </c>
      <c r="J39" s="135">
        <f t="shared" si="16"/>
        <v>15.868026049432761</v>
      </c>
      <c r="K39" s="1">
        <f t="shared" si="17"/>
        <v>29.059332241762956</v>
      </c>
      <c r="L39" s="1">
        <f t="shared" si="18"/>
        <v>44.472850456051169</v>
      </c>
      <c r="M39" s="1">
        <f t="shared" si="19"/>
        <v>61.995245516811764</v>
      </c>
      <c r="N39" s="1">
        <f t="shared" si="20"/>
        <v>77.957610422310765</v>
      </c>
      <c r="O39" s="1" t="e">
        <f t="shared" si="21"/>
        <v>#DIV/0!</v>
      </c>
      <c r="Q39" s="1">
        <v>1750</v>
      </c>
      <c r="R39" s="135">
        <f t="shared" si="23"/>
        <v>7431.4193814399023</v>
      </c>
      <c r="S39" s="1">
        <f t="shared" si="24"/>
        <v>4296.6762263007085</v>
      </c>
      <c r="T39" s="1">
        <f t="shared" si="25"/>
        <v>2807.5228080723973</v>
      </c>
      <c r="U39" s="1">
        <f t="shared" si="26"/>
        <v>2014.001895701786</v>
      </c>
      <c r="V39" s="1">
        <f t="shared" si="27"/>
        <v>1601.6209491154848</v>
      </c>
      <c r="W39" s="1">
        <f t="shared" si="22"/>
        <v>0</v>
      </c>
      <c r="Z39" s="116">
        <v>72</v>
      </c>
      <c r="AA39" s="146">
        <f>T44-((T44-T43)*(L44-Z39))/(L44-L43)</f>
        <v>3020.3320956054226</v>
      </c>
      <c r="AB39" s="150">
        <f>'Resistencia aerodinámica con Rr'!N57</f>
        <v>323.90972638241271</v>
      </c>
      <c r="AC39" s="150">
        <f t="shared" si="5"/>
        <v>2696.4223692230098</v>
      </c>
      <c r="AD39" s="150">
        <f>AC39/('Resistencia aerodinámica con Rr'!$C$4*'Resistencia aerodinámica con Rr'!$E$4)</f>
        <v>1.922582794454909</v>
      </c>
      <c r="AE39" s="150">
        <f t="shared" si="3"/>
        <v>0.28896313706638926</v>
      </c>
      <c r="AF39" s="149">
        <f t="shared" si="6"/>
        <v>6.3848761798552562</v>
      </c>
      <c r="AG39" s="149">
        <f t="shared" si="4"/>
        <v>5.7792627413277851</v>
      </c>
      <c r="AH39" s="150">
        <f t="shared" si="7"/>
        <v>70.642817947919127</v>
      </c>
    </row>
    <row r="40" spans="1:34" x14ac:dyDescent="0.25">
      <c r="A40" s="1">
        <v>2000</v>
      </c>
      <c r="B40" s="1">
        <f t="shared" si="10"/>
        <v>156.20555463828182</v>
      </c>
      <c r="C40" s="1">
        <f t="shared" si="11"/>
        <v>286.06135987563192</v>
      </c>
      <c r="D40" s="1">
        <f t="shared" si="12"/>
        <v>437.79271915684626</v>
      </c>
      <c r="E40" s="1">
        <f t="shared" si="13"/>
        <v>610.28395597045369</v>
      </c>
      <c r="F40" s="1">
        <f t="shared" si="14"/>
        <v>767.41818650640926</v>
      </c>
      <c r="G40" s="1" t="e">
        <f t="shared" si="15"/>
        <v>#DIV/0!</v>
      </c>
      <c r="I40" s="1">
        <v>2000</v>
      </c>
      <c r="J40" s="135">
        <f t="shared" si="16"/>
        <v>18.134886913637441</v>
      </c>
      <c r="K40" s="1">
        <f t="shared" si="17"/>
        <v>33.210665419157657</v>
      </c>
      <c r="L40" s="1">
        <f t="shared" si="18"/>
        <v>50.826114806915626</v>
      </c>
      <c r="M40" s="1">
        <f t="shared" si="19"/>
        <v>70.851709162070591</v>
      </c>
      <c r="N40" s="1">
        <f t="shared" si="20"/>
        <v>89.094411911212291</v>
      </c>
      <c r="O40" s="1" t="e">
        <f t="shared" si="21"/>
        <v>#DIV/0!</v>
      </c>
      <c r="Q40" s="1">
        <v>2000</v>
      </c>
      <c r="R40" s="135">
        <f t="shared" si="23"/>
        <v>7908.1705576690465</v>
      </c>
      <c r="S40" s="1">
        <f t="shared" si="24"/>
        <v>4572.3228207966004</v>
      </c>
      <c r="T40" s="1">
        <f t="shared" si="25"/>
        <v>2987.6350763130476</v>
      </c>
      <c r="U40" s="1">
        <f t="shared" si="26"/>
        <v>2143.2070614204131</v>
      </c>
      <c r="V40" s="1">
        <f t="shared" si="27"/>
        <v>1704.3704552557367</v>
      </c>
      <c r="W40" s="1">
        <f t="shared" si="22"/>
        <v>0</v>
      </c>
      <c r="Z40" s="116">
        <v>74</v>
      </c>
      <c r="AA40" s="146">
        <f>T44-((T44-T43)*(L44-Z40))/(L44-L43)</f>
        <v>3001.3319200196006</v>
      </c>
      <c r="AB40" s="150">
        <f>'Resistencia aerodinámica con Rr'!N58</f>
        <v>334.34600153432638</v>
      </c>
      <c r="AC40" s="150">
        <f t="shared" si="5"/>
        <v>2666.9859184852744</v>
      </c>
      <c r="AD40" s="150">
        <f>AC40/('Resistencia aerodinámica con Rr'!$C$4*'Resistencia aerodinámica con Rr'!$E$4)</f>
        <v>1.9015942377791617</v>
      </c>
      <c r="AE40" s="150">
        <f t="shared" si="3"/>
        <v>0.29215252366581584</v>
      </c>
      <c r="AF40" s="149">
        <f t="shared" si="6"/>
        <v>6.6770287035210725</v>
      </c>
      <c r="AG40" s="149">
        <f t="shared" si="4"/>
        <v>6.005357430908437</v>
      </c>
      <c r="AH40" s="150">
        <f t="shared" si="7"/>
        <v>76.64817537882756</v>
      </c>
    </row>
    <row r="41" spans="1:34" x14ac:dyDescent="0.25">
      <c r="A41" s="1">
        <v>2250</v>
      </c>
      <c r="B41" s="1">
        <f t="shared" si="10"/>
        <v>175.73124896806706</v>
      </c>
      <c r="C41" s="1">
        <f t="shared" si="11"/>
        <v>321.81902986008595</v>
      </c>
      <c r="D41" s="1">
        <f t="shared" si="12"/>
        <v>492.51680905145201</v>
      </c>
      <c r="E41" s="1">
        <f t="shared" si="13"/>
        <v>686.56945046676049</v>
      </c>
      <c r="F41" s="1">
        <f t="shared" si="14"/>
        <v>863.34545981971041</v>
      </c>
      <c r="G41" s="1" t="e">
        <f t="shared" si="15"/>
        <v>#DIV/0!</v>
      </c>
      <c r="I41" s="1">
        <v>2250</v>
      </c>
      <c r="J41" s="135">
        <f t="shared" si="16"/>
        <v>20.401747777842125</v>
      </c>
      <c r="K41" s="136">
        <f t="shared" si="17"/>
        <v>37.361998596552368</v>
      </c>
      <c r="L41" s="1">
        <f t="shared" si="18"/>
        <v>57.179379157780076</v>
      </c>
      <c r="M41" s="1">
        <f t="shared" si="19"/>
        <v>79.708172807329419</v>
      </c>
      <c r="N41" s="1">
        <f t="shared" si="20"/>
        <v>100.23121340011384</v>
      </c>
      <c r="O41" s="1" t="e">
        <f t="shared" si="21"/>
        <v>#DIV/0!</v>
      </c>
      <c r="Q41" s="1">
        <v>2250</v>
      </c>
      <c r="R41" s="135">
        <f t="shared" si="23"/>
        <v>8112.2454939127974</v>
      </c>
      <c r="S41" s="136">
        <f t="shared" si="24"/>
        <v>4690.3142679126504</v>
      </c>
      <c r="T41" s="1">
        <f t="shared" si="25"/>
        <v>3064.7327354077811</v>
      </c>
      <c r="U41" s="1">
        <f t="shared" si="26"/>
        <v>2198.5137649401513</v>
      </c>
      <c r="V41" s="1">
        <f t="shared" si="27"/>
        <v>1748.3527251695723</v>
      </c>
      <c r="W41" s="1">
        <f t="shared" si="22"/>
        <v>0</v>
      </c>
      <c r="Z41" s="116">
        <v>76</v>
      </c>
      <c r="AA41" s="146">
        <f>T44</f>
        <v>2980.0595874376068</v>
      </c>
      <c r="AB41" s="150">
        <f>'Resistencia aerodinámica con Rr'!N60</f>
        <v>350.43590681532203</v>
      </c>
      <c r="AC41" s="150">
        <f t="shared" si="5"/>
        <v>2629.6236806222846</v>
      </c>
      <c r="AD41" s="150">
        <f>AC41/('Resistencia aerodinámica con Rr'!$C$4*'Resistencia aerodinámica con Rr'!$E$4)</f>
        <v>1.8749544959873687</v>
      </c>
      <c r="AE41" s="150">
        <f t="shared" si="3"/>
        <v>0.29630348722836325</v>
      </c>
      <c r="AF41" s="149">
        <f t="shared" si="6"/>
        <v>6.9733321907494359</v>
      </c>
      <c r="AG41" s="149">
        <f t="shared" si="4"/>
        <v>6.2552958414876683</v>
      </c>
      <c r="AH41" s="150">
        <f t="shared" si="7"/>
        <v>82.903471220315225</v>
      </c>
    </row>
    <row r="42" spans="1:34" x14ac:dyDescent="0.25">
      <c r="A42" s="1">
        <v>2500</v>
      </c>
      <c r="B42" s="1">
        <f t="shared" si="10"/>
        <v>195.25694329785227</v>
      </c>
      <c r="C42" s="1">
        <f t="shared" si="11"/>
        <v>357.57669984453992</v>
      </c>
      <c r="D42" s="1">
        <f t="shared" si="12"/>
        <v>547.24089894605777</v>
      </c>
      <c r="E42" s="1">
        <f t="shared" si="13"/>
        <v>762.85494496306717</v>
      </c>
      <c r="F42" s="1">
        <f t="shared" si="14"/>
        <v>959.27273313301157</v>
      </c>
      <c r="G42" s="1" t="e">
        <f t="shared" si="15"/>
        <v>#DIV/0!</v>
      </c>
      <c r="I42" s="1">
        <v>2500</v>
      </c>
      <c r="J42" s="135">
        <f t="shared" si="16"/>
        <v>22.668608642046802</v>
      </c>
      <c r="K42" s="136">
        <f t="shared" si="17"/>
        <v>41.51333177394708</v>
      </c>
      <c r="L42" s="1">
        <f t="shared" si="18"/>
        <v>63.532643508644519</v>
      </c>
      <c r="M42" s="1">
        <f t="shared" si="19"/>
        <v>88.564636452588232</v>
      </c>
      <c r="N42" s="1">
        <f t="shared" si="20"/>
        <v>111.36801488901536</v>
      </c>
      <c r="O42" s="1" t="e">
        <f t="shared" si="21"/>
        <v>#DIV/0!</v>
      </c>
      <c r="Q42" s="1">
        <v>2500</v>
      </c>
      <c r="R42" s="135">
        <f t="shared" si="23"/>
        <v>8137.1876346704657</v>
      </c>
      <c r="S42" s="136">
        <f t="shared" si="24"/>
        <v>4704.7352415821188</v>
      </c>
      <c r="T42" s="1">
        <f t="shared" si="25"/>
        <v>3074.1556498558866</v>
      </c>
      <c r="U42" s="1">
        <f t="shared" si="26"/>
        <v>2205.27337790107</v>
      </c>
      <c r="V42" s="1">
        <f t="shared" si="27"/>
        <v>1753.7282601922677</v>
      </c>
      <c r="W42" s="1">
        <f t="shared" si="22"/>
        <v>0</v>
      </c>
      <c r="Z42" s="116">
        <v>78</v>
      </c>
      <c r="AA42" s="146">
        <f>T45-((T45-T44)*(L45-Z42))/(L45-L44)</f>
        <v>2958.7589652111196</v>
      </c>
      <c r="AB42" s="150">
        <f>'Resistencia aerodinámica con Rr'!N61</f>
        <v>355.91533992315391</v>
      </c>
      <c r="AC42" s="150">
        <f t="shared" si="5"/>
        <v>2602.8436252879656</v>
      </c>
      <c r="AD42" s="150">
        <f>AC42/('Resistencia aerodinámica con Rr'!$C$4*'Resistencia aerodinámica con Rr'!$E$4)</f>
        <v>1.855859982380011</v>
      </c>
      <c r="AE42" s="150">
        <f t="shared" si="3"/>
        <v>0.29935208519507722</v>
      </c>
      <c r="AF42" s="149">
        <f t="shared" si="6"/>
        <v>7.2726842759445134</v>
      </c>
      <c r="AG42" s="149">
        <f t="shared" si="4"/>
        <v>6.485961845893339</v>
      </c>
      <c r="AH42" s="150">
        <f t="shared" si="7"/>
        <v>89.389433066208568</v>
      </c>
    </row>
    <row r="43" spans="1:34" x14ac:dyDescent="0.25">
      <c r="A43" s="1">
        <v>2750</v>
      </c>
      <c r="B43" s="1">
        <f t="shared" si="10"/>
        <v>214.78263762763751</v>
      </c>
      <c r="C43" s="1">
        <f t="shared" si="11"/>
        <v>393.33436982899394</v>
      </c>
      <c r="D43" s="1">
        <f t="shared" si="12"/>
        <v>601.96498884066352</v>
      </c>
      <c r="E43" s="1">
        <f t="shared" si="13"/>
        <v>839.14043945937385</v>
      </c>
      <c r="F43" s="1">
        <f t="shared" si="14"/>
        <v>1055.2000064463127</v>
      </c>
      <c r="G43" s="1" t="e">
        <f t="shared" si="15"/>
        <v>#DIV/0!</v>
      </c>
      <c r="I43" s="1">
        <v>2750</v>
      </c>
      <c r="J43" s="135">
        <f t="shared" si="16"/>
        <v>24.935469506251486</v>
      </c>
      <c r="K43" s="136">
        <f t="shared" si="17"/>
        <v>45.664664951341791</v>
      </c>
      <c r="L43" s="137">
        <f t="shared" si="18"/>
        <v>69.885907859508976</v>
      </c>
      <c r="M43" s="1">
        <f t="shared" si="19"/>
        <v>97.421100097847059</v>
      </c>
      <c r="N43" s="1">
        <f t="shared" si="20"/>
        <v>122.50481637791691</v>
      </c>
      <c r="O43" s="1" t="e">
        <f t="shared" si="21"/>
        <v>#DIV/0!</v>
      </c>
      <c r="Q43" s="1">
        <v>2750</v>
      </c>
      <c r="R43" s="135">
        <f t="shared" si="23"/>
        <v>8047.8803194070051</v>
      </c>
      <c r="S43" s="136">
        <f t="shared" si="24"/>
        <v>4653.099800405751</v>
      </c>
      <c r="T43" s="137">
        <f t="shared" si="25"/>
        <v>3040.4161565423901</v>
      </c>
      <c r="U43" s="1">
        <f t="shared" si="26"/>
        <v>2181.0700470152015</v>
      </c>
      <c r="V43" s="1">
        <f t="shared" si="27"/>
        <v>1734.4807302530403</v>
      </c>
      <c r="W43" s="1">
        <f t="shared" si="22"/>
        <v>0</v>
      </c>
      <c r="Z43" s="116">
        <v>80</v>
      </c>
      <c r="AA43" s="146">
        <f>T45-((T45-T44)*(L45-Z43))/(L45-L44)</f>
        <v>2934.5650919067866</v>
      </c>
      <c r="AB43" s="150">
        <f>'Resistencia aerodinámica con Rr'!N62</f>
        <v>367.04840316006772</v>
      </c>
      <c r="AC43" s="150">
        <f t="shared" si="5"/>
        <v>2567.516688746719</v>
      </c>
      <c r="AD43" s="150">
        <f>AC43/('Resistencia aerodinámica con Rr'!$C$4*'Resistencia aerodinámica con Rr'!$E$4)</f>
        <v>1.8306714358265377</v>
      </c>
      <c r="AE43" s="150">
        <f t="shared" si="3"/>
        <v>0.30347092584897706</v>
      </c>
      <c r="AF43" s="149">
        <f t="shared" si="6"/>
        <v>7.5761552017934903</v>
      </c>
      <c r="AG43" s="149">
        <f t="shared" si="4"/>
        <v>6.7437983521994891</v>
      </c>
      <c r="AH43" s="150">
        <f t="shared" si="7"/>
        <v>96.133231418408059</v>
      </c>
    </row>
    <row r="44" spans="1:34" x14ac:dyDescent="0.25">
      <c r="A44" s="1">
        <v>3000</v>
      </c>
      <c r="B44" s="1">
        <f t="shared" si="10"/>
        <v>234.30833195742275</v>
      </c>
      <c r="C44" s="1">
        <f t="shared" si="11"/>
        <v>429.09203981344791</v>
      </c>
      <c r="D44" s="1">
        <f t="shared" si="12"/>
        <v>656.68907873526939</v>
      </c>
      <c r="E44" s="1">
        <f t="shared" si="13"/>
        <v>915.42593395568065</v>
      </c>
      <c r="F44" s="1">
        <f t="shared" si="14"/>
        <v>1151.1272797596139</v>
      </c>
      <c r="G44" s="1" t="e">
        <f t="shared" si="15"/>
        <v>#DIV/0!</v>
      </c>
      <c r="I44" s="1">
        <v>3000</v>
      </c>
      <c r="J44" s="135">
        <f t="shared" si="16"/>
        <v>27.202330370456171</v>
      </c>
      <c r="K44" s="136">
        <f t="shared" si="17"/>
        <v>49.815998128736496</v>
      </c>
      <c r="L44" s="137">
        <f t="shared" si="18"/>
        <v>76.239172210373439</v>
      </c>
      <c r="M44" s="138">
        <f t="shared" si="19"/>
        <v>106.2775637431059</v>
      </c>
      <c r="N44" s="1">
        <f t="shared" si="20"/>
        <v>133.64161786681842</v>
      </c>
      <c r="O44" s="1" t="e">
        <f t="shared" si="21"/>
        <v>#DIV/0!</v>
      </c>
      <c r="Q44" s="1">
        <v>3000</v>
      </c>
      <c r="R44" s="135">
        <f t="shared" si="23"/>
        <v>7888.1184908822834</v>
      </c>
      <c r="S44" s="136">
        <f t="shared" si="24"/>
        <v>4560.7291757298099</v>
      </c>
      <c r="T44" s="137">
        <f t="shared" si="25"/>
        <v>2980.0595874376068</v>
      </c>
      <c r="U44" s="138">
        <f t="shared" si="26"/>
        <v>2137.7727159140695</v>
      </c>
      <c r="V44" s="1">
        <f t="shared" si="27"/>
        <v>1700.0488299254596</v>
      </c>
      <c r="W44" s="1">
        <f t="shared" si="22"/>
        <v>0</v>
      </c>
      <c r="Z44" s="116">
        <v>82</v>
      </c>
      <c r="AA44" s="146">
        <f>T45</f>
        <v>2903.204551050731</v>
      </c>
      <c r="AB44" s="117">
        <f>'Resistencia aerodinámica con Rr'!N63</f>
        <v>378.41372909198139</v>
      </c>
      <c r="AC44" s="150">
        <f t="shared" si="5"/>
        <v>2524.7908219587498</v>
      </c>
      <c r="AD44" s="150">
        <f>AC44/('Resistencia aerodinámica con Rr'!$C$4*'Resistencia aerodinámica con Rr'!$E$4)</f>
        <v>1.8002073596853831</v>
      </c>
      <c r="AE44" s="150">
        <f t="shared" si="3"/>
        <v>0.30860642390254883</v>
      </c>
      <c r="AF44" s="149">
        <f t="shared" si="6"/>
        <v>7.8847616256960391</v>
      </c>
      <c r="AG44" s="149">
        <f t="shared" si="4"/>
        <v>7.029368544446946</v>
      </c>
      <c r="AH44" s="150">
        <f t="shared" si="7"/>
        <v>103.16259996285501</v>
      </c>
    </row>
    <row r="45" spans="1:34" x14ac:dyDescent="0.25">
      <c r="A45" s="1">
        <v>3250</v>
      </c>
      <c r="B45" s="1">
        <f t="shared" si="10"/>
        <v>253.83402628720796</v>
      </c>
      <c r="C45" s="1">
        <f t="shared" si="11"/>
        <v>464.84970979790194</v>
      </c>
      <c r="D45" s="1">
        <f t="shared" si="12"/>
        <v>711.41316862987514</v>
      </c>
      <c r="E45" s="1">
        <f t="shared" si="13"/>
        <v>991.71142845198733</v>
      </c>
      <c r="F45" s="1">
        <f t="shared" si="14"/>
        <v>1247.054553072915</v>
      </c>
      <c r="G45" s="1" t="e">
        <f t="shared" si="15"/>
        <v>#DIV/0!</v>
      </c>
      <c r="I45" s="1">
        <v>3250</v>
      </c>
      <c r="J45" s="135">
        <f t="shared" si="16"/>
        <v>29.469191234660844</v>
      </c>
      <c r="K45" s="136">
        <f t="shared" si="17"/>
        <v>53.967331306131207</v>
      </c>
      <c r="L45" s="137">
        <f t="shared" si="18"/>
        <v>82.592436561237889</v>
      </c>
      <c r="M45" s="138">
        <f t="shared" si="19"/>
        <v>115.13402738836471</v>
      </c>
      <c r="N45" s="89">
        <f t="shared" si="20"/>
        <v>144.77841935571996</v>
      </c>
      <c r="O45" s="1" t="e">
        <f t="shared" si="21"/>
        <v>#DIV/0!</v>
      </c>
      <c r="Q45" s="1">
        <v>3250</v>
      </c>
      <c r="R45" s="135">
        <f t="shared" si="23"/>
        <v>7684.6857688668088</v>
      </c>
      <c r="S45" s="136">
        <f t="shared" si="24"/>
        <v>4443.1090421495983</v>
      </c>
      <c r="T45" s="137">
        <f t="shared" si="25"/>
        <v>2903.204551050731</v>
      </c>
      <c r="U45" s="138">
        <f t="shared" si="26"/>
        <v>2082.6400599896565</v>
      </c>
      <c r="V45" s="89">
        <f t="shared" si="27"/>
        <v>1656.2049701468934</v>
      </c>
      <c r="W45" s="1">
        <f t="shared" si="22"/>
        <v>0</v>
      </c>
      <c r="Z45" s="116">
        <v>84</v>
      </c>
      <c r="AA45" s="146">
        <f>T46-((T46-T45)*(L46-Z45))/(L46-L45)</f>
        <v>2883.5350509128139</v>
      </c>
      <c r="AB45" s="150">
        <f>'Resistencia aerodinámica con Rr'!N63</f>
        <v>378.41372909198139</v>
      </c>
      <c r="AC45" s="150">
        <f t="shared" si="5"/>
        <v>2505.1213218208322</v>
      </c>
      <c r="AD45" s="150">
        <f>AC45/('Resistencia aerodinámica con Rr'!$C$4*'Resistencia aerodinámica con Rr'!$E$4)</f>
        <v>1.7861827606565648</v>
      </c>
      <c r="AE45" s="150">
        <f t="shared" si="3"/>
        <v>0.31102951377234461</v>
      </c>
      <c r="AF45" s="149">
        <f t="shared" si="6"/>
        <v>8.1957911394683833</v>
      </c>
      <c r="AG45" s="149">
        <f t="shared" si="4"/>
        <v>7.2573553213547068</v>
      </c>
      <c r="AH45" s="150">
        <f t="shared" si="7"/>
        <v>110.41995528420972</v>
      </c>
    </row>
    <row r="46" spans="1:34" x14ac:dyDescent="0.25">
      <c r="A46" s="1">
        <v>3500</v>
      </c>
      <c r="B46" s="1">
        <f t="shared" si="10"/>
        <v>273.35972061699317</v>
      </c>
      <c r="C46" s="1">
        <f t="shared" si="11"/>
        <v>500.60737978235591</v>
      </c>
      <c r="D46" s="1">
        <f t="shared" si="12"/>
        <v>766.1372585244809</v>
      </c>
      <c r="E46" s="1">
        <f t="shared" si="13"/>
        <v>1067.996922948294</v>
      </c>
      <c r="F46" s="1">
        <f t="shared" si="14"/>
        <v>1342.9818263862162</v>
      </c>
      <c r="G46" s="1" t="e">
        <f t="shared" si="15"/>
        <v>#DIV/0!</v>
      </c>
      <c r="I46" s="1">
        <v>3500</v>
      </c>
      <c r="J46" s="135">
        <f t="shared" si="16"/>
        <v>31.736052098865521</v>
      </c>
      <c r="K46" s="136">
        <f t="shared" si="17"/>
        <v>58.118664483525912</v>
      </c>
      <c r="L46" s="137">
        <f t="shared" si="18"/>
        <v>88.945700912102339</v>
      </c>
      <c r="M46" s="138">
        <f t="shared" si="19"/>
        <v>123.99049103362353</v>
      </c>
      <c r="N46" s="89">
        <f t="shared" si="20"/>
        <v>155.91522084462153</v>
      </c>
      <c r="O46" s="1" t="e">
        <f t="shared" si="21"/>
        <v>#DIV/0!</v>
      </c>
      <c r="Q46" s="1">
        <v>3500</v>
      </c>
      <c r="R46" s="135">
        <f t="shared" si="23"/>
        <v>7449.6842065507681</v>
      </c>
      <c r="S46" s="136">
        <f t="shared" si="24"/>
        <v>4307.2365292258</v>
      </c>
      <c r="T46" s="137">
        <f t="shared" si="25"/>
        <v>2814.4230932604837</v>
      </c>
      <c r="U46" s="138">
        <f t="shared" si="26"/>
        <v>2018.9518777321125</v>
      </c>
      <c r="V46" s="89">
        <f t="shared" si="27"/>
        <v>1605.5573877724867</v>
      </c>
      <c r="W46" s="1">
        <f t="shared" si="22"/>
        <v>0</v>
      </c>
      <c r="Z46" s="116">
        <v>86</v>
      </c>
      <c r="AA46" s="146">
        <f>T46-((T46-T45)*(L46-Z46))/(L46-L45)</f>
        <v>2855.5867544506436</v>
      </c>
      <c r="AB46" s="150">
        <f>'Resistencia aerodinámica con Rr'!N64</f>
        <v>390.01131771889516</v>
      </c>
      <c r="AC46" s="150">
        <f t="shared" si="5"/>
        <v>2465.5754367317486</v>
      </c>
      <c r="AD46" s="150">
        <f>AC46/('Resistencia aerodinámica con Rr'!$C$4*'Resistencia aerodinámica con Rr'!$E$4)</f>
        <v>1.7579860511456318</v>
      </c>
      <c r="AE46" s="150">
        <f t="shared" si="3"/>
        <v>0.31601818182431829</v>
      </c>
      <c r="AF46" s="149">
        <f t="shared" si="6"/>
        <v>8.5118093212927022</v>
      </c>
      <c r="AG46" s="149">
        <f t="shared" si="4"/>
        <v>7.5493232324698258</v>
      </c>
      <c r="AH46" s="150">
        <f t="shared" si="7"/>
        <v>117.96927851667955</v>
      </c>
    </row>
    <row r="47" spans="1:34" x14ac:dyDescent="0.25">
      <c r="A47" s="1">
        <v>3750</v>
      </c>
      <c r="B47" s="1">
        <f t="shared" si="10"/>
        <v>292.88541494677844</v>
      </c>
      <c r="C47" s="1">
        <f t="shared" si="11"/>
        <v>536.36504976680988</v>
      </c>
      <c r="D47" s="1">
        <f t="shared" si="12"/>
        <v>820.86134841908665</v>
      </c>
      <c r="E47" s="1">
        <f t="shared" si="13"/>
        <v>1144.2824174446007</v>
      </c>
      <c r="F47" s="1">
        <f t="shared" si="14"/>
        <v>1438.9090996995174</v>
      </c>
      <c r="G47" s="1" t="e">
        <f t="shared" si="15"/>
        <v>#DIV/0!</v>
      </c>
      <c r="I47" s="1">
        <v>3750</v>
      </c>
      <c r="J47" s="135">
        <f t="shared" si="16"/>
        <v>34.002912963070209</v>
      </c>
      <c r="K47" s="136">
        <f t="shared" si="17"/>
        <v>62.269997660920609</v>
      </c>
      <c r="L47" s="137">
        <f t="shared" si="18"/>
        <v>95.298965262966789</v>
      </c>
      <c r="M47" s="138">
        <f t="shared" si="19"/>
        <v>132.84695467888235</v>
      </c>
      <c r="N47" s="89">
        <f t="shared" si="20"/>
        <v>167.05202233352304</v>
      </c>
      <c r="O47" s="1" t="e">
        <f t="shared" si="21"/>
        <v>#DIV/0!</v>
      </c>
      <c r="Q47" s="1">
        <v>3750</v>
      </c>
      <c r="R47" s="135">
        <f t="shared" si="23"/>
        <v>7181.9321443893941</v>
      </c>
      <c r="S47" s="136">
        <f t="shared" si="24"/>
        <v>4152.428428514243</v>
      </c>
      <c r="T47" s="137">
        <f t="shared" si="25"/>
        <v>2713.268793813475</v>
      </c>
      <c r="U47" s="138">
        <f t="shared" si="26"/>
        <v>1946.3879255323668</v>
      </c>
      <c r="V47" s="89">
        <f t="shared" si="27"/>
        <v>1547.8514113075389</v>
      </c>
      <c r="W47" s="1">
        <f t="shared" si="22"/>
        <v>0</v>
      </c>
      <c r="Z47" s="116">
        <v>88</v>
      </c>
      <c r="AA47" s="146">
        <f>T46</f>
        <v>2814.4230932604837</v>
      </c>
      <c r="AB47" s="150">
        <f>'Resistencia aerodinámica con Rr'!N65</f>
        <v>401.84116904080895</v>
      </c>
      <c r="AC47" s="150">
        <f t="shared" si="5"/>
        <v>2412.5819242196749</v>
      </c>
      <c r="AD47" s="150">
        <f>AC47/('Resistencia aerodinámica con Rr'!$C$4*'Resistencia aerodinámica con Rr'!$E$4)</f>
        <v>1.7202010154863991</v>
      </c>
      <c r="AE47" s="150">
        <f t="shared" si="3"/>
        <v>0.32295967189536173</v>
      </c>
      <c r="AF47" s="149">
        <f t="shared" si="6"/>
        <v>8.8347689931880637</v>
      </c>
      <c r="AG47" s="149">
        <f t="shared" si="4"/>
        <v>7.8945697574421754</v>
      </c>
      <c r="AH47" s="150">
        <f t="shared" si="7"/>
        <v>125.86384827412172</v>
      </c>
    </row>
    <row r="48" spans="1:34" x14ac:dyDescent="0.25">
      <c r="A48" s="1">
        <v>4000</v>
      </c>
      <c r="B48" s="1">
        <f t="shared" si="10"/>
        <v>312.41110927656365</v>
      </c>
      <c r="C48" s="1">
        <f t="shared" si="11"/>
        <v>572.12271975126384</v>
      </c>
      <c r="D48" s="1">
        <f t="shared" si="12"/>
        <v>875.58543831369252</v>
      </c>
      <c r="E48" s="1">
        <f t="shared" si="13"/>
        <v>1220.5679119409074</v>
      </c>
      <c r="F48" s="1">
        <f t="shared" si="14"/>
        <v>1534.8363730128185</v>
      </c>
      <c r="G48" s="1" t="e">
        <f t="shared" si="15"/>
        <v>#DIV/0!</v>
      </c>
      <c r="I48" s="1">
        <v>4000</v>
      </c>
      <c r="J48" s="135">
        <f t="shared" si="16"/>
        <v>36.269773827274882</v>
      </c>
      <c r="K48" s="136">
        <f t="shared" si="17"/>
        <v>66.421330838315313</v>
      </c>
      <c r="L48" s="137">
        <f t="shared" si="18"/>
        <v>101.65222961383125</v>
      </c>
      <c r="M48" s="138">
        <f t="shared" si="19"/>
        <v>141.70341832414118</v>
      </c>
      <c r="N48" s="89">
        <f t="shared" si="20"/>
        <v>178.18882382242458</v>
      </c>
      <c r="O48" s="1" t="e">
        <f t="shared" si="21"/>
        <v>#DIV/0!</v>
      </c>
      <c r="Q48" s="1">
        <v>4000</v>
      </c>
      <c r="R48" s="135">
        <f t="shared" si="23"/>
        <v>6867.8378687563481</v>
      </c>
      <c r="S48" s="136">
        <f t="shared" si="24"/>
        <v>3970.8263229595227</v>
      </c>
      <c r="T48" s="137">
        <f t="shared" si="25"/>
        <v>2594.6068266356933</v>
      </c>
      <c r="U48" s="138">
        <f t="shared" si="26"/>
        <v>1861.2646894337654</v>
      </c>
      <c r="V48" s="89">
        <f t="shared" si="27"/>
        <v>1480.1577519902435</v>
      </c>
      <c r="W48" s="1">
        <f t="shared" si="22"/>
        <v>0</v>
      </c>
      <c r="Z48" s="116">
        <v>90</v>
      </c>
      <c r="AA48" s="146">
        <f>T47-((T47-T46)*(L47-Z48))/(L47-L46)</f>
        <v>2797.6369373956804</v>
      </c>
      <c r="AB48" s="150">
        <f>'Resistencia aerodinámica con Rr'!N67</f>
        <v>413.90328305772277</v>
      </c>
      <c r="AC48" s="150">
        <f t="shared" si="5"/>
        <v>2383.7336543379579</v>
      </c>
      <c r="AD48" s="150">
        <f>AC48/('Resistencia aerodinámica con Rr'!$C$4*'Resistencia aerodinámica con Rr'!$E$4)</f>
        <v>1.6996318391001481</v>
      </c>
      <c r="AE48" s="150">
        <f t="shared" si="3"/>
        <v>0.32686817390387823</v>
      </c>
      <c r="AF48" s="149">
        <f t="shared" si="6"/>
        <v>9.1616371670919428</v>
      </c>
      <c r="AG48" s="149">
        <f t="shared" si="4"/>
        <v>8.1717043475969557</v>
      </c>
      <c r="AH48" s="150">
        <f t="shared" si="7"/>
        <v>134.03555262171867</v>
      </c>
    </row>
    <row r="49" spans="1:34" x14ac:dyDescent="0.25">
      <c r="A49" s="1">
        <v>4250</v>
      </c>
      <c r="B49" s="1">
        <f t="shared" si="10"/>
        <v>331.93680360634886</v>
      </c>
      <c r="C49" s="1">
        <f t="shared" si="11"/>
        <v>607.88038973571793</v>
      </c>
      <c r="D49" s="1">
        <f t="shared" si="12"/>
        <v>930.30952820829827</v>
      </c>
      <c r="E49" s="1">
        <f t="shared" si="13"/>
        <v>1296.8534064372143</v>
      </c>
      <c r="F49" s="1">
        <f t="shared" si="14"/>
        <v>1630.7636463261197</v>
      </c>
      <c r="G49" s="1" t="e">
        <f t="shared" si="15"/>
        <v>#DIV/0!</v>
      </c>
      <c r="I49" s="1">
        <v>4250</v>
      </c>
      <c r="J49" s="1">
        <f t="shared" si="16"/>
        <v>38.536634691479563</v>
      </c>
      <c r="K49" s="1">
        <f t="shared" si="17"/>
        <v>70.572664015710032</v>
      </c>
      <c r="L49" s="1">
        <f t="shared" si="18"/>
        <v>108.00549396469569</v>
      </c>
      <c r="M49" s="1">
        <f t="shared" si="19"/>
        <v>150.55988196940001</v>
      </c>
      <c r="N49" s="1">
        <f t="shared" si="20"/>
        <v>189.32562531132615</v>
      </c>
      <c r="O49" s="1" t="e">
        <f t="shared" si="21"/>
        <v>#DIV/0!</v>
      </c>
      <c r="Q49" s="1">
        <v>4250</v>
      </c>
      <c r="R49" s="1">
        <f t="shared" si="23"/>
        <v>6481.9649204841744</v>
      </c>
      <c r="S49" s="1">
        <f t="shared" si="24"/>
        <v>3747.723435326182</v>
      </c>
      <c r="T49" s="1">
        <f t="shared" si="25"/>
        <v>2448.8275282693617</v>
      </c>
      <c r="U49" s="1">
        <f t="shared" si="26"/>
        <v>1756.6885903831396</v>
      </c>
      <c r="V49" s="1">
        <f t="shared" si="27"/>
        <v>1396.9943391981744</v>
      </c>
      <c r="W49" s="1">
        <f t="shared" si="22"/>
        <v>0</v>
      </c>
      <c r="Z49" s="116">
        <v>92</v>
      </c>
      <c r="AA49" s="146">
        <f>T47-((T47-T46)*(L47-Z49))/(L47-L46)</f>
        <v>2765.7936852151711</v>
      </c>
      <c r="AB49" s="150">
        <f>'Resistencia aerodinámica con Rr'!N68</f>
        <v>426.19765976963646</v>
      </c>
      <c r="AC49" s="150">
        <f t="shared" si="5"/>
        <v>2339.5960254455345</v>
      </c>
      <c r="AD49" s="150">
        <f>AC49/('Resistencia aerodinámica con Rr'!$C$4*'Resistencia aerodinámica con Rr'!$E$4)</f>
        <v>1.6681611589629479</v>
      </c>
      <c r="AE49" s="150">
        <f t="shared" si="3"/>
        <v>0.33303470265482615</v>
      </c>
      <c r="AF49" s="149">
        <f t="shared" si="6"/>
        <v>9.4946718697467691</v>
      </c>
      <c r="AG49" s="149">
        <f t="shared" si="4"/>
        <v>8.5108868456233342</v>
      </c>
      <c r="AH49" s="150">
        <f t="shared" si="7"/>
        <v>142.546439467342</v>
      </c>
    </row>
    <row r="50" spans="1:34" x14ac:dyDescent="0.25">
      <c r="A50" s="1">
        <v>4500</v>
      </c>
      <c r="B50" s="1">
        <f t="shared" si="10"/>
        <v>351.46249793613413</v>
      </c>
      <c r="C50" s="1">
        <f t="shared" si="11"/>
        <v>643.6380597201719</v>
      </c>
      <c r="D50" s="1">
        <f t="shared" si="12"/>
        <v>985.03361810290403</v>
      </c>
      <c r="E50" s="1">
        <f t="shared" si="13"/>
        <v>1373.138900933521</v>
      </c>
      <c r="F50" s="1">
        <f t="shared" si="14"/>
        <v>1726.6909196394208</v>
      </c>
      <c r="G50" s="1" t="e">
        <f t="shared" si="15"/>
        <v>#DIV/0!</v>
      </c>
      <c r="I50" s="1">
        <v>4500</v>
      </c>
      <c r="J50" s="1">
        <f t="shared" si="16"/>
        <v>40.80349555568425</v>
      </c>
      <c r="K50" s="1">
        <f t="shared" si="17"/>
        <v>74.723997193104736</v>
      </c>
      <c r="L50" s="1">
        <f t="shared" si="18"/>
        <v>114.35875831556015</v>
      </c>
      <c r="M50" s="1">
        <f t="shared" si="19"/>
        <v>159.41634561465884</v>
      </c>
      <c r="N50" s="1">
        <f t="shared" si="20"/>
        <v>200.46242680022769</v>
      </c>
      <c r="O50" s="1" t="e">
        <f t="shared" si="21"/>
        <v>#DIV/0!</v>
      </c>
      <c r="Q50" s="1">
        <v>4500</v>
      </c>
      <c r="R50" s="1">
        <f t="shared" si="23"/>
        <v>5987.4089672245182</v>
      </c>
      <c r="S50" s="1">
        <f t="shared" si="24"/>
        <v>3461.7825271527922</v>
      </c>
      <c r="T50" s="1">
        <f t="shared" si="25"/>
        <v>2261.9887768308117</v>
      </c>
      <c r="U50" s="1">
        <f t="shared" si="26"/>
        <v>1622.6581210648328</v>
      </c>
      <c r="V50" s="1">
        <f t="shared" si="27"/>
        <v>1290.4075440525921</v>
      </c>
      <c r="W50" s="1">
        <f t="shared" si="22"/>
        <v>0</v>
      </c>
      <c r="Z50" s="116">
        <v>94</v>
      </c>
      <c r="AA50" s="146">
        <f>T47-((T47-T46)*(L47-Z50))/(L47-L46)</f>
        <v>2733.9504330346617</v>
      </c>
      <c r="AB50" s="150">
        <f>'Resistencia aerodinámica con Rr'!N69</f>
        <v>438.72429917655018</v>
      </c>
      <c r="AC50" s="150">
        <f t="shared" si="5"/>
        <v>2295.2261338581116</v>
      </c>
      <c r="AD50" s="150">
        <f>AC50/('Resistencia aerodinámica con Rr'!$C$4*'Resistencia aerodinámica con Rr'!$E$4)</f>
        <v>1.6365248726261046</v>
      </c>
      <c r="AE50" s="150">
        <f t="shared" si="3"/>
        <v>0.33947272348147373</v>
      </c>
      <c r="AF50" s="149">
        <f t="shared" si="6"/>
        <v>9.8341445932282436</v>
      </c>
      <c r="AG50" s="149">
        <f t="shared" si="4"/>
        <v>8.8640100020162578</v>
      </c>
      <c r="AH50" s="150">
        <f t="shared" si="7"/>
        <v>151.41044946935824</v>
      </c>
    </row>
    <row r="51" spans="1:34" x14ac:dyDescent="0.25">
      <c r="A51" s="1">
        <v>4750</v>
      </c>
      <c r="B51" s="1">
        <f t="shared" si="10"/>
        <v>370.98819226591934</v>
      </c>
      <c r="C51" s="1">
        <f t="shared" si="11"/>
        <v>679.39572970462586</v>
      </c>
      <c r="D51" s="1">
        <f t="shared" si="12"/>
        <v>1039.7577079975099</v>
      </c>
      <c r="E51" s="1">
        <f t="shared" si="13"/>
        <v>1449.4243954298277</v>
      </c>
      <c r="F51" s="1">
        <f t="shared" si="14"/>
        <v>1822.618192952722</v>
      </c>
      <c r="G51" s="1" t="e">
        <f t="shared" si="15"/>
        <v>#DIV/0!</v>
      </c>
      <c r="I51" s="1">
        <v>4750</v>
      </c>
      <c r="J51" s="1">
        <f t="shared" si="16"/>
        <v>43.070356419888931</v>
      </c>
      <c r="K51" s="1">
        <f t="shared" si="17"/>
        <v>78.875330370499441</v>
      </c>
      <c r="L51" s="1">
        <f t="shared" si="18"/>
        <v>120.71202266642462</v>
      </c>
      <c r="M51" s="1">
        <f t="shared" si="19"/>
        <v>168.27280925991766</v>
      </c>
      <c r="N51" s="1">
        <f t="shared" si="20"/>
        <v>211.59922828912923</v>
      </c>
      <c r="O51" s="1" t="e">
        <f t="shared" si="21"/>
        <v>#DIV/0!</v>
      </c>
      <c r="Q51" s="1">
        <v>4750</v>
      </c>
      <c r="R51" s="1">
        <f t="shared" si="23"/>
        <v>5336.0556634841778</v>
      </c>
      <c r="S51" s="1">
        <f t="shared" si="24"/>
        <v>3085.1849875100656</v>
      </c>
      <c r="T51" s="1">
        <f t="shared" si="25"/>
        <v>2015.9134091922292</v>
      </c>
      <c r="U51" s="1">
        <f t="shared" si="26"/>
        <v>1446.1337289976896</v>
      </c>
      <c r="V51" s="1">
        <f t="shared" si="27"/>
        <v>1150.0277534635195</v>
      </c>
      <c r="W51" s="1">
        <f t="shared" si="22"/>
        <v>0</v>
      </c>
      <c r="Z51" s="116">
        <v>96</v>
      </c>
      <c r="AA51" s="146">
        <f>T47</f>
        <v>2713.268793813475</v>
      </c>
      <c r="AB51" s="117">
        <f>'Resistencia aerodinámica con Rr'!N70</f>
        <v>451.48320127846398</v>
      </c>
      <c r="AC51" s="150">
        <f t="shared" si="5"/>
        <v>2261.7855925350109</v>
      </c>
      <c r="AD51" s="150">
        <f>AC51/('Resistencia aerodinámica con Rr'!$C$4*'Resistencia aerodinámica con Rr'!$E$4)</f>
        <v>1.6126813494010772</v>
      </c>
      <c r="AE51" s="150">
        <f t="shared" si="3"/>
        <v>0.34449183390251248</v>
      </c>
      <c r="AF51" s="149">
        <f t="shared" si="6"/>
        <v>10.178636427130757</v>
      </c>
      <c r="AG51" s="149">
        <f t="shared" si="4"/>
        <v>9.1864489040669994</v>
      </c>
      <c r="AH51" s="150">
        <f t="shared" si="7"/>
        <v>160.59689837342523</v>
      </c>
    </row>
    <row r="52" spans="1:34" x14ac:dyDescent="0.25">
      <c r="A52" s="1">
        <v>5000</v>
      </c>
      <c r="B52" s="1">
        <f t="shared" si="10"/>
        <v>390.51388659570455</v>
      </c>
      <c r="C52" s="1">
        <f t="shared" si="11"/>
        <v>715.15339968907983</v>
      </c>
      <c r="D52" s="1">
        <f t="shared" si="12"/>
        <v>1094.4817978921155</v>
      </c>
      <c r="E52" s="1">
        <f t="shared" si="13"/>
        <v>1525.7098899261343</v>
      </c>
      <c r="F52" s="1">
        <f t="shared" si="14"/>
        <v>1918.5454662660231</v>
      </c>
      <c r="G52" s="1" t="e">
        <f t="shared" si="15"/>
        <v>#DIV/0!</v>
      </c>
      <c r="I52" s="1">
        <v>5000</v>
      </c>
      <c r="J52" s="1">
        <f t="shared" si="16"/>
        <v>45.337217284093605</v>
      </c>
      <c r="K52" s="1">
        <f t="shared" si="17"/>
        <v>83.026663547894159</v>
      </c>
      <c r="L52" s="1">
        <f t="shared" si="18"/>
        <v>127.06528701728904</v>
      </c>
      <c r="M52" s="1">
        <f t="shared" si="19"/>
        <v>177.12927290517646</v>
      </c>
      <c r="N52" s="1">
        <f t="shared" si="20"/>
        <v>222.73602977803071</v>
      </c>
      <c r="O52" s="1" t="e">
        <f t="shared" si="21"/>
        <v>#DIV/0!</v>
      </c>
      <c r="Q52" s="1">
        <v>5000</v>
      </c>
      <c r="R52" s="1">
        <f t="shared" si="23"/>
        <v>4468.7611526502324</v>
      </c>
      <c r="S52" s="1">
        <f t="shared" si="24"/>
        <v>2583.7351951314695</v>
      </c>
      <c r="T52" s="1">
        <f t="shared" si="25"/>
        <v>1688.2574130088321</v>
      </c>
      <c r="U52" s="1">
        <f t="shared" si="26"/>
        <v>1211.0867347029232</v>
      </c>
      <c r="V52" s="1">
        <f t="shared" si="27"/>
        <v>963.10827196126991</v>
      </c>
      <c r="W52" s="1">
        <f t="shared" si="27"/>
        <v>0</v>
      </c>
      <c r="Z52" s="116">
        <v>98</v>
      </c>
      <c r="AA52" s="146">
        <f>T48-((T48-T47)*(L48-Z52))/(L48-L47)</f>
        <v>2662.8206969594107</v>
      </c>
      <c r="AB52" s="150">
        <f>'Resistencia aerodinámica con Rr'!N70</f>
        <v>451.48320127846398</v>
      </c>
      <c r="AC52" s="150">
        <f t="shared" si="5"/>
        <v>2211.3374956809466</v>
      </c>
      <c r="AD52" s="150">
        <f>AC52/('Resistencia aerodinámica con Rr'!$C$4*'Resistencia aerodinámica con Rr'!$E$4)</f>
        <v>1.5767112268669852</v>
      </c>
      <c r="AE52" s="150">
        <f t="shared" si="3"/>
        <v>0.35235085923722131</v>
      </c>
      <c r="AF52" s="149">
        <f t="shared" si="6"/>
        <v>10.530987286367978</v>
      </c>
      <c r="AG52" s="149">
        <f t="shared" si="4"/>
        <v>9.5917733903465798</v>
      </c>
      <c r="AH52" s="150">
        <f t="shared" si="7"/>
        <v>170.18867176377182</v>
      </c>
    </row>
    <row r="53" spans="1:34" x14ac:dyDescent="0.25">
      <c r="Z53" s="116">
        <v>100</v>
      </c>
      <c r="AA53" s="146">
        <f>T48-((T48-T47)*(L48-Z53))/(L48-L47)</f>
        <v>2625.4660519691906</v>
      </c>
      <c r="AB53" s="150">
        <f>'Resistencia aerodinámica con Rr'!N71</f>
        <v>464.4743660753777</v>
      </c>
      <c r="AC53" s="150">
        <f t="shared" si="5"/>
        <v>2160.9916858938132</v>
      </c>
      <c r="AD53" s="150">
        <f>AC53/('Resistencia aerodinámica con Rr'!$C$4*'Resistencia aerodinámica con Rr'!$E$4)</f>
        <v>1.5408140362879239</v>
      </c>
      <c r="AE53" s="150">
        <f t="shared" si="3"/>
        <v>0.36055977066121547</v>
      </c>
      <c r="AF53" s="149">
        <f t="shared" si="6"/>
        <v>10.891547057029193</v>
      </c>
      <c r="AG53" s="149">
        <f t="shared" si="4"/>
        <v>10.015549185033764</v>
      </c>
      <c r="AH53" s="150">
        <f t="shared" si="7"/>
        <v>180.20422094880558</v>
      </c>
    </row>
    <row r="54" spans="1:34" ht="15.75" thickBot="1" x14ac:dyDescent="0.3">
      <c r="Z54" s="116">
        <v>102</v>
      </c>
      <c r="AA54" s="146">
        <f>T48</f>
        <v>2594.6068266356933</v>
      </c>
      <c r="AB54" s="150">
        <f>'Resistencia aerodinámica con Rr'!N72</f>
        <v>471.05704698445959</v>
      </c>
      <c r="AC54" s="150">
        <f t="shared" si="5"/>
        <v>2123.5497796512336</v>
      </c>
      <c r="AD54" s="150">
        <f>AC54/('Resistencia aerodinámica con Rr'!$C$4*'Resistencia aerodinámica con Rr'!$E$4)</f>
        <v>1.5141174899474037</v>
      </c>
      <c r="AE54" s="150">
        <f t="shared" si="3"/>
        <v>0.36691707165660842</v>
      </c>
      <c r="AF54" s="149">
        <f t="shared" si="6"/>
        <v>11.258464128685802</v>
      </c>
      <c r="AG54" s="149">
        <f t="shared" si="4"/>
        <v>10.39598369693724</v>
      </c>
      <c r="AH54" s="150">
        <f t="shared" si="7"/>
        <v>190.60020464574282</v>
      </c>
    </row>
    <row r="55" spans="1:34" ht="15.75" thickBot="1" x14ac:dyDescent="0.3">
      <c r="Q55" s="216" t="s">
        <v>277</v>
      </c>
      <c r="R55" s="217"/>
      <c r="S55" s="217"/>
      <c r="T55" s="217"/>
      <c r="U55" s="217"/>
      <c r="V55" s="217"/>
      <c r="W55" s="218"/>
      <c r="Z55" s="116">
        <v>104</v>
      </c>
      <c r="AA55" s="146">
        <f>T49-((T49-T48)*(L49-Z55))/(L49-L48)</f>
        <v>2540.735887112397</v>
      </c>
      <c r="AB55" s="150">
        <f>'Resistencia aerodinámica con Rr'!N74</f>
        <v>491.15348375420524</v>
      </c>
      <c r="AC55" s="150">
        <f t="shared" si="5"/>
        <v>2049.5824033581916</v>
      </c>
      <c r="AD55" s="150">
        <f>AC55/('Resistencia aerodinámica con Rr'!$C$4*'Resistencia aerodinámica con Rr'!$E$4)</f>
        <v>1.4613778277063756</v>
      </c>
      <c r="AE55" s="150">
        <f t="shared" si="3"/>
        <v>0.38015874130750771</v>
      </c>
      <c r="AF55" s="149">
        <f t="shared" si="6"/>
        <v>11.638622869993309</v>
      </c>
      <c r="AG55" s="149">
        <f t="shared" si="4"/>
        <v>10.982363637772446</v>
      </c>
      <c r="AH55" s="150">
        <f t="shared" si="7"/>
        <v>201.58256828351526</v>
      </c>
    </row>
    <row r="56" spans="1:34" x14ac:dyDescent="0.25">
      <c r="Z56" s="116">
        <v>106</v>
      </c>
      <c r="AA56" s="147">
        <f>U44</f>
        <v>2137.7727159140695</v>
      </c>
      <c r="AB56" s="150">
        <f>'Resistencia aerodinámica con Rr'!N75</f>
        <v>504.84143663611906</v>
      </c>
      <c r="AC56" s="150">
        <f t="shared" si="5"/>
        <v>1632.9312792779506</v>
      </c>
      <c r="AD56" s="150">
        <f>AC56/('Resistencia aerodinámica con Rr'!$C$4*'Resistencia aerodinámica con Rr'!$E$4)</f>
        <v>1.164300377381783</v>
      </c>
      <c r="AE56" s="150">
        <f t="shared" si="3"/>
        <v>0.47715827148047435</v>
      </c>
      <c r="AF56" s="149">
        <f t="shared" si="6"/>
        <v>12.115781141473784</v>
      </c>
      <c r="AG56" s="149">
        <f t="shared" si="4"/>
        <v>14.049660215813967</v>
      </c>
      <c r="AH56" s="150">
        <f t="shared" si="7"/>
        <v>215.63222849932922</v>
      </c>
    </row>
    <row r="57" spans="1:34" x14ac:dyDescent="0.25">
      <c r="Z57" s="116">
        <v>108</v>
      </c>
      <c r="AA57" s="147">
        <f>U45-((U45-U44)*(M45-Z57))/(M45-M44)</f>
        <v>2127.0503227211711</v>
      </c>
      <c r="AB57" s="150">
        <f>'Resistencia aerodinámica con Rr'!N76</f>
        <v>518.76165221303268</v>
      </c>
      <c r="AC57" s="150">
        <f t="shared" si="5"/>
        <v>1608.2886705081385</v>
      </c>
      <c r="AD57" s="150">
        <f>AC57/('Resistencia aerodinámica con Rr'!$C$4*'Resistencia aerodinámica con Rr'!$E$4)</f>
        <v>1.146729889845375</v>
      </c>
      <c r="AE57" s="150">
        <f t="shared" si="3"/>
        <v>0.48446941208663064</v>
      </c>
      <c r="AF57" s="149">
        <f t="shared" si="6"/>
        <v>12.600250553560414</v>
      </c>
      <c r="AG57" s="149">
        <f t="shared" si="4"/>
        <v>14.534082362598918</v>
      </c>
      <c r="AH57" s="150">
        <f t="shared" si="7"/>
        <v>230.16631086192814</v>
      </c>
    </row>
    <row r="58" spans="1:34" x14ac:dyDescent="0.25">
      <c r="Z58" s="116">
        <v>110</v>
      </c>
      <c r="AA58" s="147">
        <f>U45-((U45-U44)*(M45-Z58))/(M45-M44)</f>
        <v>2114.6000585677293</v>
      </c>
      <c r="AB58" s="117">
        <f>'Resistencia aerodinámica con Rr'!N77</f>
        <v>532.91413048494655</v>
      </c>
      <c r="AC58" s="150">
        <f t="shared" si="5"/>
        <v>1581.6859280827828</v>
      </c>
      <c r="AD58" s="150">
        <f>AC58/('Resistencia aerodinámica con Rr'!$C$4*'Resistencia aerodinámica con Rr'!$E$4)</f>
        <v>1.1277618025545688</v>
      </c>
      <c r="AE58" s="150">
        <f t="shared" si="3"/>
        <v>0.49261781547941191</v>
      </c>
      <c r="AF58" s="149">
        <f t="shared" si="6"/>
        <v>13.092868369039826</v>
      </c>
      <c r="AG58" s="149">
        <f t="shared" si="4"/>
        <v>15.052211028537586</v>
      </c>
      <c r="AH58" s="150">
        <f t="shared" si="7"/>
        <v>245.21852189046572</v>
      </c>
    </row>
    <row r="59" spans="1:34" x14ac:dyDescent="0.25">
      <c r="Z59" s="116">
        <v>112</v>
      </c>
      <c r="AA59" s="147">
        <f>U45-((U45-U44)*(M45-Z59))/(M45-M44)</f>
        <v>2102.1497944142875</v>
      </c>
      <c r="AB59" s="150">
        <f>'Resistencia aerodinámica con Rr'!N77</f>
        <v>532.91413048494655</v>
      </c>
      <c r="AC59" s="150">
        <f t="shared" si="5"/>
        <v>1569.2356639293409</v>
      </c>
      <c r="AD59" s="150">
        <f>AC59/('Resistencia aerodinámica con Rr'!$C$4*'Resistencia aerodinámica con Rr'!$E$4)</f>
        <v>1.1188846088622753</v>
      </c>
      <c r="AE59" s="150">
        <f t="shared" si="3"/>
        <v>0.49652622902773302</v>
      </c>
      <c r="AF59" s="149">
        <f t="shared" si="6"/>
        <v>13.589394598067559</v>
      </c>
      <c r="AG59" s="149">
        <f t="shared" si="4"/>
        <v>15.447482680862805</v>
      </c>
      <c r="AH59" s="150">
        <f t="shared" si="7"/>
        <v>260.66600457132853</v>
      </c>
    </row>
    <row r="60" spans="1:34" x14ac:dyDescent="0.25">
      <c r="Z60" s="116">
        <v>114</v>
      </c>
      <c r="AA60" s="147">
        <f>U45</f>
        <v>2082.6400599896565</v>
      </c>
      <c r="AB60" s="150">
        <f>'Resistencia aerodinámica con Rr'!N78</f>
        <v>540.07746813152835</v>
      </c>
      <c r="AC60" s="150">
        <f t="shared" si="5"/>
        <v>1542.5625918581281</v>
      </c>
      <c r="AD60" s="150">
        <f>AC60/('Resistencia aerodinámica con Rr'!$C$4*'Resistencia aerodinámica con Rr'!$E$4)</f>
        <v>1.0998663756564193</v>
      </c>
      <c r="AE60" s="150">
        <f t="shared" si="3"/>
        <v>0.50511186436078692</v>
      </c>
      <c r="AF60" s="149">
        <f t="shared" si="6"/>
        <v>14.094506462428345</v>
      </c>
      <c r="AG60" s="149">
        <f t="shared" si="4"/>
        <v>15.995209038091584</v>
      </c>
      <c r="AH60" s="150">
        <f t="shared" si="7"/>
        <v>276.66121360942009</v>
      </c>
    </row>
    <row r="61" spans="1:34" x14ac:dyDescent="0.25">
      <c r="Z61" s="116">
        <v>116</v>
      </c>
      <c r="AA61" s="147">
        <f>U46-((U46-U45)*(M46-Z61))/(M46-M45)</f>
        <v>2076.4127187246818</v>
      </c>
      <c r="AB61" s="150">
        <f>'Resistencia aerodinámica con Rr'!N79</f>
        <v>547.29887145186024</v>
      </c>
      <c r="AC61" s="150">
        <f t="shared" si="5"/>
        <v>1529.1138472728217</v>
      </c>
      <c r="AD61" s="150">
        <f>AC61/('Resistencia aerodinámica con Rr'!$C$4*'Resistencia aerodinámica con Rr'!$E$4)</f>
        <v>1.0902772529574487</v>
      </c>
      <c r="AE61" s="150">
        <f t="shared" si="3"/>
        <v>0.50955438540845888</v>
      </c>
      <c r="AF61" s="149">
        <f t="shared" si="6"/>
        <v>14.604060847836804</v>
      </c>
      <c r="AG61" s="149">
        <f t="shared" si="4"/>
        <v>16.418974640939229</v>
      </c>
      <c r="AH61" s="150">
        <f t="shared" si="7"/>
        <v>293.0801882503593</v>
      </c>
    </row>
    <row r="62" spans="1:34" x14ac:dyDescent="0.25">
      <c r="Z62" s="116">
        <v>118</v>
      </c>
      <c r="AA62" s="147">
        <f>U46-((U46-U45)*(M46-Z62))/(M46-M45)</f>
        <v>2062.0304133692844</v>
      </c>
      <c r="AB62" s="150">
        <f>'Resistencia aerodinámica con Rr'!N81</f>
        <v>576.76514147068781</v>
      </c>
      <c r="AC62" s="150">
        <f t="shared" si="5"/>
        <v>1485.2652718985964</v>
      </c>
      <c r="AD62" s="150">
        <f>AC62/('Resistencia aerodinámica con Rr'!$C$4*'Resistencia aerodinámica con Rr'!$E$4)</f>
        <v>1.059012671585452</v>
      </c>
      <c r="AE62" s="150">
        <f t="shared" si="3"/>
        <v>0.52459764690429167</v>
      </c>
      <c r="AF62" s="149">
        <f t="shared" si="6"/>
        <v>15.128658494741096</v>
      </c>
      <c r="AG62" s="149">
        <f t="shared" si="4"/>
        <v>17.195145092974006</v>
      </c>
      <c r="AH62" s="150">
        <f t="shared" si="7"/>
        <v>310.27533334333333</v>
      </c>
    </row>
    <row r="63" spans="1:34" x14ac:dyDescent="0.25">
      <c r="Z63" s="116">
        <v>120</v>
      </c>
      <c r="AA63" s="147">
        <f>U46-((U46-U45)*(M46-Z63))/(M46-M45)</f>
        <v>2047.6481080138869</v>
      </c>
      <c r="AB63" s="150">
        <f>'Resistencia aerodinámica con Rr'!N82</f>
        <v>591.84667052260147</v>
      </c>
      <c r="AC63" s="150">
        <f t="shared" si="5"/>
        <v>1455.8014374912855</v>
      </c>
      <c r="AD63" s="150">
        <f>AC63/('Resistencia aerodinámica con Rr'!$C$4*'Resistencia aerodinámica con Rr'!$E$4)</f>
        <v>1.0380045900116117</v>
      </c>
      <c r="AE63" s="150">
        <f t="shared" si="3"/>
        <v>0.53521493151522659</v>
      </c>
      <c r="AF63" s="149">
        <f t="shared" si="6"/>
        <v>15.663873426256323</v>
      </c>
      <c r="AG63" s="149">
        <f t="shared" si="4"/>
        <v>17.840497717174216</v>
      </c>
      <c r="AH63" s="150">
        <f t="shared" si="7"/>
        <v>328.11583106050756</v>
      </c>
    </row>
    <row r="64" spans="1:34" x14ac:dyDescent="0.25">
      <c r="Z64" s="116">
        <v>122</v>
      </c>
      <c r="AA64" s="147">
        <f>U46-((U46-U45)*(M46-Z64))/(M46-M45)</f>
        <v>2033.2658026584895</v>
      </c>
      <c r="AB64" s="150">
        <f>'Resistencia aerodinámica con Rr'!N83</f>
        <v>607.16046226951539</v>
      </c>
      <c r="AC64" s="150">
        <f t="shared" si="5"/>
        <v>1426.1053403889741</v>
      </c>
      <c r="AD64" s="150">
        <f>AC64/('Resistencia aerodinámica con Rr'!$C$4*'Resistencia aerodinámica con Rr'!$E$4)</f>
        <v>1.0168309022381277</v>
      </c>
      <c r="AE64" s="150">
        <f t="shared" si="3"/>
        <v>0.54635982672510497</v>
      </c>
      <c r="AF64" s="149">
        <f t="shared" si="6"/>
        <v>16.210233252981428</v>
      </c>
      <c r="AG64" s="149">
        <f t="shared" si="4"/>
        <v>18.515527461239671</v>
      </c>
      <c r="AH64" s="150">
        <f t="shared" si="7"/>
        <v>346.63135852174725</v>
      </c>
    </row>
    <row r="65" spans="26:34" x14ac:dyDescent="0.25">
      <c r="Z65" s="116">
        <v>124</v>
      </c>
      <c r="AA65" s="147">
        <f>U46</f>
        <v>2018.9518777321125</v>
      </c>
      <c r="AB65" s="117">
        <f>'Resistencia aerodinámica con Rr'!N84</f>
        <v>614.90445665359721</v>
      </c>
      <c r="AC65" s="150">
        <f t="shared" si="5"/>
        <v>1404.0474210785153</v>
      </c>
      <c r="AD65" s="150">
        <f>AC65/('Resistencia aerodinámica con Rr'!$C$4*'Resistencia aerodinámica con Rr'!$E$4)</f>
        <v>1.0011033305372659</v>
      </c>
      <c r="AE65" s="150">
        <f t="shared" si="3"/>
        <v>0.5549432696996458</v>
      </c>
      <c r="AF65" s="149">
        <f t="shared" si="6"/>
        <v>16.765176522681074</v>
      </c>
      <c r="AG65" s="149">
        <f t="shared" si="4"/>
        <v>19.114712622987799</v>
      </c>
      <c r="AH65" s="150">
        <f t="shared" si="7"/>
        <v>365.74607114473503</v>
      </c>
    </row>
    <row r="66" spans="26:34" x14ac:dyDescent="0.25">
      <c r="Z66" s="116">
        <v>126</v>
      </c>
      <c r="AA66" s="147">
        <f>U47-((U47-U46)*(M47-Z66))/(M47-M46)</f>
        <v>2002.4873024318838</v>
      </c>
      <c r="AB66" s="150">
        <f>'Resistencia aerodinámica con Rr'!N84</f>
        <v>614.90445665359721</v>
      </c>
      <c r="AC66" s="150">
        <f t="shared" si="5"/>
        <v>1387.5828457782866</v>
      </c>
      <c r="AD66" s="150">
        <f>AC66/('Resistencia aerodinámica con Rr'!$C$4*'Resistencia aerodinámica con Rr'!$E$4)</f>
        <v>0.98936388290786925</v>
      </c>
      <c r="AE66" s="150">
        <f t="shared" si="3"/>
        <v>0.56152803347005698</v>
      </c>
      <c r="AF66" s="149">
        <f t="shared" si="6"/>
        <v>17.326704556151132</v>
      </c>
      <c r="AG66" s="149">
        <f t="shared" si="4"/>
        <v>19.653481171451997</v>
      </c>
      <c r="AH66" s="150">
        <f t="shared" si="7"/>
        <v>385.399552316187</v>
      </c>
    </row>
    <row r="67" spans="26:34" x14ac:dyDescent="0.25">
      <c r="Z67" s="116">
        <v>128</v>
      </c>
      <c r="AA67" s="147">
        <f>U47-((U47-U46)*(M47-Z67))/(M47-M46)</f>
        <v>1986.1006372557461</v>
      </c>
      <c r="AB67" s="150">
        <f>'Resistencia aerodinámica con Rr'!N85</f>
        <v>622.706516711429</v>
      </c>
      <c r="AC67" s="150">
        <f t="shared" si="5"/>
        <v>1363.394120544317</v>
      </c>
      <c r="AD67" s="150">
        <f>AC67/('Resistencia aerodinámica con Rr'!$C$4*'Resistencia aerodinámica con Rr'!$E$4)</f>
        <v>0.97211701999594802</v>
      </c>
      <c r="AE67" s="150">
        <f t="shared" si="3"/>
        <v>0.57149041126537548</v>
      </c>
      <c r="AF67" s="149">
        <f t="shared" si="6"/>
        <v>17.898194967416508</v>
      </c>
      <c r="AG67" s="149">
        <f t="shared" si="4"/>
        <v>20.319659067213351</v>
      </c>
      <c r="AH67" s="150">
        <f t="shared" si="7"/>
        <v>405.71921138340036</v>
      </c>
    </row>
    <row r="68" spans="26:34" x14ac:dyDescent="0.25">
      <c r="Z68" s="116">
        <v>130</v>
      </c>
      <c r="AA68" s="147">
        <f>U47-((U47-U46)*(M47-Z68))/(M47-M46)</f>
        <v>1969.7139720796085</v>
      </c>
      <c r="AB68" s="150">
        <f>'Resistencia aerodinámica con Rr'!N86</f>
        <v>638.48483384834287</v>
      </c>
      <c r="AC68" s="150">
        <f t="shared" si="5"/>
        <v>1331.2291382312656</v>
      </c>
      <c r="AD68" s="150">
        <f>AC68/('Resistencia aerodinámica con Rr'!$C$4*'Resistencia aerodinámica con Rr'!$E$4)</f>
        <v>0.94918298626115194</v>
      </c>
      <c r="AE68" s="150">
        <f t="shared" ref="AE68:AE91" si="28">((Z69-Z68)/3.6)/AD68</f>
        <v>0.58529868697278109</v>
      </c>
      <c r="AF68" s="149">
        <f t="shared" si="6"/>
        <v>18.483493654389289</v>
      </c>
      <c r="AG68" s="149">
        <f t="shared" ref="AG68:AG91" si="29">(AE68*Z68)/3.6</f>
        <v>21.13578591846154</v>
      </c>
      <c r="AH68" s="150">
        <f t="shared" si="7"/>
        <v>426.85499730186189</v>
      </c>
    </row>
    <row r="69" spans="26:34" x14ac:dyDescent="0.25">
      <c r="Z69" s="116">
        <v>132</v>
      </c>
      <c r="AA69" s="147">
        <f>U47</f>
        <v>1946.3879255323668</v>
      </c>
      <c r="AB69" s="150">
        <f>'Resistencia aerodinámica con Rr'!N88</f>
        <v>670.73825620717037</v>
      </c>
      <c r="AC69" s="150">
        <f t="shared" ref="AC69:AC92" si="30">$AA69-$AB69</f>
        <v>1275.6496693251966</v>
      </c>
      <c r="AD69" s="150">
        <f>AC69/('Resistencia aerodinámica con Rr'!$C$4*'Resistencia aerodinámica con Rr'!$E$4)</f>
        <v>0.90955413142616515</v>
      </c>
      <c r="AE69" s="150">
        <f t="shared" si="28"/>
        <v>0.61079988134895724</v>
      </c>
      <c r="AF69" s="149">
        <f t="shared" ref="AF69:AF92" si="31">AF68+AE69</f>
        <v>19.094293535738245</v>
      </c>
      <c r="AG69" s="149">
        <f t="shared" si="29"/>
        <v>22.395995649461764</v>
      </c>
      <c r="AH69" s="150">
        <f t="shared" ref="AH69:AH92" si="32">AH68+AG69</f>
        <v>449.25099295132367</v>
      </c>
    </row>
    <row r="70" spans="26:34" x14ac:dyDescent="0.25">
      <c r="Z70" s="116">
        <v>134</v>
      </c>
      <c r="AA70" s="147">
        <f>U48-((U48-U47)*(M48-Z70))/(M48-M47)</f>
        <v>1935.3055169059362</v>
      </c>
      <c r="AB70" s="150">
        <f>'Resistencia aerodinámica con Rr'!N89</f>
        <v>687.21336142908399</v>
      </c>
      <c r="AC70" s="150">
        <f t="shared" si="30"/>
        <v>1248.0921554768522</v>
      </c>
      <c r="AD70" s="150">
        <f>AC70/('Resistencia aerodinámica con Rr'!$C$4*'Resistencia aerodinámica con Rr'!$E$4)</f>
        <v>0.88990528019739912</v>
      </c>
      <c r="AE70" s="150">
        <f t="shared" si="28"/>
        <v>0.62428616608761112</v>
      </c>
      <c r="AF70" s="149">
        <f t="shared" si="31"/>
        <v>19.718579701825856</v>
      </c>
      <c r="AG70" s="149">
        <f t="shared" si="29"/>
        <v>23.237318404372193</v>
      </c>
      <c r="AH70" s="150">
        <f t="shared" si="32"/>
        <v>472.48831135569588</v>
      </c>
    </row>
    <row r="71" spans="26:34" x14ac:dyDescent="0.25">
      <c r="Z71" s="116">
        <v>136</v>
      </c>
      <c r="AA71" s="147">
        <f>U48-((U48-U47)*(M48-Z71))/(M48-M47)</f>
        <v>1916.0826669043624</v>
      </c>
      <c r="AB71" s="150">
        <f>'Resistencia aerodinámica con Rr'!N90</f>
        <v>695.53801255066594</v>
      </c>
      <c r="AC71" s="150">
        <f t="shared" si="30"/>
        <v>1220.5446543536964</v>
      </c>
      <c r="AD71" s="150">
        <f>AC71/('Resistencia aerodinámica con Rr'!$C$4*'Resistencia aerodinámica con Rr'!$E$4)</f>
        <v>0.87026356816662842</v>
      </c>
      <c r="AE71" s="150">
        <f t="shared" si="28"/>
        <v>0.63837620679208296</v>
      </c>
      <c r="AF71" s="149">
        <f t="shared" si="31"/>
        <v>20.356955908617937</v>
      </c>
      <c r="AG71" s="149">
        <f t="shared" si="29"/>
        <v>24.116434478812021</v>
      </c>
      <c r="AH71" s="150">
        <f t="shared" si="32"/>
        <v>496.60474583450792</v>
      </c>
    </row>
    <row r="72" spans="26:34" x14ac:dyDescent="0.25">
      <c r="Z72" s="116">
        <v>138</v>
      </c>
      <c r="AA72" s="147">
        <f>U48-((U48-U47)*(M48-Z72))/(M48-M47)</f>
        <v>1896.8598169027885</v>
      </c>
      <c r="AB72" s="117">
        <f>'Resistencia aerodinámica con Rr'!N91</f>
        <v>703.92072934599787</v>
      </c>
      <c r="AC72" s="150">
        <f t="shared" si="30"/>
        <v>1192.9390875567906</v>
      </c>
      <c r="AD72" s="150">
        <f>AC72/('Resistencia aerodinámica con Rr'!$C$4*'Resistencia aerodinámica con Rr'!$E$4)</f>
        <v>0.85058045458594689</v>
      </c>
      <c r="AE72" s="150">
        <f t="shared" si="28"/>
        <v>0.65314874396684064</v>
      </c>
      <c r="AF72" s="149">
        <f t="shared" si="31"/>
        <v>21.010104652584779</v>
      </c>
      <c r="AG72" s="149">
        <f t="shared" si="29"/>
        <v>25.03736851872889</v>
      </c>
      <c r="AH72" s="150">
        <f t="shared" si="32"/>
        <v>521.64211435323682</v>
      </c>
    </row>
    <row r="73" spans="26:34" x14ac:dyDescent="0.25">
      <c r="Z73" s="116">
        <v>140</v>
      </c>
      <c r="AA73" s="147">
        <f>U48-((U48-U47)*(M48-Z73))/(M48-M47)</f>
        <v>1877.6369669012145</v>
      </c>
      <c r="AB73" s="150">
        <f>'Resistencia aerodinámica con Rr'!N91</f>
        <v>703.92072934599787</v>
      </c>
      <c r="AC73" s="150">
        <f t="shared" si="30"/>
        <v>1173.7162375552166</v>
      </c>
      <c r="AD73" s="150">
        <f>AC73/('Resistencia aerodinámica con Rr'!$C$4*'Resistencia aerodinámica con Rr'!$E$4)</f>
        <v>0.83687432267751627</v>
      </c>
      <c r="AE73" s="150">
        <f t="shared" si="28"/>
        <v>0.66384586132132417</v>
      </c>
      <c r="AF73" s="149">
        <f t="shared" si="31"/>
        <v>21.673950513906103</v>
      </c>
      <c r="AG73" s="149">
        <f t="shared" si="29"/>
        <v>25.816227940273716</v>
      </c>
      <c r="AH73" s="150">
        <f t="shared" si="32"/>
        <v>547.45834229351055</v>
      </c>
    </row>
    <row r="74" spans="26:34" x14ac:dyDescent="0.25">
      <c r="Z74" s="116">
        <v>142</v>
      </c>
      <c r="AA74" s="147">
        <f>U48</f>
        <v>1861.2646894337654</v>
      </c>
      <c r="AB74" s="150">
        <f>'Resistencia aerodinámica con Rr'!N92</f>
        <v>720.86035995791167</v>
      </c>
      <c r="AC74" s="150">
        <f t="shared" si="30"/>
        <v>1140.4043294758537</v>
      </c>
      <c r="AD74" s="150">
        <f>AC74/('Resistencia aerodinámica con Rr'!$C$4*'Resistencia aerodinámica con Rr'!$E$4)</f>
        <v>0.81312251656032353</v>
      </c>
      <c r="AE74" s="150">
        <f t="shared" si="28"/>
        <v>0.68323720502252294</v>
      </c>
      <c r="AF74" s="149">
        <f t="shared" si="31"/>
        <v>22.357187718928625</v>
      </c>
      <c r="AG74" s="149">
        <f t="shared" si="29"/>
        <v>26.949911975888405</v>
      </c>
      <c r="AH74" s="150">
        <f t="shared" si="32"/>
        <v>574.40825426939898</v>
      </c>
    </row>
    <row r="75" spans="26:34" x14ac:dyDescent="0.25">
      <c r="Z75" s="116">
        <v>144</v>
      </c>
      <c r="AA75" s="148">
        <f>V45</f>
        <v>1656.2049701468934</v>
      </c>
      <c r="AB75" s="150">
        <f>'Resistencia aerodinámica con Rr'!N93</f>
        <v>738.03225326482539</v>
      </c>
      <c r="AC75" s="150">
        <f t="shared" si="30"/>
        <v>918.17271688206802</v>
      </c>
      <c r="AD75" s="150">
        <f>AC75/('Resistencia aerodinámica con Rr'!$C$4*'Resistencia aerodinámica con Rr'!$E$4)</f>
        <v>0.6546686038374816</v>
      </c>
      <c r="AE75" s="150">
        <f t="shared" si="28"/>
        <v>0.84860577137661186</v>
      </c>
      <c r="AF75" s="149">
        <f t="shared" si="31"/>
        <v>23.205793490305236</v>
      </c>
      <c r="AG75" s="149">
        <f t="shared" si="29"/>
        <v>33.944230855064475</v>
      </c>
      <c r="AH75" s="150">
        <f t="shared" si="32"/>
        <v>608.35248512446344</v>
      </c>
    </row>
    <row r="76" spans="26:34" x14ac:dyDescent="0.25">
      <c r="Z76" s="116">
        <v>146</v>
      </c>
      <c r="AA76" s="148">
        <f>V46-((V46-V45)*(N46-Z76))/(N46-N45)</f>
        <v>1650.6495055577284</v>
      </c>
      <c r="AB76" s="150">
        <f>'Resistencia aerodinámica con Rr'!N95</f>
        <v>773.0728279636528</v>
      </c>
      <c r="AC76" s="150">
        <f t="shared" si="30"/>
        <v>877.57667759407559</v>
      </c>
      <c r="AD76" s="150">
        <f>AC76/('Resistencia aerodinámica con Rr'!$C$4*'Resistencia aerodinámica con Rr'!$E$4)</f>
        <v>0.62572312127919827</v>
      </c>
      <c r="AE76" s="150">
        <f t="shared" si="28"/>
        <v>0.88786163825911457</v>
      </c>
      <c r="AF76" s="149">
        <f t="shared" si="31"/>
        <v>24.09365512856435</v>
      </c>
      <c r="AG76" s="149">
        <f t="shared" si="29"/>
        <v>36.007721996064092</v>
      </c>
      <c r="AH76" s="150">
        <f t="shared" si="32"/>
        <v>644.36020712052755</v>
      </c>
    </row>
    <row r="77" spans="26:34" x14ac:dyDescent="0.25">
      <c r="Z77" s="116">
        <v>148</v>
      </c>
      <c r="AA77" s="148">
        <f>V46-((V46-V45)*(N46-Z77))/(N46-N45)</f>
        <v>1641.5539708254482</v>
      </c>
      <c r="AB77" s="150">
        <f>'Resistencia aerodinámica con Rr'!N96</f>
        <v>781.97813582273466</v>
      </c>
      <c r="AC77" s="150">
        <f t="shared" si="30"/>
        <v>859.57583500271357</v>
      </c>
      <c r="AD77" s="150">
        <f>AC77/('Resistencia aerodinámica con Rr'!$C$4*'Resistencia aerodinámica con Rr'!$E$4)</f>
        <v>0.61288829590211302</v>
      </c>
      <c r="AE77" s="150">
        <f t="shared" si="28"/>
        <v>0.90645482915908993</v>
      </c>
      <c r="AF77" s="149">
        <f t="shared" si="31"/>
        <v>25.000109957723438</v>
      </c>
      <c r="AG77" s="149">
        <f t="shared" si="29"/>
        <v>37.265365198762581</v>
      </c>
      <c r="AH77" s="150">
        <f t="shared" si="32"/>
        <v>681.62557231929009</v>
      </c>
    </row>
    <row r="78" spans="26:34" x14ac:dyDescent="0.25">
      <c r="Z78" s="116">
        <v>150</v>
      </c>
      <c r="AA78" s="148">
        <f>V46-((V46-V45)*(N46-Z78))/(N46-N45)</f>
        <v>1632.4584360931681</v>
      </c>
      <c r="AB78" s="150">
        <f>'Resistencia aerodinámica con Rr'!N97</f>
        <v>790.94150935556661</v>
      </c>
      <c r="AC78" s="150">
        <f t="shared" si="30"/>
        <v>841.51692673760147</v>
      </c>
      <c r="AD78" s="150">
        <f>AC78/('Resistencia aerodinámica con Rr'!$C$4*'Resistencia aerodinámica con Rr'!$E$4)</f>
        <v>0.60001206897511694</v>
      </c>
      <c r="AE78" s="150">
        <f t="shared" si="28"/>
        <v>0.92590730133895849</v>
      </c>
      <c r="AF78" s="149">
        <f t="shared" si="31"/>
        <v>25.926017259062398</v>
      </c>
      <c r="AG78" s="149">
        <f t="shared" si="29"/>
        <v>38.579470889123272</v>
      </c>
      <c r="AH78" s="150">
        <f t="shared" si="32"/>
        <v>720.20504320841337</v>
      </c>
    </row>
    <row r="79" spans="26:34" x14ac:dyDescent="0.25">
      <c r="Z79" s="116">
        <v>152</v>
      </c>
      <c r="AA79" s="148">
        <f>V46-((V46-V45)*(N46-Z79))/(N46-N45)</f>
        <v>1623.3629013608879</v>
      </c>
      <c r="AB79" s="117">
        <f>'Resistencia aerodinámica con Rr'!N98</f>
        <v>809.04245344248045</v>
      </c>
      <c r="AC79" s="150">
        <f t="shared" si="30"/>
        <v>814.32044791840747</v>
      </c>
      <c r="AD79" s="150">
        <f>AC79/('Resistencia aerodinámica con Rr'!$C$4*'Resistencia aerodinámica con Rr'!$E$4)</f>
        <v>0.58062064022702853</v>
      </c>
      <c r="AE79" s="150">
        <f t="shared" si="28"/>
        <v>0.95683053109914895</v>
      </c>
      <c r="AF79" s="149">
        <f t="shared" si="31"/>
        <v>26.882847790161549</v>
      </c>
      <c r="AG79" s="149">
        <f t="shared" si="29"/>
        <v>40.39951131307518</v>
      </c>
      <c r="AH79" s="150">
        <f t="shared" si="32"/>
        <v>760.60455452148858</v>
      </c>
    </row>
    <row r="80" spans="26:34" x14ac:dyDescent="0.25">
      <c r="Z80" s="116">
        <v>154</v>
      </c>
      <c r="AA80" s="148">
        <f>V46-((V46-V45)*(N46-Z80))/(N46-N45)</f>
        <v>1614.2673666286078</v>
      </c>
      <c r="AB80" s="150">
        <f>'Resistencia aerodinámica con Rr'!N98</f>
        <v>809.04245344248045</v>
      </c>
      <c r="AC80" s="150">
        <f t="shared" si="30"/>
        <v>805.22491318612731</v>
      </c>
      <c r="AD80" s="150">
        <f>AC80/('Resistencia aerodinámica con Rr'!$C$4*'Resistencia aerodinámica con Rr'!$E$4)</f>
        <v>0.57413541047139205</v>
      </c>
      <c r="AE80" s="150">
        <f t="shared" si="28"/>
        <v>0.96763854906531277</v>
      </c>
      <c r="AF80" s="149">
        <f t="shared" si="31"/>
        <v>27.850486339226862</v>
      </c>
      <c r="AG80" s="149">
        <f t="shared" si="29"/>
        <v>41.393426821127271</v>
      </c>
      <c r="AH80" s="150">
        <f t="shared" si="32"/>
        <v>801.99798134261584</v>
      </c>
    </row>
    <row r="81" spans="26:34" x14ac:dyDescent="0.25">
      <c r="Z81" s="116">
        <v>156</v>
      </c>
      <c r="AA81" s="148">
        <f>V46</f>
        <v>1605.5573877724867</v>
      </c>
      <c r="AB81" s="150">
        <f>'Resistencia aerodinámica con Rr'!N99</f>
        <v>827.3756602243941</v>
      </c>
      <c r="AC81" s="150">
        <f t="shared" si="30"/>
        <v>778.18172754809257</v>
      </c>
      <c r="AD81" s="150">
        <f>AC81/('Resistencia aerodinámica con Rr'!$C$4*'Resistencia aerodinámica con Rr'!$E$4)</f>
        <v>0.55485328167421932</v>
      </c>
      <c r="AE81" s="150">
        <f t="shared" si="28"/>
        <v>1.0012656929399737</v>
      </c>
      <c r="AF81" s="149">
        <f t="shared" si="31"/>
        <v>28.851752032166836</v>
      </c>
      <c r="AG81" s="149">
        <f t="shared" si="29"/>
        <v>43.38818002739886</v>
      </c>
      <c r="AH81" s="150">
        <f t="shared" si="32"/>
        <v>845.38616137001475</v>
      </c>
    </row>
    <row r="82" spans="26:34" x14ac:dyDescent="0.25">
      <c r="Z82" s="116">
        <v>158</v>
      </c>
      <c r="AA82" s="148">
        <f>V47-((V47-V46)*(N47-Z82))/(N47-N46)</f>
        <v>1594.7549848568224</v>
      </c>
      <c r="AB82" s="150">
        <f>'Resistencia aerodinámica con Rr'!N100</f>
        <v>845.94112970130789</v>
      </c>
      <c r="AC82" s="150">
        <f t="shared" si="30"/>
        <v>748.81385515551449</v>
      </c>
      <c r="AD82" s="150">
        <f>AC82/('Resistencia aerodinámica con Rr'!$C$4*'Resistencia aerodinámica con Rr'!$E$4)</f>
        <v>0.53391362221427063</v>
      </c>
      <c r="AE82" s="150">
        <f t="shared" si="28"/>
        <v>1.0405345217668929</v>
      </c>
      <c r="AF82" s="149">
        <f t="shared" si="31"/>
        <v>29.892286553933729</v>
      </c>
      <c r="AG82" s="149">
        <f t="shared" si="29"/>
        <v>45.667904010880299</v>
      </c>
      <c r="AH82" s="150">
        <f t="shared" si="32"/>
        <v>891.05406538089505</v>
      </c>
    </row>
    <row r="83" spans="26:34" x14ac:dyDescent="0.25">
      <c r="Z83" s="116">
        <v>160</v>
      </c>
      <c r="AA83" s="148">
        <f>V47-((V47-V46)*(N47-Z83))/(N47-N46)</f>
        <v>1584.3918700033423</v>
      </c>
      <c r="AB83" s="150">
        <f>'Resistencia aerodinámica con Rr'!N102</f>
        <v>874.22482646980359</v>
      </c>
      <c r="AC83" s="150">
        <f t="shared" si="30"/>
        <v>710.16704353353873</v>
      </c>
      <c r="AD83" s="150">
        <f>AC83/('Resistencia aerodinámica con Rr'!$C$4*'Resistencia aerodinámica con Rr'!$E$4)</f>
        <v>0.50635796330377092</v>
      </c>
      <c r="AE83" s="150">
        <f t="shared" si="28"/>
        <v>1.097159708777544</v>
      </c>
      <c r="AF83" s="149">
        <f t="shared" si="31"/>
        <v>30.989446262711272</v>
      </c>
      <c r="AG83" s="149">
        <f t="shared" si="29"/>
        <v>48.762653723446398</v>
      </c>
      <c r="AH83" s="150">
        <f t="shared" si="32"/>
        <v>939.81671910434147</v>
      </c>
    </row>
    <row r="84" spans="26:34" x14ac:dyDescent="0.25">
      <c r="Z84" s="116">
        <v>162</v>
      </c>
      <c r="AA84" s="148">
        <f>V47-((V47-V46)*(N47-Z84))/(N47-N46)</f>
        <v>1574.028755149862</v>
      </c>
      <c r="AB84" s="150">
        <f>'Resistencia aerodinámica con Rr'!N103</f>
        <v>883.76885674013545</v>
      </c>
      <c r="AC84" s="150">
        <f t="shared" si="30"/>
        <v>690.25989840972659</v>
      </c>
      <c r="AD84" s="150">
        <f>AC84/('Resistencia aerodinámica con Rr'!$C$4*'Resistencia aerodinámica con Rr'!$E$4)</f>
        <v>0.49216392043474266</v>
      </c>
      <c r="AE84" s="150">
        <f t="shared" si="28"/>
        <v>1.1288018737026015</v>
      </c>
      <c r="AF84" s="149">
        <f t="shared" si="31"/>
        <v>32.118248136413875</v>
      </c>
      <c r="AG84" s="149">
        <f t="shared" si="29"/>
        <v>50.796084316617069</v>
      </c>
      <c r="AH84" s="150">
        <f t="shared" si="32"/>
        <v>990.61280342095858</v>
      </c>
    </row>
    <row r="85" spans="26:34" x14ac:dyDescent="0.25">
      <c r="Z85" s="116">
        <v>164</v>
      </c>
      <c r="AA85" s="148">
        <f>V47-((V47-V46)*(N47-Z85))/(N47-N46)</f>
        <v>1563.6656402963818</v>
      </c>
      <c r="AB85" s="150">
        <f>'Resistencia aerodinámica con Rr'!N104</f>
        <v>903.03111430204922</v>
      </c>
      <c r="AC85" s="150">
        <f t="shared" si="30"/>
        <v>660.63452599433253</v>
      </c>
      <c r="AD85" s="150">
        <f>AC85/('Resistencia aerodinámica con Rr'!$C$4*'Resistencia aerodinámica con Rr'!$E$4)</f>
        <v>0.47104066024551339</v>
      </c>
      <c r="AE85" s="150">
        <f t="shared" si="28"/>
        <v>1.1794216560115889</v>
      </c>
      <c r="AF85" s="149">
        <f t="shared" si="31"/>
        <v>33.297669792425467</v>
      </c>
      <c r="AG85" s="149">
        <f t="shared" si="29"/>
        <v>53.729208773861274</v>
      </c>
      <c r="AH85" s="150">
        <f t="shared" si="32"/>
        <v>1044.3420121948197</v>
      </c>
    </row>
    <row r="86" spans="26:34" x14ac:dyDescent="0.25">
      <c r="Z86" s="116">
        <v>166</v>
      </c>
      <c r="AA86" s="148">
        <f>V47-((V47-V46)*(N47-Z86))/(N47-N46)</f>
        <v>1553.3025254429017</v>
      </c>
      <c r="AB86" s="117">
        <f>'Resistencia aerodinámica con Rr'!N105</f>
        <v>922.52563455896279</v>
      </c>
      <c r="AC86" s="150">
        <f t="shared" si="30"/>
        <v>630.7768908839389</v>
      </c>
      <c r="AD86" s="150">
        <f>AC86/('Resistencia aerodinámica con Rr'!$C$4*'Resistencia aerodinámica con Rr'!$E$4)</f>
        <v>0.44975179385664094</v>
      </c>
      <c r="AE86" s="150">
        <f t="shared" si="28"/>
        <v>1.2352492266715445</v>
      </c>
      <c r="AF86" s="149">
        <f t="shared" si="31"/>
        <v>34.532919019097008</v>
      </c>
      <c r="AG86" s="149">
        <f t="shared" si="29"/>
        <v>56.958714340965663</v>
      </c>
      <c r="AH86" s="150">
        <f t="shared" si="32"/>
        <v>1101.3007265357853</v>
      </c>
    </row>
    <row r="87" spans="26:34" x14ac:dyDescent="0.25">
      <c r="Z87" s="116">
        <v>168</v>
      </c>
      <c r="AA87" s="148">
        <f>V47</f>
        <v>1547.8514113075389</v>
      </c>
      <c r="AB87" s="150">
        <f>'Resistencia aerodinámica con Rr'!N105</f>
        <v>922.52563455896279</v>
      </c>
      <c r="AC87" s="150">
        <f t="shared" si="30"/>
        <v>625.32577674857612</v>
      </c>
      <c r="AD87" s="150">
        <f>AC87/('Resistencia aerodinámica con Rr'!$C$4*'Resistencia aerodinámica con Rr'!$E$4)</f>
        <v>0.44586508146066034</v>
      </c>
      <c r="AE87" s="150">
        <f t="shared" si="28"/>
        <v>1.2460171891809686</v>
      </c>
      <c r="AF87" s="149">
        <f t="shared" si="31"/>
        <v>35.778936208277976</v>
      </c>
      <c r="AG87" s="149">
        <f t="shared" si="29"/>
        <v>58.147468828445199</v>
      </c>
      <c r="AH87" s="150">
        <f t="shared" si="32"/>
        <v>1159.4481953642305</v>
      </c>
    </row>
    <row r="88" spans="26:34" x14ac:dyDescent="0.25">
      <c r="Z88" s="116">
        <v>170</v>
      </c>
      <c r="AA88" s="148">
        <f>V48-((V48-V47)*(N48-Z88))/(N48-N47)</f>
        <v>1529.9324966148097</v>
      </c>
      <c r="AB88" s="150">
        <f>'Resistencia aerodinámica con Rr'!N106</f>
        <v>942.25241751087663</v>
      </c>
      <c r="AC88" s="150">
        <f t="shared" si="30"/>
        <v>587.68007910393305</v>
      </c>
      <c r="AD88" s="150">
        <f>AC88/('Resistencia aerodinámica con Rr'!$C$4*'Resistencia aerodinámica con Rr'!$E$4)</f>
        <v>0.41902322930761715</v>
      </c>
      <c r="AE88" s="150">
        <f t="shared" si="28"/>
        <v>1.3258347430368975</v>
      </c>
      <c r="AF88" s="149">
        <f t="shared" si="31"/>
        <v>37.104770951314876</v>
      </c>
      <c r="AG88" s="149">
        <f t="shared" si="29"/>
        <v>62.608862865631274</v>
      </c>
      <c r="AH88" s="150">
        <f t="shared" si="32"/>
        <v>1222.0570582298617</v>
      </c>
    </row>
    <row r="89" spans="26:34" x14ac:dyDescent="0.25">
      <c r="Z89" s="116">
        <v>172</v>
      </c>
      <c r="AA89" s="148">
        <f>V48-((V48-V47)*(N48-Z89))/(N48-N47)</f>
        <v>1517.7757459741961</v>
      </c>
      <c r="AB89" s="150">
        <f>'Resistencia aerodinámica con Rr'!N107</f>
        <v>962.21146315779049</v>
      </c>
      <c r="AC89" s="150">
        <f t="shared" si="30"/>
        <v>555.56428281640558</v>
      </c>
      <c r="AD89" s="150">
        <f>AC89/('Resistencia aerodinámica con Rr'!$C$4*'Resistencia aerodinámica con Rr'!$E$4)</f>
        <v>0.39612426582274907</v>
      </c>
      <c r="AE89" s="150">
        <f t="shared" si="28"/>
        <v>1.4024779683760806</v>
      </c>
      <c r="AF89" s="149">
        <f t="shared" si="31"/>
        <v>38.507248919690959</v>
      </c>
      <c r="AG89" s="149">
        <f t="shared" si="29"/>
        <v>67.007280711301632</v>
      </c>
      <c r="AH89" s="150">
        <f t="shared" si="32"/>
        <v>1289.0643389411634</v>
      </c>
    </row>
    <row r="90" spans="26:34" x14ac:dyDescent="0.25">
      <c r="Z90" s="116">
        <v>174</v>
      </c>
      <c r="AA90" s="148">
        <f>V48-((V48-V47)*(N48-Z90))/(N48-N47)</f>
        <v>1505.6189953335825</v>
      </c>
      <c r="AB90" s="150">
        <f>'Resistencia aerodinámica con Rr'!N109</f>
        <v>982.40277149970416</v>
      </c>
      <c r="AC90" s="150">
        <f t="shared" si="30"/>
        <v>523.2162238338783</v>
      </c>
      <c r="AD90" s="150">
        <f>AC90/('Resistencia aerodinámica con Rr'!$C$4*'Resistencia aerodinámica con Rr'!$E$4)</f>
        <v>0.37305969613823764</v>
      </c>
      <c r="AE90" s="150">
        <f t="shared" si="28"/>
        <v>1.4891867476075302</v>
      </c>
      <c r="AF90" s="149">
        <f t="shared" si="31"/>
        <v>39.996435667298492</v>
      </c>
      <c r="AG90" s="149">
        <f t="shared" si="29"/>
        <v>71.977359467697283</v>
      </c>
      <c r="AH90" s="150">
        <f t="shared" si="32"/>
        <v>1361.0416984088606</v>
      </c>
    </row>
    <row r="91" spans="26:34" x14ac:dyDescent="0.25">
      <c r="Z91" s="116">
        <v>176</v>
      </c>
      <c r="AA91" s="148">
        <f>V48-((V48-V47)*(N48-Z91))/(N48-N47)</f>
        <v>1493.4622446929686</v>
      </c>
      <c r="AB91" s="150">
        <f>'Resistencia aerodinámica con Rr'!N110</f>
        <v>1002.8263425366179</v>
      </c>
      <c r="AC91" s="150">
        <f t="shared" si="30"/>
        <v>490.63590215635077</v>
      </c>
      <c r="AD91" s="150">
        <f>AC91/('Resistencia aerodinámica con Rr'!$C$4*'Resistencia aerodinámica con Rr'!$E$4)</f>
        <v>0.34982952025408254</v>
      </c>
      <c r="AE91" s="150">
        <f t="shared" si="28"/>
        <v>1.5880751148503804</v>
      </c>
      <c r="AF91" s="149">
        <f t="shared" si="31"/>
        <v>41.584510782148875</v>
      </c>
      <c r="AG91" s="149">
        <f t="shared" si="29"/>
        <v>77.63922783712971</v>
      </c>
      <c r="AH91" s="150">
        <f t="shared" si="32"/>
        <v>1438.6809262459903</v>
      </c>
    </row>
    <row r="92" spans="26:34" x14ac:dyDescent="0.25">
      <c r="Z92" s="116">
        <v>178</v>
      </c>
      <c r="AA92" s="148">
        <f>V48</f>
        <v>1480.1577519902435</v>
      </c>
      <c r="AB92" s="150">
        <f>'Resistencia aerodinámica con Rr'!N111</f>
        <v>1023.4821762685317</v>
      </c>
      <c r="AC92" s="150">
        <f t="shared" si="30"/>
        <v>456.67557572171177</v>
      </c>
      <c r="AD92" s="150">
        <f>AC92/('Resistencia aerodinámica con Rr'!$C$4*'Resistencia aerodinámica con Rr'!$E$4)</f>
        <v>0.32561538375879628</v>
      </c>
      <c r="AE92" s="150"/>
      <c r="AF92" s="149">
        <f t="shared" si="31"/>
        <v>41.584510782148875</v>
      </c>
      <c r="AG92" s="149"/>
      <c r="AH92" s="150">
        <f t="shared" si="32"/>
        <v>1438.6809262459903</v>
      </c>
    </row>
  </sheetData>
  <mergeCells count="13">
    <mergeCell ref="B1:D1"/>
    <mergeCell ref="F1:K1"/>
    <mergeCell ref="R29:S29"/>
    <mergeCell ref="U29:V29"/>
    <mergeCell ref="B35:G35"/>
    <mergeCell ref="J35:O35"/>
    <mergeCell ref="R35:W35"/>
    <mergeCell ref="Q1:U1"/>
    <mergeCell ref="Q55:W55"/>
    <mergeCell ref="M1:O1"/>
    <mergeCell ref="F12:K12"/>
    <mergeCell ref="F14:H14"/>
    <mergeCell ref="F18:K18"/>
  </mergeCells>
  <conditionalFormatting sqref="C3:C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F10" r:id="rId1" xr:uid="{ACC2CBCF-A24E-4CEA-A719-FC0E17E91526}"/>
    <hyperlink ref="F9" r:id="rId2" xr:uid="{CA256212-92A4-45C2-A3B0-0BE195BD8909}"/>
  </hyperlinks>
  <pageMargins left="0.7" right="0.7" top="0.75" bottom="0.75" header="0.3" footer="0.3"/>
  <ignoredErrors>
    <ignoredError sqref="AG4:AG10 AG91" formula="1"/>
  </ignoredError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86E1-2CC1-41FC-B403-A111C5A46A5D}">
  <dimension ref="A1:Q55"/>
  <sheetViews>
    <sheetView zoomScale="85" zoomScaleNormal="85" workbookViewId="0">
      <selection activeCell="G28" sqref="G28"/>
    </sheetView>
  </sheetViews>
  <sheetFormatPr baseColWidth="10" defaultRowHeight="15" x14ac:dyDescent="0.25"/>
  <cols>
    <col min="2" max="2" width="39.28515625" customWidth="1"/>
    <col min="5" max="5" width="16.85546875" customWidth="1"/>
    <col min="7" max="7" width="20.140625" customWidth="1"/>
    <col min="8" max="8" width="15.42578125" customWidth="1"/>
    <col min="13" max="13" width="13.28515625" customWidth="1"/>
    <col min="14" max="14" width="13" customWidth="1"/>
  </cols>
  <sheetData>
    <row r="1" spans="2:16" x14ac:dyDescent="0.25">
      <c r="B1" s="1" t="s">
        <v>495</v>
      </c>
    </row>
    <row r="3" spans="2:16" ht="45" customHeight="1" x14ac:dyDescent="0.25">
      <c r="B3" s="233" t="s">
        <v>278</v>
      </c>
      <c r="C3" s="234" t="s">
        <v>292</v>
      </c>
      <c r="D3" s="234" t="s">
        <v>296</v>
      </c>
      <c r="E3" s="234"/>
      <c r="F3" s="234"/>
      <c r="G3" s="237" t="s">
        <v>297</v>
      </c>
      <c r="H3" s="237" t="s">
        <v>298</v>
      </c>
      <c r="I3" s="237" t="s">
        <v>299</v>
      </c>
      <c r="J3" s="163" t="s">
        <v>293</v>
      </c>
      <c r="K3" s="163" t="s">
        <v>303</v>
      </c>
      <c r="L3" s="163" t="s">
        <v>304</v>
      </c>
      <c r="M3" s="163" t="s">
        <v>390</v>
      </c>
      <c r="N3" s="163" t="s">
        <v>305</v>
      </c>
      <c r="O3" s="163" t="s">
        <v>306</v>
      </c>
      <c r="P3" s="163" t="s">
        <v>307</v>
      </c>
    </row>
    <row r="4" spans="2:16" x14ac:dyDescent="0.25">
      <c r="B4" s="233"/>
      <c r="C4" s="234"/>
      <c r="D4" s="163" t="s">
        <v>293</v>
      </c>
      <c r="E4" s="163" t="s">
        <v>294</v>
      </c>
      <c r="F4" s="163" t="s">
        <v>295</v>
      </c>
      <c r="G4" s="237"/>
      <c r="H4" s="237"/>
      <c r="I4" s="237"/>
      <c r="J4" s="163" t="s">
        <v>300</v>
      </c>
      <c r="K4" s="163" t="s">
        <v>301</v>
      </c>
      <c r="L4" s="163" t="s">
        <v>302</v>
      </c>
      <c r="M4" s="163" t="s">
        <v>308</v>
      </c>
      <c r="N4" s="163" t="s">
        <v>385</v>
      </c>
      <c r="O4" s="163" t="s">
        <v>391</v>
      </c>
      <c r="P4" s="163" t="s">
        <v>309</v>
      </c>
    </row>
    <row r="5" spans="2:16" x14ac:dyDescent="0.25">
      <c r="B5" s="164" t="s">
        <v>279</v>
      </c>
      <c r="C5" s="116">
        <v>300</v>
      </c>
      <c r="D5" s="160">
        <f>K36*I41</f>
        <v>1.0934999999999999</v>
      </c>
      <c r="E5" s="160">
        <v>0</v>
      </c>
      <c r="F5" s="160">
        <v>0.25</v>
      </c>
      <c r="G5" s="116">
        <f>$C5*D5</f>
        <v>328.04999999999995</v>
      </c>
      <c r="H5" s="116">
        <f t="shared" ref="H5:I5" si="0">$C5*E5</f>
        <v>0</v>
      </c>
      <c r="I5" s="116">
        <f t="shared" si="0"/>
        <v>75</v>
      </c>
      <c r="J5" s="116">
        <f>D5-K$32</f>
        <v>2.3891006842619689E-2</v>
      </c>
      <c r="K5" s="116">
        <f t="shared" ref="K5:L5" si="1">E5-L$32</f>
        <v>6.0384897360703835E-2</v>
      </c>
      <c r="L5" s="116">
        <f t="shared" si="1"/>
        <v>-3.8644183773216045E-2</v>
      </c>
      <c r="M5" s="116">
        <f>C5*((E5^2)+(F5^2))</f>
        <v>18.75</v>
      </c>
      <c r="N5" s="116">
        <f>C5*((D5^2)+(F5^2))</f>
        <v>377.47267499999998</v>
      </c>
      <c r="O5" s="116">
        <f>C5*((D5^2)+(E5^2))</f>
        <v>358.72267499999998</v>
      </c>
      <c r="P5" s="116">
        <f t="shared" ref="P5:P19" si="2">C5*D5*F5</f>
        <v>82.012499999999989</v>
      </c>
    </row>
    <row r="6" spans="2:16" x14ac:dyDescent="0.25">
      <c r="B6" s="164" t="s">
        <v>367</v>
      </c>
      <c r="C6" s="116">
        <v>139</v>
      </c>
      <c r="D6" s="160">
        <v>0</v>
      </c>
      <c r="E6" s="160">
        <v>0</v>
      </c>
      <c r="F6" s="160">
        <v>0.36</v>
      </c>
      <c r="G6" s="116">
        <f t="shared" ref="G6:G19" si="3">$C6*D6</f>
        <v>0</v>
      </c>
      <c r="H6" s="116">
        <f t="shared" ref="H6:H19" si="4">$C6*E6</f>
        <v>0</v>
      </c>
      <c r="I6" s="116">
        <f t="shared" ref="I6:I19" si="5">$C6*F6</f>
        <v>50.04</v>
      </c>
      <c r="J6" s="116">
        <f t="shared" ref="J6:J19" si="6">D6-K$32</f>
        <v>-1.0696089931573802</v>
      </c>
      <c r="K6" s="116">
        <f t="shared" ref="K6:K19" si="7">E6-L$32</f>
        <v>6.0384897360703835E-2</v>
      </c>
      <c r="L6" s="116">
        <f t="shared" ref="L6:L19" si="8">F6-M$32</f>
        <v>7.1355816226783941E-2</v>
      </c>
      <c r="M6" s="116">
        <f t="shared" ref="M6:M19" si="9">C6*((E6^2)+(F6^2))</f>
        <v>18.014399999999998</v>
      </c>
      <c r="N6" s="116">
        <f t="shared" ref="N6:N19" si="10">C6*((D6^2)+(F6^2))</f>
        <v>18.014399999999998</v>
      </c>
      <c r="O6" s="116">
        <f t="shared" ref="O6:O19" si="11">C6*((D6^2)+(E6^2))</f>
        <v>0</v>
      </c>
      <c r="P6" s="116">
        <f t="shared" si="2"/>
        <v>0</v>
      </c>
    </row>
    <row r="7" spans="2:16" x14ac:dyDescent="0.25">
      <c r="B7" s="164" t="s">
        <v>368</v>
      </c>
      <c r="C7" s="116">
        <v>40</v>
      </c>
      <c r="D7" s="160">
        <v>0</v>
      </c>
      <c r="E7" s="160">
        <f>-(C36/2)</f>
        <v>-0.72250000000000003</v>
      </c>
      <c r="F7" s="160">
        <v>0.36</v>
      </c>
      <c r="G7" s="116">
        <f t="shared" si="3"/>
        <v>0</v>
      </c>
      <c r="H7" s="116">
        <f t="shared" si="4"/>
        <v>-28.900000000000002</v>
      </c>
      <c r="I7" s="116">
        <f t="shared" si="5"/>
        <v>14.399999999999999</v>
      </c>
      <c r="J7" s="116">
        <f t="shared" si="6"/>
        <v>-1.0696089931573802</v>
      </c>
      <c r="K7" s="116">
        <f t="shared" si="7"/>
        <v>-0.66211510263929618</v>
      </c>
      <c r="L7" s="116">
        <f t="shared" si="8"/>
        <v>7.1355816226783941E-2</v>
      </c>
      <c r="M7" s="116">
        <f t="shared" si="9"/>
        <v>26.064249999999998</v>
      </c>
      <c r="N7" s="116">
        <f t="shared" si="10"/>
        <v>5.1839999999999993</v>
      </c>
      <c r="O7" s="116">
        <f t="shared" si="11"/>
        <v>20.88025</v>
      </c>
      <c r="P7" s="116">
        <f t="shared" si="2"/>
        <v>0</v>
      </c>
    </row>
    <row r="8" spans="2:16" x14ac:dyDescent="0.25">
      <c r="B8" s="164" t="s">
        <v>280</v>
      </c>
      <c r="C8" s="116">
        <v>75</v>
      </c>
      <c r="D8" s="160">
        <v>1.1499999999999999</v>
      </c>
      <c r="E8" s="160">
        <f>-(C36/4)</f>
        <v>-0.36125000000000002</v>
      </c>
      <c r="F8" s="160">
        <v>0.36</v>
      </c>
      <c r="G8" s="116">
        <f t="shared" si="3"/>
        <v>86.25</v>
      </c>
      <c r="H8" s="116">
        <f t="shared" si="4"/>
        <v>-27.09375</v>
      </c>
      <c r="I8" s="116">
        <f t="shared" si="5"/>
        <v>27</v>
      </c>
      <c r="J8" s="116">
        <f t="shared" si="6"/>
        <v>8.0391006842619683E-2</v>
      </c>
      <c r="K8" s="116">
        <f t="shared" si="7"/>
        <v>-0.30086510263929617</v>
      </c>
      <c r="L8" s="116">
        <f t="shared" si="8"/>
        <v>7.1355816226783941E-2</v>
      </c>
      <c r="M8" s="116">
        <f t="shared" si="9"/>
        <v>19.507617187499999</v>
      </c>
      <c r="N8" s="116">
        <f t="shared" si="10"/>
        <v>108.90749999999998</v>
      </c>
      <c r="O8" s="116">
        <f t="shared" si="11"/>
        <v>108.97511718749999</v>
      </c>
      <c r="P8" s="116">
        <f t="shared" si="2"/>
        <v>31.049999999999997</v>
      </c>
    </row>
    <row r="9" spans="2:16" x14ac:dyDescent="0.25">
      <c r="B9" s="164" t="s">
        <v>281</v>
      </c>
      <c r="C9" s="116">
        <v>0</v>
      </c>
      <c r="D9" s="160">
        <f>D8</f>
        <v>1.1499999999999999</v>
      </c>
      <c r="E9" s="160">
        <f>-(E8)</f>
        <v>0.36125000000000002</v>
      </c>
      <c r="F9" s="160">
        <f>F8</f>
        <v>0.36</v>
      </c>
      <c r="G9" s="116">
        <f t="shared" si="3"/>
        <v>0</v>
      </c>
      <c r="H9" s="116">
        <f t="shared" si="4"/>
        <v>0</v>
      </c>
      <c r="I9" s="116">
        <f t="shared" si="5"/>
        <v>0</v>
      </c>
      <c r="J9" s="116">
        <f t="shared" si="6"/>
        <v>8.0391006842619683E-2</v>
      </c>
      <c r="K9" s="116">
        <f t="shared" si="7"/>
        <v>0.42163489736070386</v>
      </c>
      <c r="L9" s="116">
        <f t="shared" si="8"/>
        <v>7.1355816226783941E-2</v>
      </c>
      <c r="M9" s="116">
        <f t="shared" si="9"/>
        <v>0</v>
      </c>
      <c r="N9" s="116">
        <f t="shared" si="10"/>
        <v>0</v>
      </c>
      <c r="O9" s="116">
        <f t="shared" si="11"/>
        <v>0</v>
      </c>
      <c r="P9" s="116">
        <f t="shared" si="2"/>
        <v>0</v>
      </c>
    </row>
    <row r="10" spans="2:16" x14ac:dyDescent="0.25">
      <c r="B10" s="164" t="s">
        <v>282</v>
      </c>
      <c r="C10" s="116">
        <v>0</v>
      </c>
      <c r="D10" s="160">
        <v>2.0699999999999998</v>
      </c>
      <c r="E10" s="160">
        <f>E8</f>
        <v>-0.36125000000000002</v>
      </c>
      <c r="F10" s="160">
        <f>F8</f>
        <v>0.36</v>
      </c>
      <c r="G10" s="116">
        <f t="shared" si="3"/>
        <v>0</v>
      </c>
      <c r="H10" s="116">
        <f t="shared" si="4"/>
        <v>0</v>
      </c>
      <c r="I10" s="116">
        <f t="shared" si="5"/>
        <v>0</v>
      </c>
      <c r="J10" s="116">
        <f t="shared" si="6"/>
        <v>1.0003910068426196</v>
      </c>
      <c r="K10" s="116">
        <f t="shared" si="7"/>
        <v>-0.30086510263929617</v>
      </c>
      <c r="L10" s="116">
        <f t="shared" si="8"/>
        <v>7.1355816226783941E-2</v>
      </c>
      <c r="M10" s="116">
        <f t="shared" si="9"/>
        <v>0</v>
      </c>
      <c r="N10" s="116">
        <f t="shared" si="10"/>
        <v>0</v>
      </c>
      <c r="O10" s="116">
        <f t="shared" si="11"/>
        <v>0</v>
      </c>
      <c r="P10" s="116">
        <f t="shared" si="2"/>
        <v>0</v>
      </c>
    </row>
    <row r="11" spans="2:16" x14ac:dyDescent="0.25">
      <c r="B11" s="164" t="s">
        <v>283</v>
      </c>
      <c r="C11" s="116">
        <v>0</v>
      </c>
      <c r="D11" s="160">
        <f>D10</f>
        <v>2.0699999999999998</v>
      </c>
      <c r="E11" s="160">
        <f>E9</f>
        <v>0.36125000000000002</v>
      </c>
      <c r="F11" s="160">
        <f>F8</f>
        <v>0.36</v>
      </c>
      <c r="G11" s="116">
        <f t="shared" si="3"/>
        <v>0</v>
      </c>
      <c r="H11" s="116">
        <f t="shared" si="4"/>
        <v>0</v>
      </c>
      <c r="I11" s="116">
        <f t="shared" si="5"/>
        <v>0</v>
      </c>
      <c r="J11" s="116">
        <f t="shared" si="6"/>
        <v>1.0003910068426196</v>
      </c>
      <c r="K11" s="116">
        <f t="shared" si="7"/>
        <v>0.42163489736070386</v>
      </c>
      <c r="L11" s="116">
        <f t="shared" si="8"/>
        <v>7.1355816226783941E-2</v>
      </c>
      <c r="M11" s="116">
        <f t="shared" si="9"/>
        <v>0</v>
      </c>
      <c r="N11" s="116">
        <f t="shared" si="10"/>
        <v>0</v>
      </c>
      <c r="O11" s="116">
        <f t="shared" si="11"/>
        <v>0</v>
      </c>
      <c r="P11" s="116">
        <f t="shared" si="2"/>
        <v>0</v>
      </c>
    </row>
    <row r="12" spans="2:16" x14ac:dyDescent="0.25">
      <c r="B12" s="164" t="s">
        <v>369</v>
      </c>
      <c r="C12" s="116">
        <v>38</v>
      </c>
      <c r="D12" s="160">
        <v>2.78</v>
      </c>
      <c r="E12" s="160">
        <v>0</v>
      </c>
      <c r="F12" s="160">
        <v>0.15</v>
      </c>
      <c r="G12" s="116">
        <f t="shared" si="3"/>
        <v>105.63999999999999</v>
      </c>
      <c r="H12" s="116">
        <f t="shared" si="4"/>
        <v>0</v>
      </c>
      <c r="I12" s="116">
        <f t="shared" si="5"/>
        <v>5.7</v>
      </c>
      <c r="J12" s="116">
        <f t="shared" si="6"/>
        <v>1.7103910068426196</v>
      </c>
      <c r="K12" s="116">
        <f t="shared" si="7"/>
        <v>6.0384897360703835E-2</v>
      </c>
      <c r="L12" s="116">
        <f t="shared" si="8"/>
        <v>-0.13864418377321605</v>
      </c>
      <c r="M12" s="116">
        <f t="shared" si="9"/>
        <v>0.85499999999999998</v>
      </c>
      <c r="N12" s="116">
        <f t="shared" si="10"/>
        <v>294.53419999999994</v>
      </c>
      <c r="O12" s="116">
        <f t="shared" si="11"/>
        <v>293.67919999999998</v>
      </c>
      <c r="P12" s="116">
        <f t="shared" si="2"/>
        <v>15.845999999999997</v>
      </c>
    </row>
    <row r="13" spans="2:16" x14ac:dyDescent="0.25">
      <c r="B13" s="164" t="s">
        <v>284</v>
      </c>
      <c r="C13" s="116">
        <v>15</v>
      </c>
      <c r="D13" s="160">
        <v>2.78</v>
      </c>
      <c r="E13" s="160">
        <v>0</v>
      </c>
      <c r="F13" s="160">
        <v>0.45</v>
      </c>
      <c r="G13" s="116">
        <f t="shared" si="3"/>
        <v>41.699999999999996</v>
      </c>
      <c r="H13" s="116">
        <f t="shared" si="4"/>
        <v>0</v>
      </c>
      <c r="I13" s="116">
        <f t="shared" si="5"/>
        <v>6.75</v>
      </c>
      <c r="J13" s="116">
        <f t="shared" si="6"/>
        <v>1.7103910068426196</v>
      </c>
      <c r="K13" s="116">
        <f t="shared" si="7"/>
        <v>6.0384897360703835E-2</v>
      </c>
      <c r="L13" s="116">
        <f t="shared" si="8"/>
        <v>0.16135581622678397</v>
      </c>
      <c r="M13" s="116">
        <f t="shared" si="9"/>
        <v>3.0375000000000001</v>
      </c>
      <c r="N13" s="116">
        <f t="shared" si="10"/>
        <v>118.96349999999998</v>
      </c>
      <c r="O13" s="116">
        <f t="shared" si="11"/>
        <v>115.92599999999999</v>
      </c>
      <c r="P13" s="116">
        <f t="shared" si="2"/>
        <v>18.764999999999997</v>
      </c>
    </row>
    <row r="14" spans="2:16" x14ac:dyDescent="0.25">
      <c r="B14" s="164" t="s">
        <v>285</v>
      </c>
      <c r="C14" s="116">
        <v>9</v>
      </c>
      <c r="D14" s="160">
        <v>3</v>
      </c>
      <c r="E14" s="160">
        <v>0</v>
      </c>
      <c r="F14" s="160">
        <v>0.3</v>
      </c>
      <c r="G14" s="116">
        <f t="shared" si="3"/>
        <v>27</v>
      </c>
      <c r="H14" s="116">
        <f t="shared" si="4"/>
        <v>0</v>
      </c>
      <c r="I14" s="116">
        <f t="shared" si="5"/>
        <v>2.6999999999999997</v>
      </c>
      <c r="J14" s="116">
        <f t="shared" si="6"/>
        <v>1.9303910068426198</v>
      </c>
      <c r="K14" s="116">
        <f t="shared" si="7"/>
        <v>6.0384897360703835E-2</v>
      </c>
      <c r="L14" s="116">
        <f t="shared" si="8"/>
        <v>1.1355816226783944E-2</v>
      </c>
      <c r="M14" s="116">
        <f t="shared" si="9"/>
        <v>0.80999999999999994</v>
      </c>
      <c r="N14" s="116">
        <f t="shared" si="10"/>
        <v>81.81</v>
      </c>
      <c r="O14" s="116">
        <f t="shared" si="11"/>
        <v>81</v>
      </c>
      <c r="P14" s="116">
        <f t="shared" si="2"/>
        <v>8.1</v>
      </c>
    </row>
    <row r="15" spans="2:16" x14ac:dyDescent="0.25">
      <c r="B15" s="164" t="s">
        <v>286</v>
      </c>
      <c r="C15" s="116">
        <v>12</v>
      </c>
      <c r="D15" s="160">
        <v>-0.5</v>
      </c>
      <c r="E15" s="173">
        <f>-C36/3</f>
        <v>-0.48166666666666669</v>
      </c>
      <c r="F15" s="160">
        <v>0.36</v>
      </c>
      <c r="G15" s="116">
        <f t="shared" si="3"/>
        <v>-6</v>
      </c>
      <c r="H15" s="116">
        <f t="shared" si="4"/>
        <v>-5.78</v>
      </c>
      <c r="I15" s="116">
        <f t="shared" si="5"/>
        <v>4.32</v>
      </c>
      <c r="J15" s="116">
        <f t="shared" si="6"/>
        <v>-1.5696089931573802</v>
      </c>
      <c r="K15" s="116">
        <f t="shared" si="7"/>
        <v>-0.42128176930596284</v>
      </c>
      <c r="L15" s="116">
        <f t="shared" si="8"/>
        <v>7.1355816226783941E-2</v>
      </c>
      <c r="M15" s="116">
        <f t="shared" si="9"/>
        <v>4.3392333333333344</v>
      </c>
      <c r="N15" s="116">
        <f t="shared" si="10"/>
        <v>4.5552000000000001</v>
      </c>
      <c r="O15" s="116">
        <f t="shared" si="11"/>
        <v>5.7840333333333334</v>
      </c>
      <c r="P15" s="116">
        <f t="shared" si="2"/>
        <v>-2.16</v>
      </c>
    </row>
    <row r="16" spans="2:16" x14ac:dyDescent="0.25">
      <c r="B16" s="164" t="s">
        <v>287</v>
      </c>
      <c r="C16" s="116">
        <v>30</v>
      </c>
      <c r="D16" s="160">
        <f>D8</f>
        <v>1.1499999999999999</v>
      </c>
      <c r="E16" s="160">
        <f>E8</f>
        <v>-0.36125000000000002</v>
      </c>
      <c r="F16" s="160">
        <v>0.18</v>
      </c>
      <c r="G16" s="116">
        <f t="shared" si="3"/>
        <v>34.5</v>
      </c>
      <c r="H16" s="116">
        <f t="shared" si="4"/>
        <v>-10.8375</v>
      </c>
      <c r="I16" s="116">
        <f t="shared" si="5"/>
        <v>5.3999999999999995</v>
      </c>
      <c r="J16" s="116">
        <f t="shared" si="6"/>
        <v>8.0391006842619683E-2</v>
      </c>
      <c r="K16" s="116">
        <f t="shared" si="7"/>
        <v>-0.30086510263929617</v>
      </c>
      <c r="L16" s="116">
        <f t="shared" si="8"/>
        <v>-0.10864418377321605</v>
      </c>
      <c r="M16" s="116">
        <f t="shared" si="9"/>
        <v>4.8870468749999993</v>
      </c>
      <c r="N16" s="116">
        <f t="shared" si="10"/>
        <v>40.646999999999991</v>
      </c>
      <c r="O16" s="116">
        <f t="shared" si="11"/>
        <v>43.590046874999999</v>
      </c>
      <c r="P16" s="116">
        <f t="shared" si="2"/>
        <v>6.21</v>
      </c>
    </row>
    <row r="17" spans="1:16" x14ac:dyDescent="0.25">
      <c r="B17" s="164" t="s">
        <v>288</v>
      </c>
      <c r="C17" s="116">
        <v>30</v>
      </c>
      <c r="D17" s="160">
        <f>D16</f>
        <v>1.1499999999999999</v>
      </c>
      <c r="E17" s="160">
        <f>-E16</f>
        <v>0.36125000000000002</v>
      </c>
      <c r="F17" s="160">
        <f>F16</f>
        <v>0.18</v>
      </c>
      <c r="G17" s="116">
        <f t="shared" si="3"/>
        <v>34.5</v>
      </c>
      <c r="H17" s="116">
        <f t="shared" si="4"/>
        <v>10.8375</v>
      </c>
      <c r="I17" s="116">
        <f t="shared" si="5"/>
        <v>5.3999999999999995</v>
      </c>
      <c r="J17" s="116">
        <f t="shared" si="6"/>
        <v>8.0391006842619683E-2</v>
      </c>
      <c r="K17" s="116">
        <f t="shared" si="7"/>
        <v>0.42163489736070386</v>
      </c>
      <c r="L17" s="116">
        <f t="shared" si="8"/>
        <v>-0.10864418377321605</v>
      </c>
      <c r="M17" s="116">
        <f t="shared" si="9"/>
        <v>4.8870468749999993</v>
      </c>
      <c r="N17" s="116">
        <f t="shared" si="10"/>
        <v>40.646999999999991</v>
      </c>
      <c r="O17" s="116">
        <f t="shared" si="11"/>
        <v>43.590046874999999</v>
      </c>
      <c r="P17" s="116">
        <f t="shared" si="2"/>
        <v>6.21</v>
      </c>
    </row>
    <row r="18" spans="1:16" x14ac:dyDescent="0.25">
      <c r="B18" s="164" t="s">
        <v>289</v>
      </c>
      <c r="C18" s="116">
        <v>15</v>
      </c>
      <c r="D18" s="160">
        <f>D10</f>
        <v>2.0699999999999998</v>
      </c>
      <c r="E18" s="160">
        <v>0</v>
      </c>
      <c r="F18" s="160">
        <f>F17</f>
        <v>0.18</v>
      </c>
      <c r="G18" s="116">
        <f t="shared" si="3"/>
        <v>31.049999999999997</v>
      </c>
      <c r="H18" s="116">
        <f t="shared" si="4"/>
        <v>0</v>
      </c>
      <c r="I18" s="116">
        <f t="shared" si="5"/>
        <v>2.6999999999999997</v>
      </c>
      <c r="J18" s="116">
        <f t="shared" si="6"/>
        <v>1.0003910068426196</v>
      </c>
      <c r="K18" s="116">
        <f t="shared" si="7"/>
        <v>6.0384897360703835E-2</v>
      </c>
      <c r="L18" s="116">
        <f t="shared" si="8"/>
        <v>-0.10864418377321605</v>
      </c>
      <c r="M18" s="116">
        <f t="shared" si="9"/>
        <v>0.48599999999999999</v>
      </c>
      <c r="N18" s="116">
        <f t="shared" si="10"/>
        <v>64.759499999999989</v>
      </c>
      <c r="O18" s="116">
        <f t="shared" si="11"/>
        <v>64.273499999999999</v>
      </c>
      <c r="P18" s="116">
        <f t="shared" si="2"/>
        <v>5.5889999999999995</v>
      </c>
    </row>
    <row r="19" spans="1:16" x14ac:dyDescent="0.25">
      <c r="B19" s="164" t="s">
        <v>290</v>
      </c>
      <c r="C19" s="116">
        <v>320</v>
      </c>
      <c r="D19" s="161">
        <v>0.8</v>
      </c>
      <c r="E19" s="161">
        <v>0</v>
      </c>
      <c r="F19" s="161">
        <v>0.25</v>
      </c>
      <c r="G19" s="157">
        <f t="shared" si="3"/>
        <v>256</v>
      </c>
      <c r="H19" s="157">
        <f t="shared" si="4"/>
        <v>0</v>
      </c>
      <c r="I19" s="157">
        <f t="shared" si="5"/>
        <v>80</v>
      </c>
      <c r="J19" s="157">
        <f t="shared" si="6"/>
        <v>-0.26960899315738018</v>
      </c>
      <c r="K19" s="157">
        <f t="shared" si="7"/>
        <v>6.0384897360703835E-2</v>
      </c>
      <c r="L19" s="157">
        <f t="shared" si="8"/>
        <v>-3.8644183773216045E-2</v>
      </c>
      <c r="M19" s="116">
        <f t="shared" si="9"/>
        <v>20</v>
      </c>
      <c r="N19" s="116">
        <f t="shared" si="10"/>
        <v>224.80000000000004</v>
      </c>
      <c r="O19" s="116">
        <f t="shared" si="11"/>
        <v>204.80000000000004</v>
      </c>
      <c r="P19" s="116">
        <f t="shared" si="2"/>
        <v>64</v>
      </c>
    </row>
    <row r="20" spans="1:16" x14ac:dyDescent="0.25">
      <c r="B20" s="165" t="s">
        <v>291</v>
      </c>
      <c r="C20" s="165">
        <f>SUM(C5:C19)</f>
        <v>1023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</row>
    <row r="22" spans="1:16" x14ac:dyDescent="0.25">
      <c r="A22" s="186">
        <v>185</v>
      </c>
      <c r="B22" s="164" t="s">
        <v>310</v>
      </c>
      <c r="C22" s="116">
        <v>34</v>
      </c>
      <c r="D22" s="70">
        <v>0</v>
      </c>
      <c r="E22" s="70">
        <f>-C36/2</f>
        <v>-0.72250000000000003</v>
      </c>
      <c r="F22" s="70">
        <f>(A22*(A23/100))/1000</f>
        <v>0.12025</v>
      </c>
      <c r="G22" s="116">
        <f>$C22*D22</f>
        <v>0</v>
      </c>
      <c r="H22" s="116">
        <f t="shared" ref="H22:I22" si="12">$C22*E22</f>
        <v>-24.565000000000001</v>
      </c>
      <c r="I22" s="116">
        <f t="shared" si="12"/>
        <v>4.0884999999999998</v>
      </c>
      <c r="J22" s="157">
        <f t="shared" ref="J22" si="13">D22-K$32</f>
        <v>-1.0696089931573802</v>
      </c>
      <c r="K22" s="157">
        <f t="shared" ref="K22" si="14">E22-L$32</f>
        <v>-0.66211510263929618</v>
      </c>
      <c r="L22" s="157">
        <f t="shared" ref="L22" si="15">F22-M$32</f>
        <v>-0.16839418377321605</v>
      </c>
      <c r="M22" s="116">
        <f t="shared" ref="M22" si="16">C22*((E22^2)+(F22^2))</f>
        <v>18.239854625</v>
      </c>
      <c r="N22" s="116">
        <f t="shared" ref="N22" si="17">C22*((D22^2)+(F22^2))</f>
        <v>0.49164212499999999</v>
      </c>
      <c r="O22" s="116">
        <f t="shared" ref="O22" si="18">C22*((D22^2)+(E22^2))</f>
        <v>17.748212500000001</v>
      </c>
      <c r="P22" s="116">
        <f>C22*D22*F22</f>
        <v>0</v>
      </c>
    </row>
    <row r="23" spans="1:16" x14ac:dyDescent="0.25">
      <c r="A23" s="186">
        <v>65</v>
      </c>
      <c r="B23" s="164" t="s">
        <v>311</v>
      </c>
      <c r="C23" s="116">
        <f>C22</f>
        <v>34</v>
      </c>
      <c r="D23" s="70">
        <v>0</v>
      </c>
      <c r="E23" s="70">
        <f>C36/2</f>
        <v>0.72250000000000003</v>
      </c>
      <c r="F23" s="70">
        <f>$F$22</f>
        <v>0.12025</v>
      </c>
      <c r="G23" s="116">
        <f t="shared" ref="G23:G25" si="19">$C23*D23</f>
        <v>0</v>
      </c>
      <c r="H23" s="116">
        <f t="shared" ref="H23:H25" si="20">$C23*E23</f>
        <v>24.565000000000001</v>
      </c>
      <c r="I23" s="116">
        <f t="shared" ref="I23:I25" si="21">$C23*F23</f>
        <v>4.0884999999999998</v>
      </c>
      <c r="J23" s="157">
        <f t="shared" ref="J23:J25" si="22">D23-K$32</f>
        <v>-1.0696089931573802</v>
      </c>
      <c r="K23" s="157">
        <f t="shared" ref="K23:K25" si="23">E23-L$32</f>
        <v>0.78288489736070388</v>
      </c>
      <c r="L23" s="157">
        <f t="shared" ref="L23:L25" si="24">F23-M$32</f>
        <v>-0.16839418377321605</v>
      </c>
      <c r="M23" s="116">
        <f t="shared" ref="M23:M25" si="25">C23*((E23^2)+(F23^2))</f>
        <v>18.239854625</v>
      </c>
      <c r="N23" s="116">
        <f t="shared" ref="N23:N25" si="26">C23*((D23^2)+(F23^2))</f>
        <v>0.49164212499999999</v>
      </c>
      <c r="O23" s="116">
        <f t="shared" ref="O23:O25" si="27">C23*((D23^2)+(E23^2))</f>
        <v>17.748212500000001</v>
      </c>
      <c r="P23" s="116">
        <f t="shared" ref="P23:P25" si="28">C23*D23*F23</f>
        <v>0</v>
      </c>
    </row>
    <row r="24" spans="1:16" x14ac:dyDescent="0.25">
      <c r="A24" s="186" t="s">
        <v>500</v>
      </c>
      <c r="B24" s="164" t="s">
        <v>312</v>
      </c>
      <c r="C24" s="116">
        <v>32</v>
      </c>
      <c r="D24" s="70">
        <v>2.4300000000000002</v>
      </c>
      <c r="E24" s="70">
        <f>-D36/2</f>
        <v>-0.71499999999999997</v>
      </c>
      <c r="F24" s="70">
        <f t="shared" ref="F24:F25" si="29">$F$22</f>
        <v>0.12025</v>
      </c>
      <c r="G24" s="116">
        <f t="shared" si="19"/>
        <v>77.760000000000005</v>
      </c>
      <c r="H24" s="116">
        <f t="shared" si="20"/>
        <v>-22.88</v>
      </c>
      <c r="I24" s="116">
        <f t="shared" si="21"/>
        <v>3.8479999999999999</v>
      </c>
      <c r="J24" s="157">
        <f t="shared" si="22"/>
        <v>1.3603910068426199</v>
      </c>
      <c r="K24" s="157">
        <f t="shared" si="23"/>
        <v>-0.65461510263929612</v>
      </c>
      <c r="L24" s="157">
        <f t="shared" si="24"/>
        <v>-0.16839418377321605</v>
      </c>
      <c r="M24" s="116">
        <f t="shared" si="25"/>
        <v>16.821921999999997</v>
      </c>
      <c r="N24" s="116">
        <f t="shared" si="26"/>
        <v>189.41952200000003</v>
      </c>
      <c r="O24" s="116">
        <f t="shared" si="27"/>
        <v>205.316</v>
      </c>
      <c r="P24" s="116">
        <f t="shared" si="28"/>
        <v>9.3506400000000003</v>
      </c>
    </row>
    <row r="25" spans="1:16" x14ac:dyDescent="0.25">
      <c r="A25" s="186">
        <v>14</v>
      </c>
      <c r="B25" s="164" t="s">
        <v>313</v>
      </c>
      <c r="C25" s="116">
        <f>C24</f>
        <v>32</v>
      </c>
      <c r="D25" s="71">
        <v>2.4300000000000002</v>
      </c>
      <c r="E25" s="71">
        <f>D36/2</f>
        <v>0.71499999999999997</v>
      </c>
      <c r="F25" s="70">
        <f t="shared" si="29"/>
        <v>0.12025</v>
      </c>
      <c r="G25" s="116">
        <f t="shared" si="19"/>
        <v>77.760000000000005</v>
      </c>
      <c r="H25" s="116">
        <f t="shared" si="20"/>
        <v>22.88</v>
      </c>
      <c r="I25" s="116">
        <f t="shared" si="21"/>
        <v>3.8479999999999999</v>
      </c>
      <c r="J25" s="157">
        <f t="shared" si="22"/>
        <v>1.3603910068426199</v>
      </c>
      <c r="K25" s="157">
        <f t="shared" si="23"/>
        <v>0.77538489736070382</v>
      </c>
      <c r="L25" s="157">
        <f t="shared" si="24"/>
        <v>-0.16839418377321605</v>
      </c>
      <c r="M25" s="116">
        <f t="shared" si="25"/>
        <v>16.821921999999997</v>
      </c>
      <c r="N25" s="116">
        <f t="shared" si="26"/>
        <v>189.41952200000003</v>
      </c>
      <c r="O25" s="116">
        <f t="shared" si="27"/>
        <v>205.316</v>
      </c>
      <c r="P25" s="116">
        <f t="shared" si="28"/>
        <v>9.3506400000000003</v>
      </c>
    </row>
    <row r="26" spans="1:16" x14ac:dyDescent="0.25">
      <c r="B26" s="165" t="s">
        <v>314</v>
      </c>
      <c r="C26" s="165">
        <f>SUM(C22:C25)</f>
        <v>132</v>
      </c>
      <c r="D26" s="159"/>
      <c r="E26" s="159"/>
      <c r="F26" s="159"/>
      <c r="G26" s="166">
        <f>SUM(G22:G25)</f>
        <v>155.52000000000001</v>
      </c>
      <c r="H26" s="166">
        <f t="shared" ref="H26" si="30">SUM(H22:H25)</f>
        <v>0</v>
      </c>
      <c r="I26" s="166">
        <f>SUM(I22:I25)</f>
        <v>15.872999999999998</v>
      </c>
      <c r="J26" s="159"/>
      <c r="K26" s="159"/>
      <c r="L26" s="159"/>
      <c r="M26" s="159"/>
      <c r="N26" s="159"/>
      <c r="O26" s="159"/>
      <c r="P26" s="159"/>
    </row>
    <row r="28" spans="1:16" x14ac:dyDescent="0.25">
      <c r="B28" s="165" t="s">
        <v>315</v>
      </c>
      <c r="C28" s="165">
        <f>C20+C26</f>
        <v>1155</v>
      </c>
      <c r="G28" s="166">
        <f>SUM(G5:G25)</f>
        <v>1094.21</v>
      </c>
      <c r="H28" s="166">
        <f t="shared" ref="H28:I28" si="31">SUM(H5:H25)</f>
        <v>-61.773750000000021</v>
      </c>
      <c r="I28" s="166">
        <f t="shared" si="31"/>
        <v>295.28300000000002</v>
      </c>
      <c r="M28" s="166">
        <f>SUM(M5:M25)</f>
        <v>191.76164752083332</v>
      </c>
      <c r="N28" s="166">
        <f t="shared" ref="N28:O28" si="32">SUM(N5:N25)</f>
        <v>1760.1173032499996</v>
      </c>
      <c r="O28" s="166">
        <f t="shared" si="32"/>
        <v>1787.3492942708333</v>
      </c>
      <c r="P28" s="166">
        <f t="shared" ref="P28" si="33">SUM(P5:P25)</f>
        <v>254.32377999999997</v>
      </c>
    </row>
    <row r="30" spans="1:16" ht="30" customHeight="1" x14ac:dyDescent="0.25">
      <c r="G30" s="230" t="s">
        <v>316</v>
      </c>
      <c r="H30" s="230"/>
      <c r="I30" s="230"/>
      <c r="K30" s="231" t="s">
        <v>320</v>
      </c>
      <c r="L30" s="231"/>
      <c r="M30" s="231"/>
    </row>
    <row r="31" spans="1:16" x14ac:dyDescent="0.25">
      <c r="G31" s="136" t="s">
        <v>317</v>
      </c>
      <c r="H31" s="136" t="s">
        <v>318</v>
      </c>
      <c r="I31" s="136" t="s">
        <v>319</v>
      </c>
      <c r="K31" s="136" t="s">
        <v>317</v>
      </c>
      <c r="L31" s="136" t="s">
        <v>318</v>
      </c>
      <c r="M31" s="136" t="s">
        <v>319</v>
      </c>
    </row>
    <row r="32" spans="1:16" x14ac:dyDescent="0.25">
      <c r="G32" s="1">
        <f>G$28/$C$28</f>
        <v>0.94736796536796541</v>
      </c>
      <c r="H32" s="1">
        <f t="shared" ref="H32:I32" si="34">H$28/$C$28</f>
        <v>-5.3483766233766251E-2</v>
      </c>
      <c r="I32" s="1">
        <f t="shared" si="34"/>
        <v>0.25565627705627708</v>
      </c>
      <c r="K32" s="1">
        <f>G$28/$C$20</f>
        <v>1.0696089931573802</v>
      </c>
      <c r="L32" s="1">
        <f t="shared" ref="L32" si="35">H$28/$C$20</f>
        <v>-6.0384897360703835E-2</v>
      </c>
      <c r="M32" s="1">
        <f>I$28/$C$20</f>
        <v>0.28864418377321605</v>
      </c>
    </row>
    <row r="35" spans="2:17" x14ac:dyDescent="0.25">
      <c r="C35" s="151" t="s">
        <v>388</v>
      </c>
      <c r="D35" s="151" t="s">
        <v>389</v>
      </c>
      <c r="E35" s="151" t="s">
        <v>386</v>
      </c>
      <c r="F35" s="151" t="s">
        <v>387</v>
      </c>
      <c r="G35" s="151" t="s">
        <v>322</v>
      </c>
      <c r="H35" s="151" t="s">
        <v>323</v>
      </c>
      <c r="I35" s="151" t="s">
        <v>324</v>
      </c>
      <c r="J35" s="151" t="s">
        <v>325</v>
      </c>
      <c r="K35" s="151" t="s">
        <v>115</v>
      </c>
      <c r="L35" s="151" t="s">
        <v>326</v>
      </c>
      <c r="M35" s="151" t="s">
        <v>327</v>
      </c>
      <c r="N35" s="151" t="s">
        <v>117</v>
      </c>
    </row>
    <row r="36" spans="2:17" x14ac:dyDescent="0.25">
      <c r="C36" s="160">
        <v>1.4450000000000001</v>
      </c>
      <c r="D36" s="160">
        <v>1.43</v>
      </c>
      <c r="E36" s="116">
        <f>C20</f>
        <v>1023</v>
      </c>
      <c r="F36" s="116">
        <f>C28</f>
        <v>1155</v>
      </c>
      <c r="G36" s="116">
        <f>M28</f>
        <v>191.76164752083332</v>
      </c>
      <c r="H36" s="116">
        <f t="shared" ref="H36" si="36">N28</f>
        <v>1760.1173032499996</v>
      </c>
      <c r="I36" s="116">
        <f>O28</f>
        <v>1787.3492942708333</v>
      </c>
      <c r="J36" s="116">
        <f>P28</f>
        <v>254.32377999999997</v>
      </c>
      <c r="K36" s="116">
        <v>2.4300000000000002</v>
      </c>
      <c r="L36" s="116">
        <f>K36*I41</f>
        <v>1.0934999999999999</v>
      </c>
      <c r="M36" s="116">
        <f>K36*I40</f>
        <v>1.3365000000000002</v>
      </c>
      <c r="N36" s="1">
        <f>I32</f>
        <v>0.25565627705627708</v>
      </c>
    </row>
    <row r="37" spans="2:17" x14ac:dyDescent="0.25">
      <c r="C37" s="235" t="s">
        <v>328</v>
      </c>
      <c r="D37" s="235"/>
      <c r="E37" s="145" t="s">
        <v>329</v>
      </c>
      <c r="F37" s="145" t="s">
        <v>330</v>
      </c>
      <c r="G37" s="236" t="s">
        <v>331</v>
      </c>
      <c r="H37" s="236"/>
      <c r="I37" s="236"/>
      <c r="J37" s="236"/>
      <c r="K37" s="236" t="s">
        <v>332</v>
      </c>
      <c r="L37" s="236"/>
      <c r="M37" s="236"/>
      <c r="N37" s="145" t="s">
        <v>333</v>
      </c>
    </row>
    <row r="39" spans="2:17" ht="30.75" customHeight="1" x14ac:dyDescent="0.25">
      <c r="B39" s="231" t="s">
        <v>334</v>
      </c>
      <c r="C39" s="136" t="s">
        <v>335</v>
      </c>
      <c r="D39" s="1"/>
      <c r="G39" s="167" t="s">
        <v>348</v>
      </c>
      <c r="L39" s="230" t="s">
        <v>355</v>
      </c>
      <c r="M39" s="136" t="s">
        <v>357</v>
      </c>
      <c r="N39" s="1"/>
    </row>
    <row r="40" spans="2:17" x14ac:dyDescent="0.25">
      <c r="B40" s="231"/>
      <c r="C40" s="136" t="s">
        <v>336</v>
      </c>
      <c r="D40" s="1"/>
      <c r="G40" s="135" t="s">
        <v>349</v>
      </c>
      <c r="H40" s="1">
        <f>C28*I40</f>
        <v>635.25</v>
      </c>
      <c r="I40" s="70">
        <v>0.55000000000000004</v>
      </c>
      <c r="J40" s="1" t="s">
        <v>404</v>
      </c>
      <c r="L40" s="230"/>
      <c r="M40" s="136" t="s">
        <v>358</v>
      </c>
      <c r="N40" s="1"/>
    </row>
    <row r="41" spans="2:17" x14ac:dyDescent="0.25">
      <c r="B41" s="1" t="s">
        <v>474</v>
      </c>
      <c r="C41" s="170" t="s">
        <v>337</v>
      </c>
      <c r="D41" s="1"/>
      <c r="G41" s="135" t="s">
        <v>350</v>
      </c>
      <c r="H41" s="1">
        <f>C28*I41</f>
        <v>519.75</v>
      </c>
      <c r="I41" s="174">
        <f>1-I40</f>
        <v>0.44999999999999996</v>
      </c>
      <c r="J41" s="1" t="s">
        <v>469</v>
      </c>
      <c r="L41" s="230" t="s">
        <v>356</v>
      </c>
      <c r="M41" s="136" t="s">
        <v>359</v>
      </c>
      <c r="N41" s="1"/>
    </row>
    <row r="42" spans="2:17" x14ac:dyDescent="0.25">
      <c r="L42" s="230"/>
      <c r="M42" s="136" t="s">
        <v>360</v>
      </c>
      <c r="N42" s="1"/>
    </row>
    <row r="43" spans="2:17" x14ac:dyDescent="0.25">
      <c r="B43" s="135" t="s">
        <v>338</v>
      </c>
      <c r="C43" s="136" t="s">
        <v>342</v>
      </c>
      <c r="D43" s="1"/>
      <c r="G43" s="168" t="s">
        <v>351</v>
      </c>
      <c r="H43" s="1">
        <v>9.81</v>
      </c>
    </row>
    <row r="44" spans="2:17" x14ac:dyDescent="0.25">
      <c r="B44" s="135" t="s">
        <v>339</v>
      </c>
      <c r="C44" s="136" t="s">
        <v>343</v>
      </c>
      <c r="D44" s="1"/>
    </row>
    <row r="45" spans="2:17" x14ac:dyDescent="0.25">
      <c r="B45" s="231" t="s">
        <v>340</v>
      </c>
      <c r="C45" s="136" t="s">
        <v>344</v>
      </c>
      <c r="D45" s="1"/>
      <c r="G45" s="231" t="s">
        <v>352</v>
      </c>
      <c r="H45" s="136" t="s">
        <v>353</v>
      </c>
      <c r="I45" s="1"/>
      <c r="K45" s="211" t="s">
        <v>370</v>
      </c>
      <c r="L45" s="211"/>
      <c r="M45" s="211"/>
      <c r="N45" s="211"/>
      <c r="O45" s="211"/>
      <c r="P45" s="211"/>
      <c r="Q45" s="211"/>
    </row>
    <row r="46" spans="2:17" x14ac:dyDescent="0.25">
      <c r="B46" s="231"/>
      <c r="C46" s="136" t="s">
        <v>345</v>
      </c>
      <c r="D46" s="1"/>
      <c r="G46" s="231"/>
      <c r="H46" s="136" t="s">
        <v>86</v>
      </c>
      <c r="I46" s="1"/>
      <c r="K46" s="211"/>
      <c r="L46" s="211"/>
      <c r="M46" s="211"/>
      <c r="N46" s="211"/>
      <c r="O46" s="211"/>
      <c r="P46" s="211"/>
      <c r="Q46" s="211"/>
    </row>
    <row r="47" spans="2:17" x14ac:dyDescent="0.25">
      <c r="B47" s="231" t="s">
        <v>341</v>
      </c>
      <c r="C47" s="136" t="s">
        <v>346</v>
      </c>
      <c r="D47" s="1"/>
      <c r="G47" s="231"/>
      <c r="H47" s="136" t="s">
        <v>354</v>
      </c>
      <c r="I47" s="1"/>
      <c r="K47" s="211"/>
      <c r="L47" s="211"/>
      <c r="M47" s="211"/>
      <c r="N47" s="211"/>
      <c r="O47" s="211"/>
      <c r="P47" s="211"/>
      <c r="Q47" s="211"/>
    </row>
    <row r="48" spans="2:17" x14ac:dyDescent="0.25">
      <c r="B48" s="231"/>
      <c r="C48" s="136" t="s">
        <v>347</v>
      </c>
      <c r="D48" s="1"/>
      <c r="K48" s="211"/>
      <c r="L48" s="211"/>
      <c r="M48" s="211"/>
      <c r="N48" s="211"/>
      <c r="O48" s="211"/>
      <c r="P48" s="211"/>
      <c r="Q48" s="211"/>
    </row>
    <row r="49" spans="7:17" x14ac:dyDescent="0.25">
      <c r="G49" s="232" t="s">
        <v>361</v>
      </c>
      <c r="H49" s="232"/>
      <c r="K49" s="211"/>
      <c r="L49" s="211"/>
      <c r="M49" s="211"/>
      <c r="N49" s="211"/>
      <c r="O49" s="211"/>
      <c r="P49" s="211"/>
      <c r="Q49" s="211"/>
    </row>
    <row r="50" spans="7:17" x14ac:dyDescent="0.25">
      <c r="G50" s="135" t="s">
        <v>362</v>
      </c>
      <c r="H50" s="1">
        <f>H53^2/L36</f>
        <v>1.4151701568068167</v>
      </c>
      <c r="I50" t="s">
        <v>321</v>
      </c>
      <c r="K50" s="211"/>
      <c r="L50" s="211"/>
      <c r="M50" s="211"/>
      <c r="N50" s="211"/>
      <c r="O50" s="211"/>
      <c r="P50" s="211"/>
      <c r="Q50" s="211"/>
    </row>
    <row r="51" spans="7:17" ht="30" customHeight="1" x14ac:dyDescent="0.25">
      <c r="G51" s="169" t="s">
        <v>363</v>
      </c>
      <c r="H51" s="152">
        <f>H53^2/(L36*M36)</f>
        <v>1.0588628184113853</v>
      </c>
      <c r="I51" s="172">
        <f>H50/M36</f>
        <v>1.0588628184113853</v>
      </c>
      <c r="K51" s="211"/>
      <c r="L51" s="211"/>
      <c r="M51" s="211"/>
      <c r="N51" s="211"/>
      <c r="O51" s="211"/>
      <c r="P51" s="211"/>
      <c r="Q51" s="211"/>
    </row>
    <row r="52" spans="7:17" x14ac:dyDescent="0.25">
      <c r="G52" s="135" t="s">
        <v>364</v>
      </c>
      <c r="H52" s="1">
        <f>I36</f>
        <v>1787.3492942708333</v>
      </c>
      <c r="I52" t="s">
        <v>366</v>
      </c>
      <c r="K52" s="211"/>
      <c r="L52" s="211"/>
      <c r="M52" s="211"/>
      <c r="N52" s="211"/>
      <c r="O52" s="211"/>
      <c r="P52" s="211"/>
      <c r="Q52" s="211"/>
    </row>
    <row r="53" spans="7:17" x14ac:dyDescent="0.25">
      <c r="G53" s="135" t="s">
        <v>365</v>
      </c>
      <c r="H53" s="1">
        <f>SQRT(H52/F36)</f>
        <v>1.2439809349295727</v>
      </c>
      <c r="K53" s="211"/>
      <c r="L53" s="211"/>
      <c r="M53" s="211"/>
      <c r="N53" s="211"/>
      <c r="O53" s="211"/>
      <c r="P53" s="211"/>
      <c r="Q53" s="211"/>
    </row>
    <row r="54" spans="7:17" x14ac:dyDescent="0.25">
      <c r="K54" s="211"/>
      <c r="L54" s="211"/>
      <c r="M54" s="211"/>
      <c r="N54" s="211"/>
      <c r="O54" s="211"/>
      <c r="P54" s="211"/>
      <c r="Q54" s="211"/>
    </row>
    <row r="55" spans="7:17" x14ac:dyDescent="0.25">
      <c r="K55" s="211"/>
      <c r="L55" s="211"/>
      <c r="M55" s="211"/>
      <c r="N55" s="211"/>
      <c r="O55" s="211"/>
      <c r="P55" s="211"/>
      <c r="Q55" s="211"/>
    </row>
  </sheetData>
  <mergeCells count="20">
    <mergeCell ref="B39:B40"/>
    <mergeCell ref="B45:B46"/>
    <mergeCell ref="B47:B48"/>
    <mergeCell ref="G45:G47"/>
    <mergeCell ref="B3:B4"/>
    <mergeCell ref="C3:C4"/>
    <mergeCell ref="C37:D37"/>
    <mergeCell ref="G37:J37"/>
    <mergeCell ref="K37:M37"/>
    <mergeCell ref="D3:F3"/>
    <mergeCell ref="G3:G4"/>
    <mergeCell ref="H3:H4"/>
    <mergeCell ref="I3:I4"/>
    <mergeCell ref="L39:L40"/>
    <mergeCell ref="L41:L42"/>
    <mergeCell ref="K46:Q55"/>
    <mergeCell ref="K45:Q45"/>
    <mergeCell ref="G30:I30"/>
    <mergeCell ref="K30:M30"/>
    <mergeCell ref="G49:H49"/>
  </mergeCells>
  <pageMargins left="0.7" right="0.7" top="0.75" bottom="0.75" header="0.3" footer="0.3"/>
  <ignoredErrors>
    <ignoredError sqref="E9 D17:E17" formula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6393-380A-46F2-B697-3D41CE8605CC}">
  <dimension ref="A1:O24"/>
  <sheetViews>
    <sheetView zoomScale="90" zoomScaleNormal="90" workbookViewId="0">
      <selection activeCell="G28" sqref="G28"/>
    </sheetView>
  </sheetViews>
  <sheetFormatPr baseColWidth="10" defaultRowHeight="15" x14ac:dyDescent="0.25"/>
  <cols>
    <col min="2" max="2" width="34.85546875" customWidth="1"/>
    <col min="7" max="7" width="16.85546875" customWidth="1"/>
    <col min="8" max="8" width="29.28515625" bestFit="1" customWidth="1"/>
    <col min="9" max="9" width="12" bestFit="1" customWidth="1"/>
    <col min="12" max="12" width="18.140625" bestFit="1" customWidth="1"/>
    <col min="13" max="13" width="12" bestFit="1" customWidth="1"/>
  </cols>
  <sheetData>
    <row r="1" spans="1:15" x14ac:dyDescent="0.25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spans="1:15" x14ac:dyDescent="0.25">
      <c r="A2" s="83"/>
      <c r="B2" s="239" t="s">
        <v>92</v>
      </c>
      <c r="C2" s="239"/>
      <c r="D2" s="239"/>
      <c r="E2" s="83"/>
      <c r="F2" s="240"/>
      <c r="G2" s="241"/>
      <c r="H2" s="1" t="s">
        <v>488</v>
      </c>
      <c r="I2" s="140">
        <f>C5*((2*PI()*C16)^2)</f>
        <v>34207.576420887046</v>
      </c>
      <c r="J2" s="1" t="s">
        <v>381</v>
      </c>
      <c r="K2" s="83"/>
      <c r="L2" s="239" t="s">
        <v>494</v>
      </c>
      <c r="M2" s="239"/>
      <c r="N2" s="239"/>
      <c r="O2" s="83"/>
    </row>
    <row r="3" spans="1:15" x14ac:dyDescent="0.25">
      <c r="A3" s="83"/>
      <c r="B3" s="83"/>
      <c r="C3" s="83"/>
      <c r="D3" s="83"/>
      <c r="E3" s="83"/>
      <c r="F3" s="83"/>
      <c r="G3" s="83"/>
      <c r="H3" s="1" t="s">
        <v>489</v>
      </c>
      <c r="I3" s="140">
        <f>C6*((2*PI()*C17)^2)</f>
        <v>34553.107495845492</v>
      </c>
      <c r="J3" s="1" t="s">
        <v>381</v>
      </c>
      <c r="K3" s="83"/>
      <c r="L3" s="83"/>
      <c r="M3" s="83"/>
      <c r="N3" s="83"/>
      <c r="O3" s="83"/>
    </row>
    <row r="4" spans="1:15" x14ac:dyDescent="0.25">
      <c r="A4" s="83"/>
      <c r="B4" s="243" t="s">
        <v>329</v>
      </c>
      <c r="C4" s="243"/>
      <c r="D4" s="243"/>
      <c r="E4" s="83"/>
      <c r="F4" s="83"/>
      <c r="G4" s="83"/>
      <c r="H4" s="83"/>
      <c r="I4" s="183"/>
      <c r="J4" s="83"/>
      <c r="K4" s="83"/>
      <c r="L4" s="176" t="s">
        <v>485</v>
      </c>
      <c r="M4" s="177"/>
      <c r="N4" s="178"/>
      <c r="O4" s="83"/>
    </row>
    <row r="5" spans="1:15" x14ac:dyDescent="0.25">
      <c r="A5" s="83"/>
      <c r="B5" s="175" t="s">
        <v>379</v>
      </c>
      <c r="C5" s="175">
        <f>('Índice dinámico Nissan Sunny'!C20)*('Índice dinámico Nissan Sunny'!I40/2)</f>
        <v>281.32500000000005</v>
      </c>
      <c r="D5" s="175" t="s">
        <v>376</v>
      </c>
      <c r="E5" s="83"/>
      <c r="F5" s="212"/>
      <c r="G5" s="212"/>
      <c r="H5" s="1" t="s">
        <v>490</v>
      </c>
      <c r="I5" s="179">
        <f>((I2/1000)*$C$11)/($C$11-(I2/1000))</f>
        <v>39.277752757025347</v>
      </c>
      <c r="J5" s="1" t="s">
        <v>377</v>
      </c>
      <c r="K5" s="83"/>
      <c r="L5" s="136" t="s">
        <v>476</v>
      </c>
      <c r="M5" s="184">
        <f>($I$8/1000)*$C20</f>
        <v>5.3617718898449676</v>
      </c>
      <c r="N5" s="136" t="s">
        <v>487</v>
      </c>
      <c r="O5" s="83"/>
    </row>
    <row r="6" spans="1:15" x14ac:dyDescent="0.25">
      <c r="A6" s="83"/>
      <c r="B6" s="175" t="s">
        <v>380</v>
      </c>
      <c r="C6" s="175">
        <f>('Índice dinámico Nissan Sunny'!C20)*('Índice dinámico Nissan Sunny'!I41/2)</f>
        <v>230.17499999999998</v>
      </c>
      <c r="D6" s="175" t="s">
        <v>376</v>
      </c>
      <c r="E6" s="83"/>
      <c r="F6" s="212"/>
      <c r="G6" s="212"/>
      <c r="H6" s="1" t="s">
        <v>491</v>
      </c>
      <c r="I6" s="179">
        <f>((I3/1000)*$C$11)/($C$11-(I3/1000))</f>
        <v>39.733985504855447</v>
      </c>
      <c r="J6" s="1" t="s">
        <v>377</v>
      </c>
      <c r="K6" s="83"/>
      <c r="L6" s="136" t="s">
        <v>477</v>
      </c>
      <c r="M6" s="184">
        <f>($I$8/1000)*$C21</f>
        <v>3.0638696513399819</v>
      </c>
      <c r="N6" s="136" t="s">
        <v>487</v>
      </c>
      <c r="O6" s="83"/>
    </row>
    <row r="7" spans="1:15" x14ac:dyDescent="0.25">
      <c r="A7" s="83"/>
      <c r="B7" s="244" t="s">
        <v>371</v>
      </c>
      <c r="C7" s="244"/>
      <c r="D7" s="244"/>
      <c r="E7" s="83"/>
      <c r="F7" s="83"/>
      <c r="G7" s="83"/>
      <c r="H7" s="83"/>
      <c r="I7" s="183"/>
      <c r="J7" s="83"/>
      <c r="K7" s="83"/>
      <c r="L7" s="136" t="s">
        <v>478</v>
      </c>
      <c r="M7" s="184">
        <f>($I$9/1000)*$C22</f>
        <v>5.7442248226301196</v>
      </c>
      <c r="N7" s="136" t="s">
        <v>487</v>
      </c>
      <c r="O7" s="83"/>
    </row>
    <row r="8" spans="1:15" x14ac:dyDescent="0.25">
      <c r="A8" s="83"/>
      <c r="B8" s="153" t="s">
        <v>373</v>
      </c>
      <c r="C8" s="153">
        <f>('Índice dinámico Nissan Sunny'!C26)*('Índice dinámico Nissan Sunny'!I40/2)</f>
        <v>36.300000000000004</v>
      </c>
      <c r="D8" s="153" t="s">
        <v>376</v>
      </c>
      <c r="E8" s="83"/>
      <c r="F8" s="211"/>
      <c r="G8" s="211"/>
      <c r="H8" s="74" t="s">
        <v>480</v>
      </c>
      <c r="I8" s="140">
        <f>(2*SQRT(I2*C5))/C13^2</f>
        <v>7659.6741283499541</v>
      </c>
      <c r="J8" s="1" t="s">
        <v>486</v>
      </c>
      <c r="K8" s="83"/>
      <c r="L8" s="136" t="s">
        <v>479</v>
      </c>
      <c r="M8" s="184">
        <f>($I$9/1000)*$C23</f>
        <v>3.2824141843600687</v>
      </c>
      <c r="N8" s="136" t="s">
        <v>487</v>
      </c>
      <c r="O8" s="83"/>
    </row>
    <row r="9" spans="1:15" x14ac:dyDescent="0.25">
      <c r="A9" s="83"/>
      <c r="B9" s="153" t="s">
        <v>372</v>
      </c>
      <c r="C9" s="153">
        <f>('Índice dinámico Nissan Sunny'!C26)*('Índice dinámico Nissan Sunny'!I41/2)</f>
        <v>29.699999999999996</v>
      </c>
      <c r="D9" s="153" t="s">
        <v>376</v>
      </c>
      <c r="E9" s="83"/>
      <c r="F9" s="211"/>
      <c r="G9" s="211"/>
      <c r="H9" s="74" t="s">
        <v>481</v>
      </c>
      <c r="I9" s="140">
        <f>(2*SQRT((I5+C11)*1000*C8))/(C13)^2</f>
        <v>8206.0354609001715</v>
      </c>
      <c r="J9" s="1" t="s">
        <v>486</v>
      </c>
      <c r="K9" s="83"/>
      <c r="L9" s="83"/>
      <c r="M9" s="83"/>
      <c r="N9" s="83"/>
      <c r="O9" s="83"/>
    </row>
    <row r="10" spans="1:15" x14ac:dyDescent="0.25">
      <c r="A10" s="83"/>
      <c r="B10" s="83"/>
      <c r="C10" s="83"/>
      <c r="D10" s="83"/>
      <c r="E10" s="83"/>
      <c r="F10" s="211"/>
      <c r="G10" s="211"/>
      <c r="H10" s="83"/>
      <c r="I10" s="183"/>
      <c r="J10" s="83"/>
      <c r="K10" s="83"/>
      <c r="L10" s="176" t="s">
        <v>484</v>
      </c>
      <c r="M10" s="177"/>
      <c r="N10" s="178"/>
      <c r="O10" s="83"/>
    </row>
    <row r="11" spans="1:15" x14ac:dyDescent="0.25">
      <c r="A11" s="83"/>
      <c r="B11" s="154" t="s">
        <v>382</v>
      </c>
      <c r="C11" s="166">
        <v>265</v>
      </c>
      <c r="D11" s="154" t="s">
        <v>377</v>
      </c>
      <c r="E11" s="83"/>
      <c r="F11" s="211"/>
      <c r="G11" s="211"/>
      <c r="H11" s="74" t="s">
        <v>482</v>
      </c>
      <c r="I11" s="140">
        <f>(2*SQRT(I3*C6))/C14^2</f>
        <v>11510.827539820897</v>
      </c>
      <c r="J11" s="1" t="s">
        <v>486</v>
      </c>
      <c r="K11" s="83"/>
      <c r="L11" s="136" t="s">
        <v>476</v>
      </c>
      <c r="M11" s="184">
        <f>($I$11/1000)*$C20</f>
        <v>8.0575792778746269</v>
      </c>
      <c r="N11" s="136" t="s">
        <v>487</v>
      </c>
      <c r="O11" s="83"/>
    </row>
    <row r="12" spans="1:15" x14ac:dyDescent="0.25">
      <c r="A12" s="83"/>
      <c r="B12" s="83"/>
      <c r="C12" s="83"/>
      <c r="D12" s="83"/>
      <c r="E12" s="83"/>
      <c r="F12" s="211"/>
      <c r="G12" s="211"/>
      <c r="H12" s="74" t="s">
        <v>483</v>
      </c>
      <c r="I12" s="140">
        <f>(2*SQRT((I6+C11)*1000*C9))/(C14)^2</f>
        <v>12279.271053998393</v>
      </c>
      <c r="J12" s="1" t="s">
        <v>486</v>
      </c>
      <c r="K12" s="83"/>
      <c r="L12" s="136" t="s">
        <v>477</v>
      </c>
      <c r="M12" s="184">
        <f>($I$11/1000)*$C21</f>
        <v>4.6043310159283584</v>
      </c>
      <c r="N12" s="136" t="s">
        <v>487</v>
      </c>
      <c r="O12" s="83"/>
    </row>
    <row r="13" spans="1:15" x14ac:dyDescent="0.25">
      <c r="A13" s="83"/>
      <c r="B13" s="155" t="s">
        <v>374</v>
      </c>
      <c r="C13" s="154">
        <v>0.9</v>
      </c>
      <c r="D13" s="83"/>
      <c r="E13" s="83"/>
      <c r="F13" s="83"/>
      <c r="G13" s="83"/>
      <c r="H13" s="83"/>
      <c r="I13" s="83"/>
      <c r="J13" s="83"/>
      <c r="K13" s="83"/>
      <c r="L13" s="136" t="s">
        <v>478</v>
      </c>
      <c r="M13" s="184">
        <f>($I$12/1000)*$C22</f>
        <v>8.595489737798875</v>
      </c>
      <c r="N13" s="136" t="s">
        <v>487</v>
      </c>
      <c r="O13" s="83"/>
    </row>
    <row r="14" spans="1:15" x14ac:dyDescent="0.25">
      <c r="A14" s="83"/>
      <c r="B14" s="155" t="s">
        <v>375</v>
      </c>
      <c r="C14" s="154">
        <v>0.7</v>
      </c>
      <c r="D14" s="83"/>
      <c r="E14" s="83"/>
      <c r="F14" s="83"/>
      <c r="G14" s="83"/>
      <c r="H14" s="83"/>
      <c r="I14" s="83"/>
      <c r="J14" s="83"/>
      <c r="K14" s="83"/>
      <c r="L14" s="136" t="s">
        <v>479</v>
      </c>
      <c r="M14" s="184">
        <f>($I$12/1000)*$C23</f>
        <v>4.9117084215993572</v>
      </c>
      <c r="N14" s="136" t="s">
        <v>487</v>
      </c>
      <c r="O14" s="83"/>
    </row>
    <row r="15" spans="1:15" x14ac:dyDescent="0.25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</row>
    <row r="16" spans="1:15" x14ac:dyDescent="0.25">
      <c r="A16" s="83"/>
      <c r="B16" s="156" t="s">
        <v>383</v>
      </c>
      <c r="C16" s="156">
        <f>C17*(1-E16)</f>
        <v>1.7549999999999999</v>
      </c>
      <c r="D16" s="156" t="s">
        <v>378</v>
      </c>
      <c r="E16" s="182">
        <v>0.1</v>
      </c>
      <c r="F16" s="182"/>
      <c r="G16" s="83"/>
      <c r="H16" s="83"/>
      <c r="I16" s="83"/>
      <c r="J16" s="212"/>
      <c r="K16" s="212"/>
      <c r="L16" s="136" t="s">
        <v>492</v>
      </c>
      <c r="M16" s="184">
        <f>(I5)/(C13^(2))</f>
        <v>48.491052786451043</v>
      </c>
      <c r="N16" s="136" t="s">
        <v>377</v>
      </c>
      <c r="O16" s="83"/>
    </row>
    <row r="17" spans="1:15" x14ac:dyDescent="0.25">
      <c r="A17" s="83"/>
      <c r="B17" s="156" t="s">
        <v>384</v>
      </c>
      <c r="C17" s="180">
        <v>1.95</v>
      </c>
      <c r="D17" s="156" t="s">
        <v>378</v>
      </c>
      <c r="E17" s="83"/>
      <c r="F17" s="83"/>
      <c r="G17" s="83"/>
      <c r="H17" s="83"/>
      <c r="I17" s="83"/>
      <c r="J17" s="212"/>
      <c r="K17" s="212"/>
      <c r="L17" s="136" t="s">
        <v>493</v>
      </c>
      <c r="M17" s="184">
        <f>(I6)/(C14^(2))</f>
        <v>81.089766336439695</v>
      </c>
      <c r="N17" s="136" t="s">
        <v>377</v>
      </c>
      <c r="O17" s="83"/>
    </row>
    <row r="18" spans="1:15" x14ac:dyDescent="0.25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</row>
    <row r="19" spans="1:15" x14ac:dyDescent="0.25">
      <c r="A19" s="83"/>
      <c r="B19" s="238" t="s">
        <v>475</v>
      </c>
      <c r="C19" s="238"/>
      <c r="D19" s="83"/>
      <c r="E19" s="83"/>
      <c r="F19" s="83"/>
      <c r="G19" s="83"/>
      <c r="H19" s="83"/>
      <c r="I19" s="83"/>
      <c r="J19" s="83"/>
      <c r="K19" s="83"/>
      <c r="L19" s="242" t="s">
        <v>499</v>
      </c>
      <c r="M19" s="242"/>
      <c r="N19" s="242"/>
      <c r="O19" s="83"/>
    </row>
    <row r="20" spans="1:15" x14ac:dyDescent="0.25">
      <c r="A20" s="83"/>
      <c r="B20" s="171" t="s">
        <v>476</v>
      </c>
      <c r="C20" s="181">
        <v>0.7</v>
      </c>
      <c r="D20" s="171" t="s">
        <v>487</v>
      </c>
      <c r="E20" s="83"/>
      <c r="F20" s="83"/>
      <c r="G20" s="83"/>
      <c r="H20" s="83"/>
      <c r="I20" s="83"/>
      <c r="J20" s="83"/>
      <c r="K20" s="83"/>
      <c r="L20" s="185" t="s">
        <v>496</v>
      </c>
      <c r="M20" s="185">
        <f>0.5*M16*(('Índice dinámico Nissan Sunny'!C36)^2)</f>
        <v>50.62526524721472</v>
      </c>
      <c r="N20" s="185" t="s">
        <v>498</v>
      </c>
      <c r="O20" s="83"/>
    </row>
    <row r="21" spans="1:15" x14ac:dyDescent="0.25">
      <c r="A21" s="83"/>
      <c r="B21" s="171" t="s">
        <v>477</v>
      </c>
      <c r="C21" s="181">
        <v>0.4</v>
      </c>
      <c r="D21" s="171" t="s">
        <v>487</v>
      </c>
      <c r="E21" s="83"/>
      <c r="F21" s="83"/>
      <c r="G21" s="83"/>
      <c r="H21" s="83"/>
      <c r="I21" s="83"/>
      <c r="J21" s="83"/>
      <c r="K21" s="83"/>
      <c r="L21" s="185" t="s">
        <v>497</v>
      </c>
      <c r="M21" s="185">
        <f>0.5*M17*(('Índice dinámico Nissan Sunny'!D36)^2)</f>
        <v>82.91023159069276</v>
      </c>
      <c r="N21" s="185" t="s">
        <v>498</v>
      </c>
      <c r="O21" s="83"/>
    </row>
    <row r="22" spans="1:15" x14ac:dyDescent="0.25">
      <c r="A22" s="83"/>
      <c r="B22" s="171" t="s">
        <v>478</v>
      </c>
      <c r="C22" s="181">
        <v>0.7</v>
      </c>
      <c r="D22" s="171" t="s">
        <v>487</v>
      </c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</row>
    <row r="23" spans="1:15" x14ac:dyDescent="0.25">
      <c r="A23" s="83"/>
      <c r="B23" s="171" t="s">
        <v>479</v>
      </c>
      <c r="C23" s="181">
        <v>0.4</v>
      </c>
      <c r="D23" s="171" t="s">
        <v>487</v>
      </c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</row>
    <row r="24" spans="1:15" x14ac:dyDescent="0.25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</row>
  </sheetData>
  <mergeCells count="10">
    <mergeCell ref="B19:C19"/>
    <mergeCell ref="B2:D2"/>
    <mergeCell ref="F2:G2"/>
    <mergeCell ref="F5:G6"/>
    <mergeCell ref="L19:N19"/>
    <mergeCell ref="J16:K17"/>
    <mergeCell ref="F8:G12"/>
    <mergeCell ref="B4:D4"/>
    <mergeCell ref="L2:N2"/>
    <mergeCell ref="B7:D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A7F1-E7FE-4AFD-BF49-CBCE63211DFB}">
  <dimension ref="A1:S27"/>
  <sheetViews>
    <sheetView zoomScale="85" zoomScaleNormal="85" workbookViewId="0">
      <selection activeCell="G28" sqref="G28"/>
    </sheetView>
  </sheetViews>
  <sheetFormatPr baseColWidth="10" defaultRowHeight="15" x14ac:dyDescent="0.25"/>
  <cols>
    <col min="1" max="1" width="34.140625" customWidth="1"/>
    <col min="3" max="3" width="12.85546875" customWidth="1"/>
    <col min="4" max="4" width="13.7109375" customWidth="1"/>
    <col min="5" max="5" width="13" customWidth="1"/>
    <col min="6" max="6" width="11.7109375" bestFit="1" customWidth="1"/>
    <col min="9" max="9" width="7.42578125" bestFit="1" customWidth="1"/>
    <col min="11" max="11" width="7.140625" bestFit="1" customWidth="1"/>
    <col min="12" max="12" width="13.140625" customWidth="1"/>
    <col min="14" max="14" width="54" bestFit="1" customWidth="1"/>
    <col min="16" max="16" width="13.5703125" bestFit="1" customWidth="1"/>
    <col min="17" max="17" width="7.85546875" bestFit="1" customWidth="1"/>
  </cols>
  <sheetData>
    <row r="1" spans="1:19" x14ac:dyDescent="0.25">
      <c r="B1" s="153" t="s">
        <v>395</v>
      </c>
      <c r="C1" s="153" t="s">
        <v>402</v>
      </c>
      <c r="D1" s="153" t="s">
        <v>403</v>
      </c>
      <c r="O1" s="153" t="s">
        <v>395</v>
      </c>
      <c r="P1" s="153" t="s">
        <v>402</v>
      </c>
      <c r="Q1" s="153" t="s">
        <v>403</v>
      </c>
    </row>
    <row r="2" spans="1:19" x14ac:dyDescent="0.25">
      <c r="A2" s="153" t="s">
        <v>329</v>
      </c>
      <c r="B2" s="190" t="s">
        <v>396</v>
      </c>
      <c r="C2" s="1">
        <f>'Índice dinámico Nissan Sunny'!E36</f>
        <v>1023</v>
      </c>
      <c r="D2" s="190" t="s">
        <v>376</v>
      </c>
      <c r="N2" s="153" t="s">
        <v>438</v>
      </c>
      <c r="O2" s="190" t="s">
        <v>447</v>
      </c>
      <c r="P2" s="194">
        <f>C2*C27*9.81*(C3-((C5/C4)*(D13-C13)+C13))</f>
        <v>1470.470902971429</v>
      </c>
      <c r="Q2" s="190" t="s">
        <v>448</v>
      </c>
    </row>
    <row r="3" spans="1:19" x14ac:dyDescent="0.25">
      <c r="A3" s="153" t="s">
        <v>333</v>
      </c>
      <c r="B3" s="190" t="s">
        <v>397</v>
      </c>
      <c r="C3" s="1">
        <f>'Índice dinámico Nissan Sunny'!N36</f>
        <v>0.25565627705627708</v>
      </c>
      <c r="D3" s="190" t="s">
        <v>321</v>
      </c>
      <c r="N3" s="153" t="s">
        <v>439</v>
      </c>
      <c r="O3" s="190" t="s">
        <v>468</v>
      </c>
      <c r="P3" s="194">
        <f>(C$10^2/2)*((C$15*1000*C$17^2)+(C$14*1000*C$16^2))</f>
        <v>83817.726734709227</v>
      </c>
      <c r="Q3" s="190" t="s">
        <v>449</v>
      </c>
    </row>
    <row r="4" spans="1:19" x14ac:dyDescent="0.25">
      <c r="A4" s="153" t="s">
        <v>96</v>
      </c>
      <c r="B4" s="190" t="s">
        <v>398</v>
      </c>
      <c r="C4" s="1">
        <f>'Índice dinámico Nissan Sunny'!K36</f>
        <v>2.4300000000000002</v>
      </c>
      <c r="D4" s="190" t="s">
        <v>321</v>
      </c>
      <c r="N4" s="153" t="s">
        <v>440</v>
      </c>
      <c r="O4" s="190" t="s">
        <v>467</v>
      </c>
      <c r="P4" s="194">
        <f>(D$10^2/2)*((D$15*1000*D$17^2)+(D$14*1000*D$16^2))</f>
        <v>109290.98217426153</v>
      </c>
      <c r="Q4" s="190" t="s">
        <v>449</v>
      </c>
    </row>
    <row r="5" spans="1:19" x14ac:dyDescent="0.25">
      <c r="A5" s="153" t="s">
        <v>392</v>
      </c>
      <c r="B5" s="190" t="s">
        <v>399</v>
      </c>
      <c r="C5" s="1">
        <f>'Índice dinámico Nissan Sunny'!L36</f>
        <v>1.0934999999999999</v>
      </c>
      <c r="D5" s="190" t="s">
        <v>321</v>
      </c>
      <c r="N5" s="153" t="s">
        <v>441</v>
      </c>
      <c r="O5" s="190" t="s">
        <v>466</v>
      </c>
      <c r="P5" s="194">
        <f>C18*1000*(C10^2)/2</f>
        <v>276663.3125</v>
      </c>
      <c r="Q5" s="190" t="s">
        <v>449</v>
      </c>
    </row>
    <row r="6" spans="1:19" x14ac:dyDescent="0.25">
      <c r="A6" s="153" t="s">
        <v>393</v>
      </c>
      <c r="B6" s="190" t="s">
        <v>400</v>
      </c>
      <c r="C6" s="1">
        <f>'Índice dinámico Nissan Sunny'!M36</f>
        <v>1.3365000000000002</v>
      </c>
      <c r="D6" s="190" t="s">
        <v>321</v>
      </c>
      <c r="N6" s="153" t="s">
        <v>442</v>
      </c>
      <c r="O6" s="190" t="s">
        <v>465</v>
      </c>
      <c r="P6" s="194">
        <f>D18*1000*(D10^2)/2</f>
        <v>270949.24999999994</v>
      </c>
      <c r="Q6" s="190" t="s">
        <v>449</v>
      </c>
    </row>
    <row r="7" spans="1:19" x14ac:dyDescent="0.25">
      <c r="A7" s="153" t="s">
        <v>394</v>
      </c>
      <c r="B7" s="190" t="s">
        <v>401</v>
      </c>
      <c r="C7" s="73">
        <f>C5/C4</f>
        <v>0.44999999999999996</v>
      </c>
      <c r="D7" s="190" t="s">
        <v>404</v>
      </c>
      <c r="N7" s="153" t="s">
        <v>443</v>
      </c>
      <c r="O7" s="190" t="s">
        <v>464</v>
      </c>
      <c r="P7" s="194">
        <f>(P3*P5)/(P3+P5)</f>
        <v>64328.73688412198</v>
      </c>
      <c r="Q7" s="190" t="s">
        <v>449</v>
      </c>
    </row>
    <row r="8" spans="1:19" x14ac:dyDescent="0.25">
      <c r="N8" s="153" t="s">
        <v>444</v>
      </c>
      <c r="O8" s="190" t="s">
        <v>463</v>
      </c>
      <c r="P8" s="194">
        <f>(P4*P6)/(P4+P6)</f>
        <v>77877.897040385797</v>
      </c>
      <c r="Q8" s="190" t="s">
        <v>449</v>
      </c>
    </row>
    <row r="9" spans="1:19" x14ac:dyDescent="0.25">
      <c r="B9" s="153" t="s">
        <v>395</v>
      </c>
      <c r="C9" s="153" t="s">
        <v>412</v>
      </c>
      <c r="D9" s="153" t="s">
        <v>413</v>
      </c>
      <c r="E9" s="153" t="s">
        <v>403</v>
      </c>
      <c r="N9" s="153" t="s">
        <v>445</v>
      </c>
      <c r="O9" s="190" t="s">
        <v>462</v>
      </c>
      <c r="P9" s="194">
        <f>P7+P8</f>
        <v>142206.63392450777</v>
      </c>
      <c r="Q9" s="190" t="s">
        <v>449</v>
      </c>
    </row>
    <row r="10" spans="1:19" x14ac:dyDescent="0.25">
      <c r="A10" s="153" t="s">
        <v>328</v>
      </c>
      <c r="B10" s="190" t="s">
        <v>415</v>
      </c>
      <c r="C10" s="1">
        <f>'Índice dinámico Nissan Sunny'!C36</f>
        <v>1.4450000000000001</v>
      </c>
      <c r="D10" s="1">
        <f>'Índice dinámico Nissan Sunny'!D36</f>
        <v>1.43</v>
      </c>
      <c r="E10" s="190" t="s">
        <v>321</v>
      </c>
      <c r="N10" s="153" t="s">
        <v>446</v>
      </c>
      <c r="O10" s="191" t="s">
        <v>461</v>
      </c>
      <c r="P10" s="194">
        <f>P2/P9</f>
        <v>1.0340381896332962E-2</v>
      </c>
      <c r="Q10" s="190" t="s">
        <v>450</v>
      </c>
    </row>
    <row r="11" spans="1:19" x14ac:dyDescent="0.25">
      <c r="A11" s="153" t="s">
        <v>371</v>
      </c>
      <c r="B11" s="190" t="s">
        <v>416</v>
      </c>
      <c r="C11" s="1">
        <f>'Índice dinámico Nissan Sunny'!C26*'Índice dinámico Nissan Sunny'!I40</f>
        <v>72.600000000000009</v>
      </c>
      <c r="D11" s="1">
        <f>'Índice dinámico Nissan Sunny'!C26*'Índice dinámico Nissan Sunny'!I41</f>
        <v>59.399999999999991</v>
      </c>
      <c r="E11" s="190" t="s">
        <v>376</v>
      </c>
      <c r="N11" s="153" t="s">
        <v>446</v>
      </c>
      <c r="O11" s="190" t="s">
        <v>461</v>
      </c>
      <c r="P11" s="193">
        <f>DEGREES(P10)</f>
        <v>0.59246024121336149</v>
      </c>
      <c r="Q11" s="190" t="s">
        <v>451</v>
      </c>
    </row>
    <row r="12" spans="1:19" x14ac:dyDescent="0.25">
      <c r="A12" s="153" t="s">
        <v>405</v>
      </c>
      <c r="B12" s="190" t="s">
        <v>417</v>
      </c>
      <c r="C12" s="1">
        <f>'Índice dinámico Nissan Sunny'!F22</f>
        <v>0.12025</v>
      </c>
      <c r="D12" s="1">
        <v>0.15</v>
      </c>
      <c r="E12" s="190" t="s">
        <v>321</v>
      </c>
    </row>
    <row r="13" spans="1:19" x14ac:dyDescent="0.25">
      <c r="A13" s="153" t="s">
        <v>406</v>
      </c>
      <c r="B13" s="190" t="s">
        <v>418</v>
      </c>
      <c r="C13" s="134">
        <v>0.05</v>
      </c>
      <c r="D13" s="134">
        <v>0.1</v>
      </c>
      <c r="E13" s="190" t="s">
        <v>321</v>
      </c>
      <c r="N13" s="245" t="s">
        <v>452</v>
      </c>
      <c r="O13" s="245"/>
      <c r="P13" s="245"/>
      <c r="Q13" s="245"/>
    </row>
    <row r="14" spans="1:19" x14ac:dyDescent="0.25">
      <c r="A14" s="153" t="s">
        <v>407</v>
      </c>
      <c r="B14" s="190" t="s">
        <v>419</v>
      </c>
      <c r="C14" s="73">
        <f>'Suspensiones Nissan Sunny'!M16</f>
        <v>48.491052786451043</v>
      </c>
      <c r="D14" s="73">
        <f>'Suspensiones Nissan Sunny'!M17</f>
        <v>81.089766336439695</v>
      </c>
      <c r="E14" s="190" t="s">
        <v>377</v>
      </c>
      <c r="N14" s="1"/>
      <c r="O14" s="153" t="s">
        <v>395</v>
      </c>
      <c r="P14" s="153" t="s">
        <v>402</v>
      </c>
      <c r="Q14" s="153" t="s">
        <v>403</v>
      </c>
    </row>
    <row r="15" spans="1:19" x14ac:dyDescent="0.25">
      <c r="A15" s="153" t="s">
        <v>408</v>
      </c>
      <c r="B15" s="190" t="s">
        <v>420</v>
      </c>
      <c r="C15" s="73">
        <f>'Suspensiones Nissan Sunny'!M20</f>
        <v>50.62526524721472</v>
      </c>
      <c r="D15" s="73">
        <f>'Suspensiones Nissan Sunny'!M21</f>
        <v>82.91023159069276</v>
      </c>
      <c r="E15" s="190" t="s">
        <v>377</v>
      </c>
      <c r="N15" s="153" t="s">
        <v>453</v>
      </c>
      <c r="O15" s="190" t="s">
        <v>459</v>
      </c>
      <c r="P15" s="1">
        <f>P2*(P7/P9)</f>
        <v>665.18370629054141</v>
      </c>
      <c r="Q15" s="190" t="s">
        <v>448</v>
      </c>
      <c r="R15" s="192">
        <f>(P15/P2)</f>
        <v>0.45236101234399317</v>
      </c>
      <c r="S15" s="126"/>
    </row>
    <row r="16" spans="1:19" x14ac:dyDescent="0.25">
      <c r="A16" s="153" t="s">
        <v>409</v>
      </c>
      <c r="B16" s="190" t="s">
        <v>421</v>
      </c>
      <c r="C16" s="73">
        <f>'Suspensiones Nissan Sunny'!C13</f>
        <v>0.9</v>
      </c>
      <c r="D16" s="73">
        <f>'Suspensiones Nissan Sunny'!C14</f>
        <v>0.7</v>
      </c>
      <c r="E16" s="190" t="s">
        <v>414</v>
      </c>
      <c r="N16" s="153" t="s">
        <v>454</v>
      </c>
      <c r="O16" s="190" t="s">
        <v>460</v>
      </c>
      <c r="P16" s="1">
        <f>P2*(P8/P9)</f>
        <v>805.28719668088763</v>
      </c>
      <c r="Q16" s="190" t="s">
        <v>448</v>
      </c>
      <c r="R16" s="192">
        <f>1-R15</f>
        <v>0.54763898765600683</v>
      </c>
      <c r="S16" s="126"/>
    </row>
    <row r="17" spans="1:17" x14ac:dyDescent="0.25">
      <c r="A17" s="153" t="s">
        <v>410</v>
      </c>
      <c r="B17" s="190" t="s">
        <v>422</v>
      </c>
      <c r="C17" s="134">
        <v>0.9</v>
      </c>
      <c r="D17" s="134">
        <v>0.9</v>
      </c>
      <c r="E17" s="190" t="s">
        <v>414</v>
      </c>
      <c r="N17" s="153" t="s">
        <v>455</v>
      </c>
      <c r="O17" s="190" t="s">
        <v>471</v>
      </c>
      <c r="P17" s="1">
        <f>P15/C10</f>
        <v>460.33474483774489</v>
      </c>
      <c r="Q17" s="190" t="s">
        <v>131</v>
      </c>
    </row>
    <row r="18" spans="1:17" x14ac:dyDescent="0.25">
      <c r="A18" s="153" t="s">
        <v>411</v>
      </c>
      <c r="B18" s="190" t="s">
        <v>423</v>
      </c>
      <c r="C18" s="1">
        <f>'Suspensiones Nissan Sunny'!C11</f>
        <v>265</v>
      </c>
      <c r="D18" s="1">
        <f>C18</f>
        <v>265</v>
      </c>
      <c r="E18" s="190" t="s">
        <v>377</v>
      </c>
      <c r="N18" s="153" t="s">
        <v>456</v>
      </c>
      <c r="O18" s="190" t="s">
        <v>470</v>
      </c>
      <c r="P18" s="1">
        <f>P16/D10</f>
        <v>563.13789977684451</v>
      </c>
      <c r="Q18" s="190" t="s">
        <v>131</v>
      </c>
    </row>
    <row r="20" spans="1:17" ht="60.75" customHeight="1" x14ac:dyDescent="0.25">
      <c r="B20" s="188" t="s">
        <v>428</v>
      </c>
      <c r="C20" s="188" t="s">
        <v>429</v>
      </c>
      <c r="D20" s="188" t="s">
        <v>430</v>
      </c>
      <c r="E20" s="188" t="s">
        <v>431</v>
      </c>
      <c r="F20" s="188" t="s">
        <v>432</v>
      </c>
      <c r="G20" s="188" t="s">
        <v>403</v>
      </c>
      <c r="H20" s="188" t="s">
        <v>432</v>
      </c>
      <c r="I20" s="188" t="s">
        <v>403</v>
      </c>
      <c r="J20" s="249" t="s">
        <v>433</v>
      </c>
      <c r="K20" s="249"/>
      <c r="L20" s="189" t="s">
        <v>506</v>
      </c>
    </row>
    <row r="21" spans="1:17" x14ac:dyDescent="0.25">
      <c r="A21" s="163" t="s">
        <v>424</v>
      </c>
      <c r="B21" s="116">
        <f>9.81*(C11+C2*C6/C4)/2</f>
        <v>3115.9012500000008</v>
      </c>
      <c r="C21" s="116">
        <f>P17</f>
        <v>460.33474483774489</v>
      </c>
      <c r="D21" s="116">
        <f>P21</f>
        <v>152.791598615917</v>
      </c>
      <c r="E21" s="116">
        <f>P24</f>
        <v>47.414683183391006</v>
      </c>
      <c r="F21" s="116">
        <f>IF(F26="Derecha", B21+C21+D21+E21, B21-C21-D21-E21)</f>
        <v>3776.4422766370535</v>
      </c>
      <c r="G21" s="190" t="s">
        <v>131</v>
      </c>
      <c r="H21" s="162">
        <f>F21/9.81</f>
        <v>384.95843798542847</v>
      </c>
      <c r="I21" s="190" t="s">
        <v>376</v>
      </c>
      <c r="J21" s="246" t="s">
        <v>434</v>
      </c>
      <c r="K21" s="248">
        <f>SUM(C21:E21)</f>
        <v>660.54102663705294</v>
      </c>
      <c r="L21" s="250">
        <f>K21/(K23+K21)</f>
        <v>0.42525151882266721</v>
      </c>
      <c r="N21" s="153" t="s">
        <v>502</v>
      </c>
      <c r="O21" s="190" t="s">
        <v>472</v>
      </c>
      <c r="P21" s="1">
        <f>C13*(C2*C27*9.81*(C6/C4))/C10</f>
        <v>152.791598615917</v>
      </c>
      <c r="Q21" s="190" t="s">
        <v>131</v>
      </c>
    </row>
    <row r="22" spans="1:17" x14ac:dyDescent="0.25">
      <c r="A22" s="163" t="s">
        <v>425</v>
      </c>
      <c r="B22" s="116">
        <f>B21</f>
        <v>3115.9012500000008</v>
      </c>
      <c r="C22" s="116">
        <f>C21</f>
        <v>460.33474483774489</v>
      </c>
      <c r="D22" s="116">
        <f>D21</f>
        <v>152.791598615917</v>
      </c>
      <c r="E22" s="116">
        <f>E21</f>
        <v>47.414683183391006</v>
      </c>
      <c r="F22" s="116">
        <f>IF(F26="Izquierda", B22+C22+D22+E22, B22-C22-D22-E22)</f>
        <v>2455.3602233629481</v>
      </c>
      <c r="G22" s="190" t="s">
        <v>131</v>
      </c>
      <c r="H22" s="162">
        <f t="shared" ref="H22:H24" si="0">F22/9.81</f>
        <v>250.29156201457167</v>
      </c>
      <c r="I22" s="190" t="s">
        <v>376</v>
      </c>
      <c r="J22" s="246"/>
      <c r="K22" s="248"/>
      <c r="L22" s="251"/>
      <c r="N22" s="153" t="s">
        <v>503</v>
      </c>
      <c r="O22" s="190" t="s">
        <v>473</v>
      </c>
      <c r="P22" s="1">
        <f>C13*C2*C27*9.81/D10</f>
        <v>280.71692307692319</v>
      </c>
      <c r="Q22" s="190" t="s">
        <v>131</v>
      </c>
    </row>
    <row r="23" spans="1:17" x14ac:dyDescent="0.25">
      <c r="A23" s="163" t="s">
        <v>426</v>
      </c>
      <c r="B23" s="116">
        <f>9.81*(D11+C2*C6/C4)/2</f>
        <v>3051.1552500000007</v>
      </c>
      <c r="C23" s="116">
        <f>P18</f>
        <v>563.13789977684451</v>
      </c>
      <c r="D23" s="116">
        <f>P22</f>
        <v>280.71692307692319</v>
      </c>
      <c r="E23" s="116">
        <f>P25</f>
        <v>48.899076923076926</v>
      </c>
      <c r="F23" s="116">
        <f>IF(F26="Derecha", B23+C23+D23+E23, B23-C23-D23-E23)</f>
        <v>3943.909149776845</v>
      </c>
      <c r="G23" s="190" t="s">
        <v>131</v>
      </c>
      <c r="H23" s="162">
        <f>F23/9.81</f>
        <v>402.02947500273649</v>
      </c>
      <c r="I23" s="190" t="s">
        <v>376</v>
      </c>
      <c r="J23" s="247" t="s">
        <v>435</v>
      </c>
      <c r="K23" s="248">
        <f>SUM(C23:E23)</f>
        <v>892.75389977684461</v>
      </c>
      <c r="L23" s="250">
        <f>1-L21</f>
        <v>0.57474848117733279</v>
      </c>
      <c r="N23" t="s">
        <v>501</v>
      </c>
    </row>
    <row r="24" spans="1:17" x14ac:dyDescent="0.25">
      <c r="A24" s="163" t="s">
        <v>427</v>
      </c>
      <c r="B24" s="116">
        <f>B23</f>
        <v>3051.1552500000007</v>
      </c>
      <c r="C24" s="116">
        <f>C23</f>
        <v>563.13789977684451</v>
      </c>
      <c r="D24" s="116">
        <f>D23</f>
        <v>280.71692307692319</v>
      </c>
      <c r="E24" s="116">
        <f>E23</f>
        <v>48.899076923076926</v>
      </c>
      <c r="F24" s="116">
        <f>IF(F26="Izquierda", B24+C24+D24+E24, B24-C24-D24-E24)</f>
        <v>2158.4013502231564</v>
      </c>
      <c r="G24" s="190" t="s">
        <v>131</v>
      </c>
      <c r="H24" s="162">
        <f t="shared" si="0"/>
        <v>220.02052499726364</v>
      </c>
      <c r="I24" s="190" t="s">
        <v>376</v>
      </c>
      <c r="J24" s="247"/>
      <c r="K24" s="248"/>
      <c r="L24" s="251"/>
      <c r="N24" s="153" t="s">
        <v>457</v>
      </c>
      <c r="O24" s="190" t="s">
        <v>507</v>
      </c>
      <c r="P24" s="1">
        <f>C12*C11*C27*9.81/C10</f>
        <v>47.414683183391006</v>
      </c>
      <c r="Q24" s="190" t="s">
        <v>131</v>
      </c>
    </row>
    <row r="25" spans="1:17" x14ac:dyDescent="0.25">
      <c r="N25" s="153" t="s">
        <v>458</v>
      </c>
      <c r="O25" s="190" t="s">
        <v>508</v>
      </c>
      <c r="P25" s="1">
        <f>D12*D11*C27*9.81/D10</f>
        <v>48.899076923076926</v>
      </c>
      <c r="Q25" s="190" t="s">
        <v>131</v>
      </c>
    </row>
    <row r="26" spans="1:17" x14ac:dyDescent="0.25">
      <c r="B26" s="153" t="s">
        <v>395</v>
      </c>
      <c r="C26" s="153" t="s">
        <v>402</v>
      </c>
      <c r="D26" s="153" t="s">
        <v>403</v>
      </c>
      <c r="E26" s="187" t="s">
        <v>504</v>
      </c>
      <c r="F26" s="134" t="s">
        <v>505</v>
      </c>
    </row>
    <row r="27" spans="1:17" x14ac:dyDescent="0.25">
      <c r="A27" s="163" t="s">
        <v>436</v>
      </c>
      <c r="B27" s="190" t="s">
        <v>437</v>
      </c>
      <c r="C27" s="144">
        <v>0.8</v>
      </c>
      <c r="D27" s="1" t="s">
        <v>437</v>
      </c>
    </row>
  </sheetData>
  <mergeCells count="8">
    <mergeCell ref="N13:Q13"/>
    <mergeCell ref="J21:J22"/>
    <mergeCell ref="J23:J24"/>
    <mergeCell ref="K21:K22"/>
    <mergeCell ref="K23:K24"/>
    <mergeCell ref="J20:K20"/>
    <mergeCell ref="L21:L22"/>
    <mergeCell ref="L23:L24"/>
  </mergeCells>
  <dataValidations disablePrompts="1" count="1">
    <dataValidation type="list" allowBlank="1" showInputMessage="1" showErrorMessage="1" sqref="F26" xr:uid="{6ACD0A76-D0F5-43A9-B068-958EE32328FF}">
      <formula1>"Derecha,Izquierda"</formula1>
    </dataValidation>
  </dataValidations>
  <pageMargins left="0.7" right="0.7" top="0.75" bottom="0.75" header="0.3" footer="0.3"/>
  <ignoredErrors>
    <ignoredError sqref="B23:E2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Tire Input + Gráficas</vt:lpstr>
      <vt:lpstr>Coef. del neumático fijo</vt:lpstr>
      <vt:lpstr>Cálculo coef. del neumático</vt:lpstr>
      <vt:lpstr>Resistencia aerodinámica sin Rr</vt:lpstr>
      <vt:lpstr>Resistencia aerodinámica con Rr</vt:lpstr>
      <vt:lpstr>Prestaciones</vt:lpstr>
      <vt:lpstr>Índice dinámico Nissan Sunny</vt:lpstr>
      <vt:lpstr>Suspensiones Nissan Sunny</vt:lpstr>
      <vt:lpstr>Cálculo carga vertical por rued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Pilares Gallego</dc:creator>
  <cp:lastModifiedBy>Diego Pilares Gallego</cp:lastModifiedBy>
  <dcterms:created xsi:type="dcterms:W3CDTF">2024-02-14T18:59:35Z</dcterms:created>
  <dcterms:modified xsi:type="dcterms:W3CDTF">2024-09-03T18:08:45Z</dcterms:modified>
</cp:coreProperties>
</file>