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defaultThemeVersion="166925"/>
  <mc:AlternateContent xmlns:mc="http://schemas.openxmlformats.org/markup-compatibility/2006">
    <mc:Choice Requires="x15">
      <x15ac:absPath xmlns:x15ac="http://schemas.microsoft.com/office/spreadsheetml/2010/11/ac" url="/Users/matt2/Documents/NRECA/MicrogridUp/microgridup/Lehigh_loadshapes/"/>
    </mc:Choice>
  </mc:AlternateContent>
  <xr:revisionPtr revIDLastSave="0" documentId="13_ncr:1_{6292E39C-583A-3F45-AC6B-07F7B3A1C83F}" xr6:coauthVersionLast="45" xr6:coauthVersionMax="45" xr10:uidLastSave="{00000000-0000-0000-0000-000000000000}"/>
  <bookViews>
    <workbookView xWindow="18700" yWindow="460" windowWidth="10000" windowHeight="16120" xr2:uid="{5E54B31A-263E-7345-873B-B53A0B6021F8}"/>
  </bookViews>
  <sheets>
    <sheet name="112320_Lehigh.dss" sheetId="3" r:id="rId1"/>
    <sheet name="6_build+resid_11032020" sheetId="2" r:id="rId2"/>
    <sheet name="6_buildings_10282020" sheetId="1"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S15" i="3" l="1"/>
  <c r="S22" i="3"/>
  <c r="S19" i="3"/>
  <c r="M22" i="3"/>
  <c r="M19" i="3"/>
  <c r="M15" i="3"/>
  <c r="G19" i="3"/>
  <c r="K8" i="3"/>
  <c r="S11" i="3" l="1"/>
  <c r="M11" i="3"/>
  <c r="F29" i="2" l="1"/>
  <c r="F28" i="2"/>
  <c r="F27" i="2" l="1"/>
  <c r="F26" i="2"/>
  <c r="F23" i="2"/>
  <c r="G8" i="2"/>
  <c r="G14" i="2"/>
  <c r="G13" i="2" l="1"/>
  <c r="G12" i="2"/>
  <c r="G11" i="2"/>
  <c r="G10" i="2"/>
  <c r="G9" i="2"/>
  <c r="H21" i="1"/>
  <c r="B43" i="1" l="1"/>
  <c r="B42" i="1"/>
  <c r="B41" i="1" l="1"/>
  <c r="B39" i="1"/>
  <c r="H26" i="1" l="1"/>
  <c r="L27" i="1"/>
  <c r="G27" i="1"/>
  <c r="H22" i="1"/>
  <c r="H23" i="1"/>
  <c r="H24" i="1"/>
  <c r="H25" i="1"/>
  <c r="H27" i="1"/>
  <c r="W21" i="1"/>
  <c r="W20" i="1"/>
  <c r="C10" i="1" l="1"/>
  <c r="C11" i="1"/>
  <c r="C13" i="1"/>
  <c r="C15" i="1" s="1"/>
  <c r="C9" i="1"/>
  <c r="B3" i="1"/>
  <c r="G13" i="1" l="1"/>
  <c r="J27" i="1" l="1"/>
  <c r="K27" i="1"/>
  <c r="I27" i="1"/>
</calcChain>
</file>

<file path=xl/sharedStrings.xml><?xml version="1.0" encoding="utf-8"?>
<sst xmlns="http://schemas.openxmlformats.org/spreadsheetml/2006/main" count="302" uniqueCount="188">
  <si>
    <t>35 units</t>
  </si>
  <si>
    <t>Units</t>
  </si>
  <si>
    <t>kWh/yr</t>
  </si>
  <si>
    <t>kWh/yr/unit</t>
  </si>
  <si>
    <t>at ~70% energy from electricity</t>
  </si>
  <si>
    <t>2009 seattle ecotope data from https://www.seattle.gov/Documents/Departments/OSE/MF-Billing-Analysis-MidRise2009.pdf</t>
  </si>
  <si>
    <t>mean</t>
  </si>
  <si>
    <t>kWhr/day/unit</t>
  </si>
  <si>
    <t>Average annual consumtion kWh for a 35 unit building of 1000 square ft units in Seattle</t>
  </si>
  <si>
    <t>Ref building type</t>
  </si>
  <si>
    <t>Building to be modeled</t>
  </si>
  <si>
    <t>Warehouse</t>
  </si>
  <si>
    <t>Average Load (kW) from downloaded shape</t>
  </si>
  <si>
    <t>Max Load (kW) from downloaded shape</t>
  </si>
  <si>
    <t>max kW load target (for modeling Laughlin)</t>
  </si>
  <si>
    <t>Specified Geography</t>
  </si>
  <si>
    <t>Hospital</t>
  </si>
  <si>
    <t>Area (ft^2) of reference building</t>
  </si>
  <si>
    <t>Miami, FL</t>
  </si>
  <si>
    <t>Atlanta, GA</t>
  </si>
  <si>
    <t>Medium Office</t>
  </si>
  <si>
    <t>Supermarket</t>
  </si>
  <si>
    <t>Default Annual Consumption (kWh, as reported by REopt)</t>
  </si>
  <si>
    <t>Inputted Annual Consumption (kWh) into Reopt</t>
  </si>
  <si>
    <t>*Assume average of 50% of target load across the whole year</t>
  </si>
  <si>
    <t>Min Load (kW) from downloaded shape</t>
  </si>
  <si>
    <t>hangar_large_e.gov.csv</t>
  </si>
  <si>
    <t>hangar_medium_e.gov.csv</t>
  </si>
  <si>
    <t>hospital_e.gov.csv</t>
  </si>
  <si>
    <t>comms_data_e.gov.csv</t>
  </si>
  <si>
    <t>Description</t>
  </si>
  <si>
    <t>Large airplane hangar</t>
  </si>
  <si>
    <t>On-basehospital</t>
  </si>
  <si>
    <t>Communications/office/data center</t>
  </si>
  <si>
    <t>Terminal building to hoouse recruits</t>
  </si>
  <si>
    <t>Flight tower with radar, etc</t>
  </si>
  <si>
    <t>terminal_e.gov.csv</t>
  </si>
  <si>
    <t>tower_e.gov.csv</t>
  </si>
  <si>
    <t>Energy.gov reference Loadshpaes are not built for 24/7 operation, and have dips on weekends</t>
  </si>
  <si>
    <t>Hotel Small</t>
  </si>
  <si>
    <t xml:space="preserve">LoadShapes built from https://www.energy.gov/eere/buildings/commercial-reference-buildings using the REopt site: https://reopt.nrel.gov/tool/ with .1 $/kWh and 20$/kW/month demand charge in 2017 </t>
  </si>
  <si>
    <t>Analysis of full load 6_building_combined_10282020.csv as prepared by https://reopt.nrel.gov/tool/:</t>
  </si>
  <si>
    <t>6_building_combined_10282020.csv</t>
  </si>
  <si>
    <t>Full installation load added together</t>
  </si>
  <si>
    <t>Sum:</t>
  </si>
  <si>
    <t>Scenario constants:</t>
  </si>
  <si>
    <t>Generation Mix:</t>
  </si>
  <si>
    <t>*Reopt assumes full battery charge when modeling outage</t>
  </si>
  <si>
    <t>PV + Battery</t>
  </si>
  <si>
    <t>PV + Battery+ Wind</t>
  </si>
  <si>
    <t>PV + Battery + Diesel</t>
  </si>
  <si>
    <t>Res Average outage survived:</t>
  </si>
  <si>
    <t>Fin Average outage survived:</t>
  </si>
  <si>
    <t>Length of Outage (hr specified):</t>
  </si>
  <si>
    <t>9,714 kW PV
2,036 kW Battery
13,137 kWh Battery</t>
  </si>
  <si>
    <t>Resilience results:</t>
  </si>
  <si>
    <t>Res NPV</t>
  </si>
  <si>
    <t>Financial results:</t>
  </si>
  <si>
    <t>Fin NPV</t>
  </si>
  <si>
    <t>6,286 kW PV
138 kW Battery
182 kWh Battery</t>
  </si>
  <si>
    <t>0 kW Diesel
6,286 kW PV
138 kW Battery
182 kWh Battery</t>
  </si>
  <si>
    <t>593 kW Diesel
8,653 kW PV
1,551 kW Battery
6,932 kWh Battery</t>
  </si>
  <si>
    <t>Wind not recommended, defaults to PV+Battery as above</t>
  </si>
  <si>
    <t>11,924 kW PV
2,857 kW Battery
24,388 kWh Battery</t>
  </si>
  <si>
    <t>Res Prob surviving specified outage</t>
  </si>
  <si>
    <t>11,638 kW PV
2,810 kW Battery
24,338 kWh Battery
268 kWh Wind</t>
  </si>
  <si>
    <t>6,284 kW PV
140 kW Battery
185 kWh Battery
14 kWh Wind</t>
  </si>
  <si>
    <t>*Reopt assumes 13.16 kWh per gallon of diesel, which is a little low for a 1MW genset</t>
  </si>
  <si>
    <t>1,666 kW Diesel
6,710 kW PV
368 kW Battery
562 kWh Battery</t>
  </si>
  <si>
    <t>N/A on microgridDesign</t>
  </si>
  <si>
    <t>*not incorporating the resiliency outputs based on outages in microgridDesign, and the economic is not what we need</t>
  </si>
  <si>
    <t>Start date of outage</t>
  </si>
  <si>
    <t>Jul 25th 2am (peak season</t>
  </si>
  <si>
    <t>.10$/kWh, 10$/kw/month in Miami, FL;  outage; critical load factor 70%; loadshape = 6_building_combined_10282020.csv  in  2017</t>
  </si>
  <si>
    <t>Feb 2 2am (offpeak season)</t>
  </si>
  <si>
    <t>*Added 15000 gallons of diesel available to get this to turn on</t>
  </si>
  <si>
    <t>July 3 4pm (annual peak auto selected)</t>
  </si>
  <si>
    <t>1,920 kW Diesel
6,705 kW PV
731 kW Battery
1,449 kWh Battery</t>
  </si>
  <si>
    <t>1,823 kW Diesel
6,857 kW PV
756 kW Battery
1,263 kWh Battery</t>
  </si>
  <si>
    <t>*refit with residential</t>
  </si>
  <si>
    <t>Residential load</t>
  </si>
  <si>
    <t>3MW_resid_e.gov.csv</t>
  </si>
  <si>
    <t>hangar_large_2_e.gov.csv</t>
  </si>
  <si>
    <t>hangar_medium_2_e.gov.csv</t>
  </si>
  <si>
    <t>comms_data_2_e.gov.csv</t>
  </si>
  <si>
    <t>terminal_2_e.gov.csv</t>
  </si>
  <si>
    <t>Midrise Apartment</t>
  </si>
  <si>
    <t>Medium Airplane hangar</t>
  </si>
  <si>
    <t>LoadShape file</t>
  </si>
  <si>
    <t>$/kWh</t>
  </si>
  <si>
    <t>$/kw/month</t>
  </si>
  <si>
    <t>6_building_resid_combined_11032020.csv</t>
  </si>
  <si>
    <t>Crit_loads_no_resid_11032020.csv</t>
  </si>
  <si>
    <t>Critical loads without residual</t>
  </si>
  <si>
    <t>8/14/2017 8am</t>
  </si>
  <si>
    <t>1/16/2017 8am</t>
  </si>
  <si>
    <t xml:space="preserve"> Miami, FL;  outage; critical load factor 70%; 2017; 20,000 gallons of diesel (not all of which gets burned)</t>
  </si>
  <si>
    <t>2,214 kW Diesel
8,002 kW PV
1,212 kW Battery
4,055 kWh Battery</t>
  </si>
  <si>
    <t>2,181 kW Diesel
7,927 kW PV
1,208 kW Battery
4,010 kWh Battery</t>
  </si>
  <si>
    <t>Result:</t>
  </si>
  <si>
    <t>BASE CASE: With unlimited fuel and 70% critical load, system is profitable</t>
  </si>
  <si>
    <t>At 24 hour outage with same as base case, system stays largely the same but is more profitable</t>
  </si>
  <si>
    <t>1,792 kW Diesel
7,668 kW PV
1,112 kW Battery
3,223 kWh Battery</t>
  </si>
  <si>
    <t>976 kW Diesel
4,473 kW PV
673 kW Battery
1,961 kWh Battery</t>
  </si>
  <si>
    <t>1,387 kW Diesel
3,701 kW PV
660 kW Battery
2,580 kWh Battery</t>
  </si>
  <si>
    <t>Res Prob surviving 168 hr outage (%)</t>
  </si>
  <si>
    <t>Res Average outage survived (hr):</t>
  </si>
  <si>
    <t>Res NPV ($)</t>
  </si>
  <si>
    <t>hospital_egov.csv</t>
  </si>
  <si>
    <t>More cost effective (by $700,000) on the larger grid than separating critical and non critical loads, with fewer resources (200kw less genset and 500 kWh less battery) needed in the full mircogrid.</t>
  </si>
  <si>
    <t>312 kW Diesel
1,273 kW PV
181 kW Battery
564 kWh Battery</t>
  </si>
  <si>
    <t>tower_egov.csv</t>
  </si>
  <si>
    <t>Largest individual load receives more average resiliency, but lower probably of lasting 1 week; is cost effective on it's own</t>
  </si>
  <si>
    <t>Residential on it's own</t>
  </si>
  <si>
    <t>Scenario</t>
  </si>
  <si>
    <t>Winter resiliency estimate greatly decreases estimate of week-long survivability</t>
  </si>
  <si>
    <t>full load 1 week outage mid winter</t>
  </si>
  <si>
    <t>full load 1 day outage</t>
  </si>
  <si>
    <t>BASE CASE: full load 1 week outage mid summer</t>
  </si>
  <si>
    <t>Critical (flight ready) loads</t>
  </si>
  <si>
    <t>Residential (non-critical) loads</t>
  </si>
  <si>
    <t>Hospital islanded</t>
  </si>
  <si>
    <t>Tower Islanded</t>
  </si>
  <si>
    <t>142 kW Diesel
441 kW PV
95 kW Battery
371 kWh Battery</t>
  </si>
  <si>
    <t>Smallest individual load is not cost effective to island</t>
  </si>
  <si>
    <t>Rough upfront cost</t>
  </si>
  <si>
    <t>Energy.gov reference Loadshapes are not built for 24/7 operation, and have dips on weekends</t>
  </si>
  <si>
    <t>Lehigh.dss 4 microgrid system</t>
  </si>
  <si>
    <t>Loads in Lehigh.dss</t>
  </si>
  <si>
    <t>load bus in Lehigh.dss</t>
  </si>
  <si>
    <t>Microgrid name</t>
  </si>
  <si>
    <t>m1</t>
  </si>
  <si>
    <t>'634a','634b','634c'</t>
  </si>
  <si>
    <t>Switch in Lehigh.dss</t>
  </si>
  <si>
    <t>'632633'</t>
  </si>
  <si>
    <t xml:space="preserve"> Miami, FL;  outage; critical load factor 70%; 2017; 30,000 gallons of diesel (not all of which gets burned)</t>
  </si>
  <si>
    <t>*Resilience optimization outputs</t>
  </si>
  <si>
    <t>Recommended Diesel (kW)</t>
  </si>
  <si>
    <t>Recommended Solar (kW)</t>
  </si>
  <si>
    <t>Recommended Battery Capacity  (kWh)</t>
  </si>
  <si>
    <t>Recommended Battery Power  (kW)</t>
  </si>
  <si>
    <t>Rough upfront cost ($)</t>
  </si>
  <si>
    <t>*without incentives</t>
  </si>
  <si>
    <t>Residential</t>
  </si>
  <si>
    <t>Load Description</t>
  </si>
  <si>
    <t xml:space="preserve">Min Load (kW) </t>
  </si>
  <si>
    <t xml:space="preserve">Average Load (kW) </t>
  </si>
  <si>
    <t xml:space="preserve">Max Load (kW) </t>
  </si>
  <si>
    <t>*Calculated using all loads connected to gen bus added together</t>
  </si>
  <si>
    <t xml:space="preserve">battery_mult_2017.csv was based on the output of a 31.3 kWH, 11.9 kW battery system putting out about 6440 kWH per year in Texas in 2017. The loadshape is scaled to reflect this total production, producing up to 100% of total kW output in one hour.  </t>
  </si>
  <si>
    <t xml:space="preserve">solar_mult_2017.csv was based on the REopt financial analysis output (with no specified outages!) of a 400 kW pv system putting out on average 650,000 kWH per year in Texas in 2017. The loadshape is scaled to reflect this total production, producing up to 75% of total kVA of the solar panels at one time.  </t>
  </si>
  <si>
    <t>Solar_mult_2017, battery_mult_2017 and diesel_mult_2017 work together within the same microgrid to balance eachother's load</t>
  </si>
  <si>
    <t xml:space="preserve">diesel_mult_2017.csv was based on the output of a 107 kVA diesel generato in Texas in 2017. The loadshape is scaled to reflect high utility rate production using diesel to shave peak demand during the summer months mostly, producing up to 100% of total kW output in one hour.  </t>
  </si>
  <si>
    <t>Json converter: https://onlinejsontools.com/convert-json-to-text</t>
  </si>
  <si>
    <t>Reopt API docs: https://developer.nrel.gov/docs/energy-optimization/reopt-v1/</t>
  </si>
  <si>
    <t>634a</t>
  </si>
  <si>
    <t>634b</t>
  </si>
  <si>
    <t>634c</t>
  </si>
  <si>
    <t>m2</t>
  </si>
  <si>
    <t>'675a','675b','675c'</t>
  </si>
  <si>
    <t>675a</t>
  </si>
  <si>
    <t>675b</t>
  </si>
  <si>
    <t>675c</t>
  </si>
  <si>
    <t>671692'</t>
  </si>
  <si>
    <t>'675'</t>
  </si>
  <si>
    <t>400kW_resid.txt</t>
  </si>
  <si>
    <t>'611','652'</t>
  </si>
  <si>
    <t>m3</t>
  </si>
  <si>
    <t>'671684'</t>
  </si>
  <si>
    <t>m4</t>
  </si>
  <si>
    <t>'645','646'</t>
  </si>
  <si>
    <t>hospital</t>
  </si>
  <si>
    <t>hospital.txt</t>
  </si>
  <si>
    <t>Office</t>
  </si>
  <si>
    <t>medium_office.txt</t>
  </si>
  <si>
    <t>Hangar</t>
  </si>
  <si>
    <t>Tower</t>
  </si>
  <si>
    <t>Operations Center</t>
  </si>
  <si>
    <t>supermarket.txt</t>
  </si>
  <si>
    <t>hotel_medium.tx</t>
  </si>
  <si>
    <t>warehouse.txt</t>
  </si>
  <si>
    <t>Data Center</t>
  </si>
  <si>
    <t>*To build the demand_loads for each microgrid, I used the associated csv column, adjusted to the max load, and added the shapes together, loading it into the save "1606" run from Reopt web tool on 11/19/2020</t>
  </si>
  <si>
    <t>m2_load.csv</t>
  </si>
  <si>
    <t>m3_load.csv</t>
  </si>
  <si>
    <t>m4_load.csv</t>
  </si>
  <si>
    <t>*I am not sure that the NPV includes capital cost?</t>
  </si>
  <si>
    <t>*minimum survived outage is often 0 hours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</si>
</sst>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6" formatCode="&quot;$&quot;#,##0_);[Red]\(&quot;$&quot;#,##0\)"/>
  </numFmts>
  <fonts count="5">
    <font>
      <sz val="12"/>
      <color theme="1"/>
      <name val="Calibri"/>
      <family val="2"/>
      <scheme val="minor"/>
    </font>
    <font>
      <b/>
      <sz val="12"/>
      <color theme="1"/>
      <name val="Calibri"/>
      <family val="2"/>
      <scheme val="minor"/>
    </font>
    <font>
      <sz val="14"/>
      <color rgb="FF333333"/>
      <name val="Helvetica Neue"/>
      <family val="2"/>
    </font>
    <font>
      <sz val="18"/>
      <color rgb="FF333333"/>
      <name val="Roboto"/>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0" fontId="1" fillId="0" borderId="0" xfId="0" applyFont="1"/>
    <xf numFmtId="0" fontId="0" fillId="0" borderId="0" xfId="0" applyAlignment="1">
      <alignment wrapText="1"/>
    </xf>
    <xf numFmtId="3" fontId="2" fillId="0" borderId="0" xfId="0" applyNumberFormat="1" applyFont="1"/>
    <xf numFmtId="0" fontId="1" fillId="0" borderId="0" xfId="0" applyFont="1" applyAlignment="1">
      <alignment horizontal="right"/>
    </xf>
    <xf numFmtId="6" fontId="3" fillId="0" borderId="0" xfId="0" applyNumberFormat="1" applyFont="1"/>
    <xf numFmtId="9" fontId="0" fillId="0" borderId="0" xfId="0" applyNumberFormat="1"/>
    <xf numFmtId="0" fontId="0" fillId="0" borderId="0" xfId="0" applyFill="1"/>
    <xf numFmtId="0" fontId="3" fillId="0" borderId="0" xfId="0" applyFont="1"/>
    <xf numFmtId="6" fontId="0" fillId="0" borderId="0" xfId="0" applyNumberFormat="1"/>
    <xf numFmtId="0" fontId="0" fillId="0" borderId="0" xfId="0" quotePrefix="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6EF4BD-D0A2-FC45-BEE7-33012DE4E129}">
  <dimension ref="A1:W24"/>
  <sheetViews>
    <sheetView tabSelected="1" topLeftCell="A6" zoomScale="130" zoomScaleNormal="130" workbookViewId="0">
      <selection activeCell="B16" sqref="B16"/>
    </sheetView>
  </sheetViews>
  <sheetFormatPr baseColWidth="10" defaultRowHeight="16"/>
  <cols>
    <col min="1" max="1" width="15.33203125" customWidth="1"/>
    <col min="2" max="2" width="16.6640625" customWidth="1"/>
    <col min="3" max="3" width="12.33203125" customWidth="1"/>
    <col min="4" max="5" width="12.6640625" customWidth="1"/>
    <col min="6" max="6" width="22.5" customWidth="1"/>
    <col min="7" max="7" width="15.1640625" customWidth="1"/>
    <col min="8" max="8" width="18" customWidth="1"/>
    <col min="9" max="9" width="18.83203125" customWidth="1"/>
    <col min="10" max="11" width="11.6640625" customWidth="1"/>
    <col min="12" max="12" width="22.5" customWidth="1"/>
    <col min="13" max="13" width="18.83203125" customWidth="1"/>
    <col min="14" max="14" width="17.1640625" customWidth="1"/>
    <col min="15" max="22" width="22.5" customWidth="1"/>
  </cols>
  <sheetData>
    <row r="1" spans="1:23">
      <c r="A1" t="s">
        <v>127</v>
      </c>
    </row>
    <row r="3" spans="1:23">
      <c r="A3" t="s">
        <v>150</v>
      </c>
      <c r="Q3" t="s">
        <v>153</v>
      </c>
    </row>
    <row r="4" spans="1:23">
      <c r="A4" t="s">
        <v>149</v>
      </c>
      <c r="Q4" t="s">
        <v>154</v>
      </c>
    </row>
    <row r="5" spans="1:23">
      <c r="A5" t="s">
        <v>152</v>
      </c>
    </row>
    <row r="6" spans="1:23">
      <c r="A6" t="s">
        <v>151</v>
      </c>
      <c r="O6" t="s">
        <v>45</v>
      </c>
      <c r="P6" t="s">
        <v>135</v>
      </c>
    </row>
    <row r="8" spans="1:23">
      <c r="I8" t="s">
        <v>182</v>
      </c>
      <c r="K8">
        <f>133/331</f>
        <v>0.40181268882175225</v>
      </c>
    </row>
    <row r="9" spans="1:23">
      <c r="I9" t="s">
        <v>148</v>
      </c>
      <c r="O9" t="s">
        <v>136</v>
      </c>
      <c r="S9" t="s">
        <v>142</v>
      </c>
      <c r="T9" t="s">
        <v>186</v>
      </c>
      <c r="U9" t="s">
        <v>187</v>
      </c>
    </row>
    <row r="10" spans="1:23" ht="48" customHeight="1">
      <c r="A10" t="s">
        <v>130</v>
      </c>
      <c r="B10" t="s">
        <v>128</v>
      </c>
      <c r="C10" t="s">
        <v>133</v>
      </c>
      <c r="D10" t="s">
        <v>129</v>
      </c>
      <c r="E10" t="s">
        <v>144</v>
      </c>
      <c r="F10" t="s">
        <v>88</v>
      </c>
      <c r="G10" s="2" t="s">
        <v>147</v>
      </c>
      <c r="H10" s="2" t="s">
        <v>146</v>
      </c>
      <c r="I10" s="2" t="s">
        <v>145</v>
      </c>
      <c r="J10" t="s">
        <v>89</v>
      </c>
      <c r="K10" t="s">
        <v>90</v>
      </c>
      <c r="L10" s="2" t="s">
        <v>46</v>
      </c>
      <c r="M10" s="2" t="s">
        <v>53</v>
      </c>
      <c r="N10" s="2" t="s">
        <v>71</v>
      </c>
      <c r="O10" s="2" t="s">
        <v>137</v>
      </c>
      <c r="P10" s="2" t="s">
        <v>138</v>
      </c>
      <c r="Q10" s="2" t="s">
        <v>140</v>
      </c>
      <c r="R10" s="2" t="s">
        <v>139</v>
      </c>
      <c r="S10" s="2" t="s">
        <v>141</v>
      </c>
      <c r="T10" s="2" t="s">
        <v>107</v>
      </c>
      <c r="U10" s="2" t="s">
        <v>106</v>
      </c>
      <c r="V10" s="2" t="s">
        <v>105</v>
      </c>
      <c r="W10" s="2" t="s">
        <v>99</v>
      </c>
    </row>
    <row r="11" spans="1:23" ht="17">
      <c r="A11" t="s">
        <v>131</v>
      </c>
      <c r="B11" t="s">
        <v>132</v>
      </c>
      <c r="C11" t="s">
        <v>134</v>
      </c>
      <c r="D11">
        <v>634</v>
      </c>
      <c r="F11" t="s">
        <v>165</v>
      </c>
      <c r="G11">
        <v>400</v>
      </c>
      <c r="H11">
        <v>178.38</v>
      </c>
      <c r="I11">
        <v>63.57</v>
      </c>
      <c r="J11">
        <v>0.1</v>
      </c>
      <c r="K11">
        <v>20</v>
      </c>
      <c r="L11" t="s">
        <v>50</v>
      </c>
      <c r="M11">
        <f>7*24</f>
        <v>168</v>
      </c>
      <c r="N11" s="2" t="s">
        <v>94</v>
      </c>
      <c r="O11" s="2">
        <v>165</v>
      </c>
      <c r="P11" s="2">
        <v>440</v>
      </c>
      <c r="Q11" s="2">
        <v>79</v>
      </c>
      <c r="R11" s="2">
        <v>307</v>
      </c>
      <c r="S11">
        <f>O11*500+P11*1600+R11*420+Q11*840</f>
        <v>981800</v>
      </c>
      <c r="T11" s="2">
        <v>-1521</v>
      </c>
      <c r="U11" s="2">
        <v>2024</v>
      </c>
      <c r="V11">
        <v>77</v>
      </c>
    </row>
    <row r="12" spans="1:23">
      <c r="A12" t="s">
        <v>131</v>
      </c>
      <c r="B12" t="s">
        <v>155</v>
      </c>
      <c r="E12" t="s">
        <v>143</v>
      </c>
      <c r="F12" t="s">
        <v>165</v>
      </c>
      <c r="G12">
        <v>160</v>
      </c>
    </row>
    <row r="13" spans="1:23">
      <c r="A13" t="s">
        <v>131</v>
      </c>
      <c r="B13" t="s">
        <v>156</v>
      </c>
      <c r="E13" t="s">
        <v>143</v>
      </c>
      <c r="F13" t="s">
        <v>165</v>
      </c>
      <c r="G13">
        <v>120</v>
      </c>
    </row>
    <row r="14" spans="1:23">
      <c r="A14" t="s">
        <v>131</v>
      </c>
      <c r="B14" t="s">
        <v>157</v>
      </c>
      <c r="E14" t="s">
        <v>143</v>
      </c>
      <c r="F14" t="s">
        <v>165</v>
      </c>
      <c r="G14">
        <v>120</v>
      </c>
    </row>
    <row r="15" spans="1:23" ht="17">
      <c r="A15" t="s">
        <v>158</v>
      </c>
      <c r="B15" t="s">
        <v>159</v>
      </c>
      <c r="C15" s="10" t="s">
        <v>163</v>
      </c>
      <c r="D15" t="s">
        <v>164</v>
      </c>
      <c r="F15" t="s">
        <v>183</v>
      </c>
      <c r="G15">
        <v>772.9</v>
      </c>
      <c r="H15">
        <v>426</v>
      </c>
      <c r="I15">
        <v>217</v>
      </c>
      <c r="J15">
        <v>0.1</v>
      </c>
      <c r="K15">
        <v>20</v>
      </c>
      <c r="L15" t="s">
        <v>50</v>
      </c>
      <c r="M15">
        <f>7*24</f>
        <v>168</v>
      </c>
      <c r="N15" s="2" t="s">
        <v>94</v>
      </c>
      <c r="O15">
        <v>265</v>
      </c>
      <c r="P15">
        <v>1234</v>
      </c>
      <c r="Q15">
        <v>198</v>
      </c>
      <c r="R15">
        <v>553</v>
      </c>
      <c r="S15">
        <f>O15*500+P15*1600+R15*420+Q15*840</f>
        <v>2505480</v>
      </c>
      <c r="T15">
        <v>214920</v>
      </c>
      <c r="U15">
        <v>307</v>
      </c>
      <c r="V15">
        <v>54</v>
      </c>
    </row>
    <row r="16" spans="1:23">
      <c r="A16" t="s">
        <v>158</v>
      </c>
      <c r="B16" t="s">
        <v>160</v>
      </c>
      <c r="E16" t="s">
        <v>171</v>
      </c>
      <c r="F16" t="s">
        <v>172</v>
      </c>
      <c r="G16">
        <v>485</v>
      </c>
    </row>
    <row r="17" spans="1:22">
      <c r="A17" t="s">
        <v>158</v>
      </c>
      <c r="B17" t="s">
        <v>161</v>
      </c>
      <c r="E17" t="s">
        <v>181</v>
      </c>
      <c r="F17" t="s">
        <v>178</v>
      </c>
      <c r="G17">
        <v>68</v>
      </c>
    </row>
    <row r="18" spans="1:22">
      <c r="A18" t="s">
        <v>158</v>
      </c>
      <c r="B18" t="s">
        <v>162</v>
      </c>
      <c r="E18" t="s">
        <v>173</v>
      </c>
      <c r="F18" t="s">
        <v>174</v>
      </c>
      <c r="G18">
        <v>290</v>
      </c>
    </row>
    <row r="19" spans="1:22" ht="17">
      <c r="A19" t="s">
        <v>167</v>
      </c>
      <c r="B19" t="s">
        <v>166</v>
      </c>
      <c r="C19" t="s">
        <v>168</v>
      </c>
      <c r="D19">
        <v>684</v>
      </c>
      <c r="F19" t="s">
        <v>184</v>
      </c>
      <c r="G19">
        <f>170+128</f>
        <v>298</v>
      </c>
      <c r="H19">
        <v>127.7</v>
      </c>
      <c r="I19">
        <v>53.33</v>
      </c>
      <c r="J19">
        <v>0.1</v>
      </c>
      <c r="K19">
        <v>20</v>
      </c>
      <c r="L19" t="s">
        <v>50</v>
      </c>
      <c r="M19">
        <f>7*24</f>
        <v>168</v>
      </c>
      <c r="N19" s="2" t="s">
        <v>94</v>
      </c>
      <c r="O19">
        <v>81</v>
      </c>
      <c r="P19">
        <v>432</v>
      </c>
      <c r="Q19">
        <v>83</v>
      </c>
      <c r="R19">
        <v>225</v>
      </c>
      <c r="S19">
        <f>O19*500+P19*1600+R19*420+Q19*840</f>
        <v>895920</v>
      </c>
      <c r="T19">
        <v>109888</v>
      </c>
      <c r="U19">
        <v>1067</v>
      </c>
      <c r="V19">
        <v>87</v>
      </c>
    </row>
    <row r="20" spans="1:22">
      <c r="A20" t="s">
        <v>167</v>
      </c>
      <c r="B20">
        <v>611</v>
      </c>
      <c r="E20" t="s">
        <v>175</v>
      </c>
      <c r="F20" t="s">
        <v>180</v>
      </c>
      <c r="G20">
        <v>170</v>
      </c>
    </row>
    <row r="21" spans="1:22">
      <c r="A21" t="s">
        <v>167</v>
      </c>
      <c r="B21">
        <v>652</v>
      </c>
      <c r="E21" t="s">
        <v>181</v>
      </c>
      <c r="F21" t="s">
        <v>178</v>
      </c>
      <c r="G21">
        <v>128</v>
      </c>
    </row>
    <row r="22" spans="1:22" ht="17">
      <c r="A22" t="s">
        <v>169</v>
      </c>
      <c r="B22" t="s">
        <v>170</v>
      </c>
      <c r="C22">
        <v>632645</v>
      </c>
      <c r="D22">
        <v>646</v>
      </c>
      <c r="F22" t="s">
        <v>185</v>
      </c>
      <c r="G22">
        <v>363</v>
      </c>
      <c r="H22">
        <v>231</v>
      </c>
      <c r="I22">
        <v>89</v>
      </c>
      <c r="J22">
        <v>0.1</v>
      </c>
      <c r="K22">
        <v>20</v>
      </c>
      <c r="L22" t="s">
        <v>50</v>
      </c>
      <c r="M22">
        <f>7*24</f>
        <v>168</v>
      </c>
      <c r="N22" s="2" t="s">
        <v>94</v>
      </c>
      <c r="O22">
        <v>145</v>
      </c>
      <c r="P22">
        <v>590</v>
      </c>
      <c r="Q22">
        <v>98</v>
      </c>
      <c r="R22">
        <v>346</v>
      </c>
      <c r="S22">
        <f>O22*500+P22*1600+R22*420+Q22*840</f>
        <v>1244140</v>
      </c>
      <c r="T22">
        <v>20343</v>
      </c>
      <c r="U22">
        <v>216</v>
      </c>
      <c r="V22">
        <v>41</v>
      </c>
    </row>
    <row r="23" spans="1:22">
      <c r="A23" t="s">
        <v>169</v>
      </c>
      <c r="B23">
        <v>645</v>
      </c>
      <c r="E23" t="s">
        <v>176</v>
      </c>
      <c r="F23" t="s">
        <v>179</v>
      </c>
      <c r="G23">
        <v>170</v>
      </c>
    </row>
    <row r="24" spans="1:22">
      <c r="A24" t="s">
        <v>169</v>
      </c>
      <c r="B24">
        <v>646</v>
      </c>
      <c r="E24" t="s">
        <v>177</v>
      </c>
      <c r="F24" t="s">
        <v>178</v>
      </c>
      <c r="G24">
        <v>230</v>
      </c>
    </row>
  </sheetData>
  <phoneticPr fontId="4"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66B282-24B3-4444-829E-2D855F3D6C7A}">
  <dimension ref="A4:O32"/>
  <sheetViews>
    <sheetView topLeftCell="B1" zoomScale="120" zoomScaleNormal="120" workbookViewId="0">
      <selection activeCell="G13" sqref="G13"/>
    </sheetView>
  </sheetViews>
  <sheetFormatPr baseColWidth="10" defaultRowHeight="16"/>
  <cols>
    <col min="1" max="1" width="26.1640625" customWidth="1"/>
    <col min="2" max="2" width="27.1640625" customWidth="1"/>
    <col min="3" max="3" width="18" customWidth="1"/>
    <col min="4" max="4" width="21.33203125" customWidth="1"/>
    <col min="6" max="6" width="10.83203125" customWidth="1"/>
    <col min="7" max="7" width="19" customWidth="1"/>
    <col min="8" max="8" width="21.1640625" customWidth="1"/>
    <col min="9" max="9" width="18.5" customWidth="1"/>
    <col min="10" max="10" width="16.33203125" bestFit="1" customWidth="1"/>
    <col min="11" max="11" width="23.83203125" customWidth="1"/>
    <col min="12" max="12" width="16.1640625" customWidth="1"/>
  </cols>
  <sheetData>
    <row r="4" spans="1:11">
      <c r="A4" t="s">
        <v>40</v>
      </c>
    </row>
    <row r="5" spans="1:11">
      <c r="A5" t="s">
        <v>126</v>
      </c>
    </row>
    <row r="6" spans="1:11">
      <c r="I6" t="s">
        <v>24</v>
      </c>
    </row>
    <row r="7" spans="1:11" ht="85">
      <c r="A7" s="2" t="s">
        <v>10</v>
      </c>
      <c r="B7" s="2" t="s">
        <v>30</v>
      </c>
      <c r="C7" s="2" t="s">
        <v>9</v>
      </c>
      <c r="D7" s="2" t="s">
        <v>17</v>
      </c>
      <c r="E7" s="2" t="s">
        <v>15</v>
      </c>
      <c r="F7" s="2" t="s">
        <v>14</v>
      </c>
      <c r="G7" s="2" t="s">
        <v>23</v>
      </c>
      <c r="H7" s="2" t="s">
        <v>12</v>
      </c>
      <c r="I7" s="2" t="s">
        <v>25</v>
      </c>
      <c r="J7" s="2" t="s">
        <v>13</v>
      </c>
      <c r="K7" s="2" t="s">
        <v>22</v>
      </c>
    </row>
    <row r="8" spans="1:11">
      <c r="A8" t="s">
        <v>82</v>
      </c>
      <c r="B8" t="s">
        <v>31</v>
      </c>
      <c r="C8" t="s">
        <v>11</v>
      </c>
      <c r="D8">
        <v>52000</v>
      </c>
      <c r="E8" t="s">
        <v>18</v>
      </c>
      <c r="F8" s="7">
        <v>300</v>
      </c>
      <c r="G8">
        <f>F8*0.5*8760</f>
        <v>1314000</v>
      </c>
      <c r="H8">
        <v>150</v>
      </c>
      <c r="I8">
        <v>27.4</v>
      </c>
      <c r="J8">
        <v>480</v>
      </c>
      <c r="K8">
        <v>202082</v>
      </c>
    </row>
    <row r="9" spans="1:11">
      <c r="A9" t="s">
        <v>83</v>
      </c>
      <c r="B9" t="s">
        <v>87</v>
      </c>
      <c r="C9" t="s">
        <v>11</v>
      </c>
      <c r="D9">
        <v>52000</v>
      </c>
      <c r="E9" t="s">
        <v>19</v>
      </c>
      <c r="F9" s="7">
        <v>200</v>
      </c>
      <c r="G9">
        <f t="shared" ref="G9:G12" si="0">F9*0.5*8760</f>
        <v>876000</v>
      </c>
      <c r="H9">
        <v>100</v>
      </c>
      <c r="I9">
        <v>16.57</v>
      </c>
      <c r="J9">
        <v>351.89</v>
      </c>
      <c r="K9">
        <v>223009</v>
      </c>
    </row>
    <row r="10" spans="1:11" ht="18">
      <c r="A10" t="s">
        <v>28</v>
      </c>
      <c r="B10" t="s">
        <v>32</v>
      </c>
      <c r="C10" t="s">
        <v>16</v>
      </c>
      <c r="D10" s="3">
        <v>241351</v>
      </c>
      <c r="E10" t="s">
        <v>19</v>
      </c>
      <c r="F10" s="7">
        <v>1000</v>
      </c>
      <c r="G10">
        <f t="shared" si="0"/>
        <v>4380000</v>
      </c>
      <c r="H10">
        <v>500</v>
      </c>
      <c r="I10">
        <v>296</v>
      </c>
      <c r="J10">
        <v>801</v>
      </c>
      <c r="K10">
        <v>9054747</v>
      </c>
    </row>
    <row r="11" spans="1:11">
      <c r="A11" t="s">
        <v>84</v>
      </c>
      <c r="B11" t="s">
        <v>33</v>
      </c>
      <c r="C11" t="s">
        <v>20</v>
      </c>
      <c r="D11">
        <v>53628</v>
      </c>
      <c r="E11" t="s">
        <v>18</v>
      </c>
      <c r="F11" s="7">
        <v>600</v>
      </c>
      <c r="G11">
        <f t="shared" si="0"/>
        <v>2628000</v>
      </c>
      <c r="H11">
        <v>300</v>
      </c>
      <c r="I11">
        <v>52.24</v>
      </c>
      <c r="J11">
        <v>757.76</v>
      </c>
      <c r="K11">
        <v>1021224</v>
      </c>
    </row>
    <row r="12" spans="1:11">
      <c r="A12" t="s">
        <v>85</v>
      </c>
      <c r="B12" t="s">
        <v>34</v>
      </c>
      <c r="C12" t="s">
        <v>21</v>
      </c>
      <c r="D12">
        <v>45000</v>
      </c>
      <c r="E12" t="s">
        <v>18</v>
      </c>
      <c r="F12" s="7">
        <v>500</v>
      </c>
      <c r="G12">
        <f t="shared" si="0"/>
        <v>2190000</v>
      </c>
      <c r="H12">
        <v>250</v>
      </c>
      <c r="I12">
        <v>83.87</v>
      </c>
      <c r="J12">
        <v>429.38</v>
      </c>
      <c r="K12">
        <v>2260929</v>
      </c>
    </row>
    <row r="13" spans="1:11" ht="17" customHeight="1">
      <c r="A13" t="s">
        <v>37</v>
      </c>
      <c r="B13" t="s">
        <v>35</v>
      </c>
      <c r="C13" t="s">
        <v>39</v>
      </c>
      <c r="D13">
        <v>5500</v>
      </c>
      <c r="E13" t="s">
        <v>18</v>
      </c>
      <c r="F13" s="7">
        <v>400</v>
      </c>
      <c r="G13">
        <f>F13*0.5*8760</f>
        <v>1752000</v>
      </c>
      <c r="H13">
        <v>200</v>
      </c>
      <c r="I13">
        <v>85</v>
      </c>
      <c r="J13">
        <v>351</v>
      </c>
      <c r="K13">
        <v>972090</v>
      </c>
    </row>
    <row r="14" spans="1:11">
      <c r="A14" t="s">
        <v>81</v>
      </c>
      <c r="B14" t="s">
        <v>80</v>
      </c>
      <c r="C14" t="s">
        <v>86</v>
      </c>
      <c r="D14">
        <v>33740</v>
      </c>
      <c r="E14" t="s">
        <v>18</v>
      </c>
      <c r="F14" s="7">
        <v>3000</v>
      </c>
      <c r="G14">
        <f>F14*0.5*8760</f>
        <v>13140000</v>
      </c>
      <c r="H14">
        <v>1500</v>
      </c>
      <c r="I14">
        <v>535</v>
      </c>
      <c r="J14">
        <v>3364</v>
      </c>
      <c r="K14">
        <v>424956</v>
      </c>
    </row>
    <row r="16" spans="1:11">
      <c r="A16" t="s">
        <v>91</v>
      </c>
      <c r="B16" t="s">
        <v>43</v>
      </c>
      <c r="F16" s="4"/>
      <c r="G16" s="1">
        <v>26280000</v>
      </c>
      <c r="H16" s="1">
        <v>3000</v>
      </c>
      <c r="I16" s="1">
        <v>1325.5</v>
      </c>
      <c r="J16" s="1">
        <v>6264</v>
      </c>
    </row>
    <row r="17" spans="1:15">
      <c r="A17" t="s">
        <v>92</v>
      </c>
      <c r="B17" t="s">
        <v>93</v>
      </c>
      <c r="G17">
        <v>13140000</v>
      </c>
      <c r="H17">
        <v>1500</v>
      </c>
      <c r="I17">
        <v>772.3</v>
      </c>
      <c r="J17">
        <v>2975</v>
      </c>
    </row>
    <row r="20" spans="1:15">
      <c r="A20" t="s">
        <v>45</v>
      </c>
      <c r="B20" t="s">
        <v>96</v>
      </c>
    </row>
    <row r="22" spans="1:15" ht="51">
      <c r="A22" t="s">
        <v>114</v>
      </c>
      <c r="B22" t="s">
        <v>88</v>
      </c>
      <c r="C22" t="s">
        <v>89</v>
      </c>
      <c r="D22" t="s">
        <v>90</v>
      </c>
      <c r="E22" s="2" t="s">
        <v>46</v>
      </c>
      <c r="F22" s="2" t="s">
        <v>53</v>
      </c>
      <c r="G22" s="2" t="s">
        <v>71</v>
      </c>
      <c r="H22" s="2" t="s">
        <v>55</v>
      </c>
      <c r="I22" s="2" t="s">
        <v>125</v>
      </c>
      <c r="J22" s="2" t="s">
        <v>107</v>
      </c>
      <c r="K22" s="2" t="s">
        <v>106</v>
      </c>
      <c r="L22" s="2" t="s">
        <v>105</v>
      </c>
      <c r="M22" s="2" t="s">
        <v>99</v>
      </c>
      <c r="N22" s="2"/>
      <c r="O22" s="2"/>
    </row>
    <row r="23" spans="1:15" ht="88" customHeight="1">
      <c r="A23" s="2" t="s">
        <v>118</v>
      </c>
      <c r="B23" t="s">
        <v>91</v>
      </c>
      <c r="C23">
        <v>0.1</v>
      </c>
      <c r="D23">
        <v>20</v>
      </c>
      <c r="E23" t="s">
        <v>50</v>
      </c>
      <c r="F23">
        <f>7*24</f>
        <v>168</v>
      </c>
      <c r="G23" s="2" t="s">
        <v>94</v>
      </c>
      <c r="H23" s="2" t="s">
        <v>97</v>
      </c>
      <c r="I23" s="2"/>
      <c r="J23" s="5">
        <v>1645427</v>
      </c>
      <c r="K23" s="2">
        <v>292</v>
      </c>
      <c r="L23" s="2">
        <v>77</v>
      </c>
      <c r="M23" s="2" t="s">
        <v>100</v>
      </c>
      <c r="N23" s="2"/>
      <c r="O23" s="2"/>
    </row>
    <row r="24" spans="1:15" ht="69">
      <c r="A24" s="2" t="s">
        <v>117</v>
      </c>
      <c r="B24" t="s">
        <v>91</v>
      </c>
      <c r="C24">
        <v>0.1</v>
      </c>
      <c r="D24">
        <v>20</v>
      </c>
      <c r="E24" t="s">
        <v>50</v>
      </c>
      <c r="F24">
        <v>24</v>
      </c>
      <c r="G24" s="2" t="s">
        <v>94</v>
      </c>
      <c r="H24" s="2" t="s">
        <v>98</v>
      </c>
      <c r="I24" s="2"/>
      <c r="J24" s="5">
        <v>2294249</v>
      </c>
      <c r="K24">
        <v>281</v>
      </c>
      <c r="L24">
        <v>74</v>
      </c>
      <c r="M24" t="s">
        <v>101</v>
      </c>
    </row>
    <row r="25" spans="1:15" ht="69">
      <c r="A25" s="2" t="s">
        <v>116</v>
      </c>
      <c r="B25" t="s">
        <v>91</v>
      </c>
      <c r="C25">
        <v>0.1</v>
      </c>
      <c r="D25">
        <v>20</v>
      </c>
      <c r="E25" t="s">
        <v>50</v>
      </c>
      <c r="F25">
        <v>168</v>
      </c>
      <c r="G25" s="2" t="s">
        <v>95</v>
      </c>
      <c r="H25" s="2" t="s">
        <v>102</v>
      </c>
      <c r="I25" s="2"/>
      <c r="J25" s="9">
        <v>2180251</v>
      </c>
      <c r="K25" s="8">
        <v>117</v>
      </c>
      <c r="L25">
        <v>27</v>
      </c>
      <c r="M25" t="s">
        <v>115</v>
      </c>
    </row>
    <row r="26" spans="1:15" ht="68">
      <c r="A26" s="2" t="s">
        <v>119</v>
      </c>
      <c r="B26" t="s">
        <v>92</v>
      </c>
      <c r="C26">
        <v>0.1</v>
      </c>
      <c r="D26">
        <v>20</v>
      </c>
      <c r="E26" t="s">
        <v>50</v>
      </c>
      <c r="F26">
        <f>7*24</f>
        <v>168</v>
      </c>
      <c r="G26" s="2" t="s">
        <v>94</v>
      </c>
      <c r="H26" s="2" t="s">
        <v>103</v>
      </c>
      <c r="I26" s="2"/>
      <c r="J26" s="9">
        <v>937421</v>
      </c>
      <c r="K26">
        <v>393</v>
      </c>
      <c r="L26">
        <v>71</v>
      </c>
      <c r="M26" t="s">
        <v>109</v>
      </c>
    </row>
    <row r="27" spans="1:15" ht="69">
      <c r="A27" s="2" t="s">
        <v>120</v>
      </c>
      <c r="B27" t="s">
        <v>81</v>
      </c>
      <c r="C27">
        <v>0.1</v>
      </c>
      <c r="D27">
        <v>20</v>
      </c>
      <c r="E27" t="s">
        <v>50</v>
      </c>
      <c r="F27">
        <f>7*24</f>
        <v>168</v>
      </c>
      <c r="G27" s="2" t="s">
        <v>94</v>
      </c>
      <c r="H27" s="2" t="s">
        <v>104</v>
      </c>
      <c r="I27" s="2"/>
      <c r="J27" s="5">
        <v>-12437</v>
      </c>
      <c r="K27">
        <v>544</v>
      </c>
      <c r="L27">
        <v>77</v>
      </c>
      <c r="M27" t="s">
        <v>113</v>
      </c>
    </row>
    <row r="28" spans="1:15" ht="69">
      <c r="A28" s="2" t="s">
        <v>121</v>
      </c>
      <c r="B28" t="s">
        <v>108</v>
      </c>
      <c r="C28">
        <v>0.1</v>
      </c>
      <c r="D28">
        <v>20</v>
      </c>
      <c r="E28" t="s">
        <v>50</v>
      </c>
      <c r="F28">
        <f t="shared" ref="F28:F29" si="1">7*24</f>
        <v>168</v>
      </c>
      <c r="G28" s="2" t="s">
        <v>94</v>
      </c>
      <c r="H28" s="2" t="s">
        <v>110</v>
      </c>
      <c r="I28" s="2"/>
      <c r="J28" s="5">
        <v>185930</v>
      </c>
      <c r="K28">
        <v>316</v>
      </c>
      <c r="L28">
        <v>58</v>
      </c>
      <c r="M28" t="s">
        <v>112</v>
      </c>
    </row>
    <row r="29" spans="1:15" ht="69">
      <c r="A29" s="2" t="s">
        <v>122</v>
      </c>
      <c r="B29" t="s">
        <v>111</v>
      </c>
      <c r="C29">
        <v>0.1</v>
      </c>
      <c r="D29">
        <v>20</v>
      </c>
      <c r="E29" t="s">
        <v>50</v>
      </c>
      <c r="F29">
        <f t="shared" si="1"/>
        <v>168</v>
      </c>
      <c r="G29" s="2" t="s">
        <v>94</v>
      </c>
      <c r="H29" s="2" t="s">
        <v>123</v>
      </c>
      <c r="I29" s="2"/>
      <c r="J29" s="5">
        <v>-25266</v>
      </c>
      <c r="K29">
        <v>283</v>
      </c>
      <c r="L29">
        <v>50</v>
      </c>
      <c r="M29" t="s">
        <v>124</v>
      </c>
    </row>
    <row r="30" spans="1:15">
      <c r="F30" s="2"/>
    </row>
    <row r="31" spans="1:15">
      <c r="F31" s="2"/>
    </row>
    <row r="32" spans="1:15">
      <c r="F32" s="2"/>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881737-4936-A046-81BA-9A7BC3A917C0}">
  <dimension ref="A3:W44"/>
  <sheetViews>
    <sheetView topLeftCell="A35" zoomScale="110" zoomScaleNormal="110" workbookViewId="0">
      <selection activeCell="A33" sqref="A33"/>
    </sheetView>
  </sheetViews>
  <sheetFormatPr baseColWidth="10" defaultRowHeight="16"/>
  <cols>
    <col min="1" max="1" width="22.83203125" customWidth="1"/>
    <col min="2" max="2" width="12.6640625" customWidth="1"/>
    <col min="3" max="3" width="12.83203125" customWidth="1"/>
    <col min="4" max="4" width="17.33203125" customWidth="1"/>
    <col min="5" max="5" width="18" customWidth="1"/>
    <col min="6" max="6" width="15" customWidth="1"/>
    <col min="7" max="7" width="17.33203125" customWidth="1"/>
    <col min="8" max="8" width="16.33203125" bestFit="1" customWidth="1"/>
    <col min="9" max="9" width="15.83203125" customWidth="1"/>
  </cols>
  <sheetData>
    <row r="3" spans="1:7">
      <c r="A3">
        <v>33740</v>
      </c>
      <c r="B3">
        <f>A3/1000</f>
        <v>33.74</v>
      </c>
      <c r="C3" t="s">
        <v>0</v>
      </c>
    </row>
    <row r="5" spans="1:7">
      <c r="A5">
        <v>19</v>
      </c>
    </row>
    <row r="6" spans="1:7">
      <c r="A6" t="s">
        <v>5</v>
      </c>
    </row>
    <row r="7" spans="1:7">
      <c r="A7" t="s">
        <v>4</v>
      </c>
    </row>
    <row r="8" spans="1:7">
      <c r="A8" t="s">
        <v>1</v>
      </c>
      <c r="B8" t="s">
        <v>2</v>
      </c>
      <c r="C8" t="s">
        <v>3</v>
      </c>
    </row>
    <row r="9" spans="1:7">
      <c r="A9">
        <v>19</v>
      </c>
      <c r="B9">
        <v>184036</v>
      </c>
      <c r="C9">
        <f>B9/A9</f>
        <v>9686.105263157895</v>
      </c>
    </row>
    <row r="10" spans="1:7">
      <c r="A10">
        <v>49</v>
      </c>
      <c r="B10">
        <v>297959</v>
      </c>
      <c r="C10">
        <f t="shared" ref="C10:C13" si="0">B10/A10</f>
        <v>6080.7959183673465</v>
      </c>
    </row>
    <row r="11" spans="1:7">
      <c r="A11">
        <v>44</v>
      </c>
      <c r="B11">
        <v>427938</v>
      </c>
      <c r="C11">
        <f t="shared" si="0"/>
        <v>9725.863636363636</v>
      </c>
    </row>
    <row r="12" spans="1:7">
      <c r="A12" t="s">
        <v>6</v>
      </c>
      <c r="C12" t="s">
        <v>3</v>
      </c>
      <c r="G12" t="s">
        <v>7</v>
      </c>
    </row>
    <row r="13" spans="1:7">
      <c r="A13">
        <v>76</v>
      </c>
      <c r="B13">
        <v>505713</v>
      </c>
      <c r="C13" s="1">
        <f t="shared" si="0"/>
        <v>6654.1184210526317</v>
      </c>
      <c r="D13" s="1"/>
      <c r="G13">
        <f>C13/365</f>
        <v>18.230461427541456</v>
      </c>
    </row>
    <row r="15" spans="1:7">
      <c r="C15" s="1">
        <f>C13*35</f>
        <v>232894.14473684211</v>
      </c>
      <c r="D15" s="1"/>
      <c r="E15" s="1" t="s">
        <v>8</v>
      </c>
      <c r="F15" s="1"/>
    </row>
    <row r="17" spans="1:23">
      <c r="A17" t="s">
        <v>40</v>
      </c>
    </row>
    <row r="18" spans="1:23">
      <c r="A18" t="s">
        <v>38</v>
      </c>
    </row>
    <row r="19" spans="1:23">
      <c r="J19" t="s">
        <v>24</v>
      </c>
    </row>
    <row r="20" spans="1:23" s="2" customFormat="1" ht="102">
      <c r="A20" s="2" t="s">
        <v>10</v>
      </c>
      <c r="B20" s="2" t="s">
        <v>30</v>
      </c>
      <c r="C20" s="2" t="s">
        <v>9</v>
      </c>
      <c r="D20" s="2" t="s">
        <v>17</v>
      </c>
      <c r="E20" s="2" t="s">
        <v>15</v>
      </c>
      <c r="G20" s="2" t="s">
        <v>14</v>
      </c>
      <c r="H20" s="2" t="s">
        <v>23</v>
      </c>
      <c r="I20" s="2" t="s">
        <v>12</v>
      </c>
      <c r="J20" s="2" t="s">
        <v>25</v>
      </c>
      <c r="K20" s="2" t="s">
        <v>13</v>
      </c>
      <c r="L20" s="2" t="s">
        <v>22</v>
      </c>
      <c r="W20" s="2">
        <f>1000000/100</f>
        <v>10000</v>
      </c>
    </row>
    <row r="21" spans="1:23">
      <c r="A21" t="s">
        <v>26</v>
      </c>
      <c r="B21" t="s">
        <v>31</v>
      </c>
      <c r="C21" t="s">
        <v>11</v>
      </c>
      <c r="D21">
        <v>52000</v>
      </c>
      <c r="E21" t="s">
        <v>18</v>
      </c>
      <c r="G21">
        <v>1000</v>
      </c>
      <c r="H21">
        <f>G21*0.5*8760</f>
        <v>4380000</v>
      </c>
      <c r="I21">
        <v>500</v>
      </c>
      <c r="J21">
        <v>91.5</v>
      </c>
      <c r="K21">
        <v>1599</v>
      </c>
      <c r="L21">
        <v>202082</v>
      </c>
      <c r="M21" t="s">
        <v>79</v>
      </c>
      <c r="W21">
        <f>30/5</f>
        <v>6</v>
      </c>
    </row>
    <row r="22" spans="1:23">
      <c r="A22" t="s">
        <v>27</v>
      </c>
      <c r="C22" t="s">
        <v>11</v>
      </c>
      <c r="D22">
        <v>52000</v>
      </c>
      <c r="E22" t="s">
        <v>19</v>
      </c>
      <c r="G22">
        <v>800</v>
      </c>
      <c r="H22">
        <f t="shared" ref="H22:H25" si="1">G22*0.5*8760</f>
        <v>3504000</v>
      </c>
      <c r="I22">
        <v>400</v>
      </c>
      <c r="J22">
        <v>66.27</v>
      </c>
      <c r="K22">
        <v>1408</v>
      </c>
      <c r="L22">
        <v>223009</v>
      </c>
      <c r="M22" t="s">
        <v>79</v>
      </c>
    </row>
    <row r="23" spans="1:23" ht="18">
      <c r="A23" t="s">
        <v>28</v>
      </c>
      <c r="B23" t="s">
        <v>32</v>
      </c>
      <c r="C23" t="s">
        <v>16</v>
      </c>
      <c r="D23" s="3">
        <v>241351</v>
      </c>
      <c r="E23" t="s">
        <v>19</v>
      </c>
      <c r="G23">
        <v>1000</v>
      </c>
      <c r="H23">
        <f t="shared" si="1"/>
        <v>4380000</v>
      </c>
      <c r="I23">
        <v>500</v>
      </c>
      <c r="J23">
        <v>296</v>
      </c>
      <c r="K23">
        <v>801</v>
      </c>
      <c r="L23">
        <v>9054747</v>
      </c>
    </row>
    <row r="24" spans="1:23">
      <c r="A24" t="s">
        <v>29</v>
      </c>
      <c r="B24" t="s">
        <v>33</v>
      </c>
      <c r="C24" t="s">
        <v>20</v>
      </c>
      <c r="D24">
        <v>53628</v>
      </c>
      <c r="E24" t="s">
        <v>18</v>
      </c>
      <c r="G24">
        <v>1000</v>
      </c>
      <c r="H24">
        <f t="shared" si="1"/>
        <v>4380000</v>
      </c>
      <c r="I24">
        <v>500</v>
      </c>
      <c r="J24">
        <v>87</v>
      </c>
      <c r="K24">
        <v>1263</v>
      </c>
      <c r="L24">
        <v>1021224</v>
      </c>
    </row>
    <row r="25" spans="1:23">
      <c r="A25" t="s">
        <v>36</v>
      </c>
      <c r="B25" t="s">
        <v>34</v>
      </c>
      <c r="C25" t="s">
        <v>21</v>
      </c>
      <c r="D25">
        <v>45000</v>
      </c>
      <c r="E25" t="s">
        <v>18</v>
      </c>
      <c r="G25">
        <v>800</v>
      </c>
      <c r="H25">
        <f t="shared" si="1"/>
        <v>3504000</v>
      </c>
      <c r="I25">
        <v>400</v>
      </c>
      <c r="J25">
        <v>134</v>
      </c>
      <c r="K25">
        <v>687</v>
      </c>
      <c r="L25">
        <v>2260929</v>
      </c>
    </row>
    <row r="26" spans="1:23">
      <c r="A26" t="s">
        <v>37</v>
      </c>
      <c r="B26" t="s">
        <v>35</v>
      </c>
      <c r="C26" t="s">
        <v>39</v>
      </c>
      <c r="D26">
        <v>5500</v>
      </c>
      <c r="E26" t="s">
        <v>18</v>
      </c>
      <c r="G26">
        <v>400</v>
      </c>
      <c r="H26">
        <f>G26*0.5*8760</f>
        <v>1752000</v>
      </c>
      <c r="I26">
        <v>200</v>
      </c>
      <c r="J26">
        <v>85</v>
      </c>
      <c r="K26">
        <v>351</v>
      </c>
      <c r="L26">
        <v>972090</v>
      </c>
    </row>
    <row r="27" spans="1:23">
      <c r="E27" t="s">
        <v>44</v>
      </c>
      <c r="G27">
        <f>SUM(G21:G26)</f>
        <v>5000</v>
      </c>
      <c r="H27">
        <f>SUM(H21:H26)</f>
        <v>21900000</v>
      </c>
      <c r="I27">
        <f ca="1">SUM(I21:I29)</f>
        <v>5000</v>
      </c>
      <c r="J27">
        <f ca="1">SUM(J21:J29)</f>
        <v>1818.77</v>
      </c>
      <c r="K27">
        <f ca="1">SUM(K21:K29)</f>
        <v>11944</v>
      </c>
      <c r="L27">
        <f t="shared" ref="L27" si="2">SUM(L21:L26)</f>
        <v>13734081</v>
      </c>
    </row>
    <row r="29" spans="1:23">
      <c r="A29" t="s">
        <v>42</v>
      </c>
      <c r="B29" t="s">
        <v>43</v>
      </c>
      <c r="G29" s="4"/>
      <c r="H29" s="1">
        <v>21900002</v>
      </c>
      <c r="I29" s="1">
        <v>2500</v>
      </c>
      <c r="J29" s="1">
        <v>1059</v>
      </c>
      <c r="K29" s="1">
        <v>5835</v>
      </c>
    </row>
    <row r="31" spans="1:23">
      <c r="A31" t="s">
        <v>41</v>
      </c>
    </row>
    <row r="33" spans="1:11">
      <c r="A33" t="s">
        <v>45</v>
      </c>
      <c r="B33" t="s">
        <v>73</v>
      </c>
    </row>
    <row r="34" spans="1:11">
      <c r="D34" t="s">
        <v>47</v>
      </c>
    </row>
    <row r="35" spans="1:11" s="2" customFormat="1" ht="68">
      <c r="A35" s="2" t="s">
        <v>46</v>
      </c>
      <c r="B35" s="2" t="s">
        <v>53</v>
      </c>
      <c r="C35" s="2" t="s">
        <v>71</v>
      </c>
      <c r="D35" s="2" t="s">
        <v>55</v>
      </c>
      <c r="E35" s="2" t="s">
        <v>56</v>
      </c>
      <c r="F35" s="2" t="s">
        <v>51</v>
      </c>
      <c r="G35" s="2" t="s">
        <v>64</v>
      </c>
      <c r="H35" s="2" t="s">
        <v>57</v>
      </c>
      <c r="I35" s="2" t="s">
        <v>58</v>
      </c>
      <c r="J35" s="2" t="s">
        <v>52</v>
      </c>
    </row>
    <row r="36" spans="1:11" ht="69">
      <c r="A36" t="s">
        <v>48</v>
      </c>
      <c r="B36">
        <v>24</v>
      </c>
      <c r="C36" t="s">
        <v>72</v>
      </c>
      <c r="D36" s="2" t="s">
        <v>54</v>
      </c>
      <c r="E36" s="5">
        <v>-1689564</v>
      </c>
      <c r="F36">
        <v>8</v>
      </c>
      <c r="H36" s="2" t="s">
        <v>59</v>
      </c>
      <c r="I36" s="5">
        <v>1931671</v>
      </c>
      <c r="J36">
        <v>1</v>
      </c>
    </row>
    <row r="37" spans="1:11">
      <c r="A37" t="s">
        <v>49</v>
      </c>
      <c r="B37">
        <v>24</v>
      </c>
      <c r="C37" t="s">
        <v>72</v>
      </c>
      <c r="D37" t="s">
        <v>62</v>
      </c>
    </row>
    <row r="38" spans="1:11" ht="69">
      <c r="A38" t="s">
        <v>50</v>
      </c>
      <c r="B38">
        <v>24</v>
      </c>
      <c r="C38" t="s">
        <v>72</v>
      </c>
      <c r="D38" s="2" t="s">
        <v>61</v>
      </c>
      <c r="E38" s="5">
        <v>-154734</v>
      </c>
      <c r="F38">
        <v>14</v>
      </c>
      <c r="H38" s="2" t="s">
        <v>60</v>
      </c>
      <c r="I38" s="5">
        <v>1931671</v>
      </c>
      <c r="J38">
        <v>1</v>
      </c>
    </row>
    <row r="39" spans="1:11" ht="69">
      <c r="A39" t="s">
        <v>48</v>
      </c>
      <c r="B39">
        <f>7*24</f>
        <v>168</v>
      </c>
      <c r="C39" t="s">
        <v>72</v>
      </c>
      <c r="D39" s="2" t="s">
        <v>63</v>
      </c>
      <c r="E39" s="5">
        <v>-5944586</v>
      </c>
      <c r="F39">
        <v>70</v>
      </c>
      <c r="G39" s="6">
        <v>0.13</v>
      </c>
      <c r="H39" s="2" t="s">
        <v>59</v>
      </c>
      <c r="I39" s="5">
        <v>1931671</v>
      </c>
      <c r="J39">
        <v>1</v>
      </c>
    </row>
    <row r="40" spans="1:11" ht="86">
      <c r="A40" t="s">
        <v>49</v>
      </c>
      <c r="B40">
        <v>168</v>
      </c>
      <c r="C40" t="s">
        <v>72</v>
      </c>
      <c r="D40" s="2" t="s">
        <v>65</v>
      </c>
      <c r="E40" s="5">
        <v>-5920757</v>
      </c>
      <c r="F40">
        <v>81</v>
      </c>
      <c r="G40" s="6">
        <v>0.16</v>
      </c>
      <c r="H40" s="2" t="s">
        <v>66</v>
      </c>
      <c r="I40" s="5">
        <v>1931723</v>
      </c>
      <c r="J40">
        <v>1</v>
      </c>
    </row>
    <row r="41" spans="1:11" ht="69">
      <c r="A41" t="s">
        <v>50</v>
      </c>
      <c r="B41">
        <f>7*24</f>
        <v>168</v>
      </c>
      <c r="C41" t="s">
        <v>72</v>
      </c>
      <c r="D41" s="2" t="s">
        <v>68</v>
      </c>
      <c r="E41" s="5">
        <v>357608</v>
      </c>
      <c r="F41">
        <v>69</v>
      </c>
      <c r="G41" s="6">
        <v>0.12</v>
      </c>
      <c r="H41" s="2" t="s">
        <v>60</v>
      </c>
      <c r="I41" s="5">
        <v>1931671</v>
      </c>
      <c r="J41">
        <v>1</v>
      </c>
      <c r="K41" t="s">
        <v>75</v>
      </c>
    </row>
    <row r="42" spans="1:11" ht="69">
      <c r="A42" t="s">
        <v>50</v>
      </c>
      <c r="B42">
        <f>7*24</f>
        <v>168</v>
      </c>
      <c r="C42" t="s">
        <v>74</v>
      </c>
      <c r="D42" s="2" t="s">
        <v>77</v>
      </c>
      <c r="E42" s="5">
        <v>67193</v>
      </c>
      <c r="F42">
        <v>164</v>
      </c>
      <c r="G42" s="6">
        <v>0.59</v>
      </c>
      <c r="H42" s="2"/>
      <c r="I42" s="5"/>
    </row>
    <row r="43" spans="1:11" ht="69">
      <c r="A43" t="s">
        <v>50</v>
      </c>
      <c r="B43">
        <f>7*24</f>
        <v>168</v>
      </c>
      <c r="C43" t="s">
        <v>76</v>
      </c>
      <c r="D43" s="2" t="s">
        <v>78</v>
      </c>
      <c r="E43" s="5">
        <v>116395</v>
      </c>
      <c r="F43">
        <v>158</v>
      </c>
      <c r="G43" s="6">
        <v>0.55000000000000004</v>
      </c>
      <c r="K43" t="s">
        <v>67</v>
      </c>
    </row>
    <row r="44" spans="1:11" ht="69">
      <c r="A44" t="s">
        <v>48</v>
      </c>
      <c r="B44" t="s">
        <v>69</v>
      </c>
      <c r="H44" s="2" t="s">
        <v>60</v>
      </c>
      <c r="I44" s="5">
        <v>1931671</v>
      </c>
      <c r="J44">
        <v>1</v>
      </c>
      <c r="K44" t="s">
        <v>70</v>
      </c>
    </row>
  </sheetData>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112320_Lehigh.dss</vt:lpstr>
      <vt:lpstr>6_build+resid_11032020</vt:lpstr>
      <vt:lpstr>6_buildings_10282020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2020-09-13T05:26:14Z</dcterms:created>
  <dcterms:modified xsi:type="dcterms:W3CDTF">2020-11-24T06:08:37Z</dcterms:modified>
</cp:coreProperties>
</file>