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matt2/Documents/NRECA/MicrogridUp/microgridup/"/>
    </mc:Choice>
  </mc:AlternateContent>
  <xr:revisionPtr revIDLastSave="0" documentId="13_ncr:1_{BD53D52E-D99E-7342-A7E7-678DB669F6ED}" xr6:coauthVersionLast="45" xr6:coauthVersionMax="45" xr10:uidLastSave="{00000000-0000-0000-0000-000000000000}"/>
  <bookViews>
    <workbookView xWindow="-1320" yWindow="-19400" windowWidth="21880" windowHeight="16820" xr2:uid="{5E54B31A-263E-7345-873B-B53A0B6021F8}"/>
  </bookViews>
  <sheets>
    <sheet name="12282020_Lehigh" sheetId="6" r:id="rId1"/>
    <sheet name="12222020_Lehigh" sheetId="5" r:id="rId2"/>
    <sheet name="121620_Lehigh" sheetId="4" r:id="rId3"/>
    <sheet name="112320_Lehigh.dss" sheetId="3" r:id="rId4"/>
    <sheet name="6_build+resid_11032020" sheetId="2" r:id="rId5"/>
    <sheet name="6_buildings_10282020"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0" i="6" l="1"/>
  <c r="Q30" i="6"/>
  <c r="U28" i="6"/>
  <c r="Y26" i="6"/>
  <c r="X26" i="6"/>
  <c r="X30" i="6" s="1"/>
  <c r="W26" i="6"/>
  <c r="W30" i="6" s="1"/>
  <c r="V26" i="6"/>
  <c r="V30" i="6" s="1"/>
  <c r="T26" i="6"/>
  <c r="T30" i="6" s="1"/>
  <c r="S26" i="6"/>
  <c r="S30" i="6" s="1"/>
  <c r="R26" i="6"/>
  <c r="Q26" i="6"/>
  <c r="K26" i="6"/>
  <c r="K30" i="6" s="1"/>
  <c r="J26" i="6"/>
  <c r="J30" i="6" s="1"/>
  <c r="I26" i="6"/>
  <c r="I30" i="6" s="1"/>
  <c r="U22" i="6"/>
  <c r="U26" i="6" s="1"/>
  <c r="U30" i="6" s="1"/>
  <c r="U19" i="6"/>
  <c r="H19" i="6"/>
  <c r="U15" i="6"/>
  <c r="U11" i="6"/>
  <c r="M8" i="6"/>
  <c r="Q2" i="6"/>
  <c r="T1" i="6"/>
  <c r="S1" i="6"/>
  <c r="Y26" i="5" l="1"/>
  <c r="X26" i="5"/>
  <c r="X30" i="5" s="1"/>
  <c r="W26" i="5"/>
  <c r="W30" i="5" s="1"/>
  <c r="V26" i="5"/>
  <c r="V30" i="5" s="1"/>
  <c r="T26" i="5"/>
  <c r="T30" i="5" s="1"/>
  <c r="S26" i="5"/>
  <c r="S30" i="5" s="1"/>
  <c r="R26" i="5"/>
  <c r="R30" i="5" s="1"/>
  <c r="Q26" i="5"/>
  <c r="Q30" i="5" s="1"/>
  <c r="J30" i="5"/>
  <c r="K30" i="5"/>
  <c r="K26" i="5"/>
  <c r="J26" i="5"/>
  <c r="I26" i="5"/>
  <c r="I30" i="5" s="1"/>
  <c r="U15" i="5"/>
  <c r="U28" i="5"/>
  <c r="U22" i="5" l="1"/>
  <c r="U19" i="5"/>
  <c r="T1" i="5"/>
  <c r="S1" i="5"/>
  <c r="Q2" i="5"/>
  <c r="H19" i="5"/>
  <c r="U11" i="5"/>
  <c r="M8" i="5"/>
  <c r="U26" i="5" l="1"/>
  <c r="U30" i="5" s="1"/>
  <c r="U22" i="4"/>
  <c r="O22" i="4"/>
  <c r="U19" i="4"/>
  <c r="O19" i="4"/>
  <c r="H19" i="4"/>
  <c r="U15" i="4"/>
  <c r="O15" i="4"/>
  <c r="U11" i="4"/>
  <c r="O11" i="4"/>
  <c r="M8" i="4"/>
  <c r="S15" i="3" l="1"/>
  <c r="S22" i="3"/>
  <c r="S19" i="3"/>
  <c r="M22" i="3"/>
  <c r="M19" i="3"/>
  <c r="M15" i="3"/>
  <c r="G19" i="3"/>
  <c r="K8" i="3"/>
  <c r="S11" i="3" l="1"/>
  <c r="M11" i="3"/>
  <c r="F29" i="2" l="1"/>
  <c r="F28" i="2"/>
  <c r="F27" i="2" l="1"/>
  <c r="F26" i="2"/>
  <c r="F23" i="2"/>
  <c r="G8" i="2"/>
  <c r="G14" i="2"/>
  <c r="G13" i="2" l="1"/>
  <c r="G12" i="2"/>
  <c r="G11" i="2"/>
  <c r="G10" i="2"/>
  <c r="G9" i="2"/>
  <c r="H21" i="1"/>
  <c r="B43" i="1" l="1"/>
  <c r="B42" i="1"/>
  <c r="B41" i="1" l="1"/>
  <c r="B39" i="1"/>
  <c r="H26" i="1" l="1"/>
  <c r="L27" i="1"/>
  <c r="G27" i="1"/>
  <c r="H22" i="1"/>
  <c r="H23" i="1"/>
  <c r="H24" i="1"/>
  <c r="H25" i="1"/>
  <c r="H27" i="1"/>
  <c r="W21" i="1"/>
  <c r="W20" i="1"/>
  <c r="C10" i="1" l="1"/>
  <c r="C11" i="1"/>
  <c r="C13" i="1"/>
  <c r="C15" i="1" s="1"/>
  <c r="C9" i="1"/>
  <c r="B3" i="1"/>
  <c r="G13" i="1" l="1"/>
  <c r="K27" i="1" l="1"/>
  <c r="I27" i="1"/>
  <c r="J27" i="1"/>
</calcChain>
</file>

<file path=xl/sharedStrings.xml><?xml version="1.0" encoding="utf-8"?>
<sst xmlns="http://schemas.openxmlformats.org/spreadsheetml/2006/main" count="605" uniqueCount="229">
  <si>
    <t>35 units</t>
  </si>
  <si>
    <t>Units</t>
  </si>
  <si>
    <t>kWh/yr</t>
  </si>
  <si>
    <t>kWh/yr/unit</t>
  </si>
  <si>
    <t>at ~70% energy from electricity</t>
  </si>
  <si>
    <t>2009 seattle ecotope data from https://www.seattle.gov/Documents/Departments/OSE/MF-Billing-Analysis-MidRise2009.pdf</t>
  </si>
  <si>
    <t>mean</t>
  </si>
  <si>
    <t>kWhr/day/unit</t>
  </si>
  <si>
    <t>Average annual consumtion kWh for a 35 unit building of 1000 square ft units in Seattle</t>
  </si>
  <si>
    <t>Ref building type</t>
  </si>
  <si>
    <t>Building to be modeled</t>
  </si>
  <si>
    <t>Warehouse</t>
  </si>
  <si>
    <t>Average Load (kW) from downloaded shape</t>
  </si>
  <si>
    <t>Max Load (kW) from downloaded shape</t>
  </si>
  <si>
    <t>max kW load target (for modeling Laughlin)</t>
  </si>
  <si>
    <t>Specified Geography</t>
  </si>
  <si>
    <t>Hospital</t>
  </si>
  <si>
    <t>Area (ft^2) of reference building</t>
  </si>
  <si>
    <t>Miami, FL</t>
  </si>
  <si>
    <t>Atlanta, GA</t>
  </si>
  <si>
    <t>Medium Office</t>
  </si>
  <si>
    <t>Supermarket</t>
  </si>
  <si>
    <t>Default Annual Consumption (kWh, as reported by REopt)</t>
  </si>
  <si>
    <t>Inputted Annual Consumption (kWh) into Reopt</t>
  </si>
  <si>
    <t>*Assume average of 50% of target load across the whole year</t>
  </si>
  <si>
    <t>Min Load (kW) from downloaded shape</t>
  </si>
  <si>
    <t>hangar_large_e.gov.csv</t>
  </si>
  <si>
    <t>hangar_medium_e.gov.csv</t>
  </si>
  <si>
    <t>hospital_e.gov.csv</t>
  </si>
  <si>
    <t>comms_data_e.gov.csv</t>
  </si>
  <si>
    <t>Description</t>
  </si>
  <si>
    <t>Large airplane hangar</t>
  </si>
  <si>
    <t>On-basehospital</t>
  </si>
  <si>
    <t>Communications/office/data center</t>
  </si>
  <si>
    <t>Terminal building to hoouse recruits</t>
  </si>
  <si>
    <t>Flight tower with radar, etc</t>
  </si>
  <si>
    <t>terminal_e.gov.csv</t>
  </si>
  <si>
    <t>tower_e.gov.csv</t>
  </si>
  <si>
    <t>Energy.gov reference Loadshpaes are not built for 24/7 operation, and have dips on weekends</t>
  </si>
  <si>
    <t>Hotel Small</t>
  </si>
  <si>
    <t xml:space="preserve">LoadShapes built from https://www.energy.gov/eere/buildings/commercial-reference-buildings using the REopt site: https://reopt.nrel.gov/tool/ with .1 $/kWh and 20$/kW/month demand charge in 2017 </t>
  </si>
  <si>
    <t>Analysis of full load 6_building_combined_10282020.csv as prepared by https://reopt.nrel.gov/tool/:</t>
  </si>
  <si>
    <t>6_building_combined_10282020.csv</t>
  </si>
  <si>
    <t>Full installation load added together</t>
  </si>
  <si>
    <t>Sum:</t>
  </si>
  <si>
    <t>Scenario constants:</t>
  </si>
  <si>
    <t>Generation Mix:</t>
  </si>
  <si>
    <t>*Reopt assumes full battery charge when modeling outage</t>
  </si>
  <si>
    <t>PV + Battery</t>
  </si>
  <si>
    <t>PV + Battery+ Wind</t>
  </si>
  <si>
    <t>PV + Battery + Diesel</t>
  </si>
  <si>
    <t>Res Average outage survived:</t>
  </si>
  <si>
    <t>Fin Average outage survived:</t>
  </si>
  <si>
    <t>Length of Outage (hr specified):</t>
  </si>
  <si>
    <t>9,714 kW PV
2,036 kW Battery
13,137 kWh Battery</t>
  </si>
  <si>
    <t>Resilience results:</t>
  </si>
  <si>
    <t>Res NPV</t>
  </si>
  <si>
    <t>Financial results:</t>
  </si>
  <si>
    <t>Fin NPV</t>
  </si>
  <si>
    <t>6,286 kW PV
138 kW Battery
182 kWh Battery</t>
  </si>
  <si>
    <t>0 kW Diesel
6,286 kW PV
138 kW Battery
182 kWh Battery</t>
  </si>
  <si>
    <t>593 kW Diesel
8,653 kW PV
1,551 kW Battery
6,932 kWh Battery</t>
  </si>
  <si>
    <t>Wind not recommended, defaults to PV+Battery as above</t>
  </si>
  <si>
    <t>11,924 kW PV
2,857 kW Battery
24,388 kWh Battery</t>
  </si>
  <si>
    <t>Res Prob surviving specified outage</t>
  </si>
  <si>
    <t>11,638 kW PV
2,810 kW Battery
24,338 kWh Battery
268 kWh Wind</t>
  </si>
  <si>
    <t>6,284 kW PV
140 kW Battery
185 kWh Battery
14 kWh Wind</t>
  </si>
  <si>
    <t>*Reopt assumes 13.16 kWh per gallon of diesel, which is a little low for a 1MW genset</t>
  </si>
  <si>
    <t>1,666 kW Diesel
6,710 kW PV
368 kW Battery
562 kWh Battery</t>
  </si>
  <si>
    <t>N/A on microgridDesign</t>
  </si>
  <si>
    <t>*not incorporating the resiliency outputs based on outages in microgridDesign, and the economic is not what we need</t>
  </si>
  <si>
    <t>Start date of outage</t>
  </si>
  <si>
    <t>Jul 25th 2am (peak season</t>
  </si>
  <si>
    <t>.10$/kWh, 10$/kw/month in Miami, FL;  outage; critical load factor 70%; loadshape = 6_building_combined_10282020.csv  in  2017</t>
  </si>
  <si>
    <t>Feb 2 2am (offpeak season)</t>
  </si>
  <si>
    <t>*Added 15000 gallons of diesel available to get this to turn on</t>
  </si>
  <si>
    <t>July 3 4pm (annual peak auto selected)</t>
  </si>
  <si>
    <t>1,920 kW Diesel
6,705 kW PV
731 kW Battery
1,449 kWh Battery</t>
  </si>
  <si>
    <t>1,823 kW Diesel
6,857 kW PV
756 kW Battery
1,263 kWh Battery</t>
  </si>
  <si>
    <t>*refit with residential</t>
  </si>
  <si>
    <t>Residential load</t>
  </si>
  <si>
    <t>3MW_resid_e.gov.csv</t>
  </si>
  <si>
    <t>hangar_large_2_e.gov.csv</t>
  </si>
  <si>
    <t>hangar_medium_2_e.gov.csv</t>
  </si>
  <si>
    <t>comms_data_2_e.gov.csv</t>
  </si>
  <si>
    <t>terminal_2_e.gov.csv</t>
  </si>
  <si>
    <t>Midrise Apartment</t>
  </si>
  <si>
    <t>Medium Airplane hangar</t>
  </si>
  <si>
    <t>LoadShape file</t>
  </si>
  <si>
    <t>$/kWh</t>
  </si>
  <si>
    <t>$/kw/month</t>
  </si>
  <si>
    <t>6_building_resid_combined_11032020.csv</t>
  </si>
  <si>
    <t>Crit_loads_no_resid_11032020.csv</t>
  </si>
  <si>
    <t>Critical loads without residual</t>
  </si>
  <si>
    <t>8/14/2017 8am</t>
  </si>
  <si>
    <t>1/16/2017 8am</t>
  </si>
  <si>
    <t xml:space="preserve"> Miami, FL;  outage; critical load factor 70%; 2017; 20,000 gallons of diesel (not all of which gets burned)</t>
  </si>
  <si>
    <t>2,214 kW Diesel
8,002 kW PV
1,212 kW Battery
4,055 kWh Battery</t>
  </si>
  <si>
    <t>2,181 kW Diesel
7,927 kW PV
1,208 kW Battery
4,010 kWh Battery</t>
  </si>
  <si>
    <t>Result:</t>
  </si>
  <si>
    <t>BASE CASE: With unlimited fuel and 70% critical load, system is profitable</t>
  </si>
  <si>
    <t>At 24 hour outage with same as base case, system stays largely the same but is more profitable</t>
  </si>
  <si>
    <t>1,792 kW Diesel
7,668 kW PV
1,112 kW Battery
3,223 kWh Battery</t>
  </si>
  <si>
    <t>976 kW Diesel
4,473 kW PV
673 kW Battery
1,961 kWh Battery</t>
  </si>
  <si>
    <t>1,387 kW Diesel
3,701 kW PV
660 kW Battery
2,580 kWh Battery</t>
  </si>
  <si>
    <t>Res Prob surviving 168 hr outage (%)</t>
  </si>
  <si>
    <t>Res Average outage survived (hr):</t>
  </si>
  <si>
    <t>Res NPV ($)</t>
  </si>
  <si>
    <t>hospital_egov.csv</t>
  </si>
  <si>
    <t>More cost effective (by $700,000) on the larger grid than separating critical and non critical loads, with fewer resources (200kw less genset and 500 kWh less battery) needed in the full mircogrid.</t>
  </si>
  <si>
    <t>312 kW Diesel
1,273 kW PV
181 kW Battery
564 kWh Battery</t>
  </si>
  <si>
    <t>tower_egov.csv</t>
  </si>
  <si>
    <t>Largest individual load receives more average resiliency, but lower probably of lasting 1 week; is cost effective on it's own</t>
  </si>
  <si>
    <t>Residential on it's own</t>
  </si>
  <si>
    <t>Scenario</t>
  </si>
  <si>
    <t>Winter resiliency estimate greatly decreases estimate of week-long survivability</t>
  </si>
  <si>
    <t>full load 1 week outage mid winter</t>
  </si>
  <si>
    <t>full load 1 day outage</t>
  </si>
  <si>
    <t>BASE CASE: full load 1 week outage mid summer</t>
  </si>
  <si>
    <t>Critical (flight ready) loads</t>
  </si>
  <si>
    <t>Residential (non-critical) loads</t>
  </si>
  <si>
    <t>Hospital islanded</t>
  </si>
  <si>
    <t>Tower Islanded</t>
  </si>
  <si>
    <t>142 kW Diesel
441 kW PV
95 kW Battery
371 kWh Battery</t>
  </si>
  <si>
    <t>Smallest individual load is not cost effective to island</t>
  </si>
  <si>
    <t>Rough upfront cost</t>
  </si>
  <si>
    <t>Energy.gov reference Loadshapes are not built for 24/7 operation, and have dips on weekends</t>
  </si>
  <si>
    <t>Lehigh.dss 4 microgrid system</t>
  </si>
  <si>
    <t>Loads in Lehigh.dss</t>
  </si>
  <si>
    <t>load bus in Lehigh.dss</t>
  </si>
  <si>
    <t>Microgrid name</t>
  </si>
  <si>
    <t>m1</t>
  </si>
  <si>
    <t>'634a','634b','634c'</t>
  </si>
  <si>
    <t>Switch in Lehigh.dss</t>
  </si>
  <si>
    <t>'632633'</t>
  </si>
  <si>
    <t xml:space="preserve"> Miami, FL;  outage; critical load factor 70%; 2017; 30,000 gallons of diesel (not all of which gets burned)</t>
  </si>
  <si>
    <t>*Resilience optimization outputs</t>
  </si>
  <si>
    <t>Recommended Diesel (kW)</t>
  </si>
  <si>
    <t>Recommended Solar (kW)</t>
  </si>
  <si>
    <t>Recommended Battery Capacity  (kWh)</t>
  </si>
  <si>
    <t>Recommended Battery Power  (kW)</t>
  </si>
  <si>
    <t>Rough upfront cost ($)</t>
  </si>
  <si>
    <t>*without incentives</t>
  </si>
  <si>
    <t>Residential</t>
  </si>
  <si>
    <t>Load Description</t>
  </si>
  <si>
    <t xml:space="preserve">Min Load (kW) </t>
  </si>
  <si>
    <t xml:space="preserve">Average Load (kW) </t>
  </si>
  <si>
    <t xml:space="preserve">Max Load (kW) </t>
  </si>
  <si>
    <t>*Calculated using all loads connected to gen bus added together</t>
  </si>
  <si>
    <t xml:space="preserve">battery_mult_2017.csv was based on the output of a 31.3 kWH, 11.9 kW battery system putting out about 6440 kWH per year in Texas in 2017. The loadshape is scaled to reflect this total production, producing up to 100% of total kW output in one hour.  </t>
  </si>
  <si>
    <t xml:space="preserve">solar_mult_2017.csv was based on the REopt financial analysis output (with no specified outages!) of a 400 kW pv system putting out on average 650,000 kWH per year in Texas in 2017. The loadshape is scaled to reflect this total production, producing up to 75% of total kVA of the solar panels at one time.  </t>
  </si>
  <si>
    <t>Solar_mult_2017, battery_mult_2017 and diesel_mult_2017 work together within the same microgrid to balance eachother's load</t>
  </si>
  <si>
    <t xml:space="preserve">diesel_mult_2017.csv was based on the output of a 107 kVA diesel generato in Texas in 2017. The loadshape is scaled to reflect high utility rate production using diesel to shave peak demand during the summer months mostly, producing up to 100% of total kW output in one hour.  </t>
  </si>
  <si>
    <t>Json converter: https://onlinejsontools.com/convert-json-to-text</t>
  </si>
  <si>
    <t>Reopt API docs: https://developer.nrel.gov/docs/energy-optimization/reopt-v1/</t>
  </si>
  <si>
    <t>634a</t>
  </si>
  <si>
    <t>634b</t>
  </si>
  <si>
    <t>634c</t>
  </si>
  <si>
    <t>m2</t>
  </si>
  <si>
    <t>'675a','675b','675c'</t>
  </si>
  <si>
    <t>675a</t>
  </si>
  <si>
    <t>675b</t>
  </si>
  <si>
    <t>675c</t>
  </si>
  <si>
    <t>671692'</t>
  </si>
  <si>
    <t>'675'</t>
  </si>
  <si>
    <t>400kW_resid.txt</t>
  </si>
  <si>
    <t>'611','652'</t>
  </si>
  <si>
    <t>m3</t>
  </si>
  <si>
    <t>'671684'</t>
  </si>
  <si>
    <t>m4</t>
  </si>
  <si>
    <t>'645','646'</t>
  </si>
  <si>
    <t>hospital</t>
  </si>
  <si>
    <t>hospital.txt</t>
  </si>
  <si>
    <t>Office</t>
  </si>
  <si>
    <t>medium_office.txt</t>
  </si>
  <si>
    <t>Hangar</t>
  </si>
  <si>
    <t>Tower</t>
  </si>
  <si>
    <t>Operations Center</t>
  </si>
  <si>
    <t>supermarket.txt</t>
  </si>
  <si>
    <t>hotel_medium.tx</t>
  </si>
  <si>
    <t>warehouse.txt</t>
  </si>
  <si>
    <t>Data Center</t>
  </si>
  <si>
    <t>*To build the demand_loads for each microgrid, I used the associated csv column, adjusted to the max load, and added the shapes together, loading it into the save "1606" run from Reopt web tool on 11/19/2020</t>
  </si>
  <si>
    <t>m2_load.csv</t>
  </si>
  <si>
    <t>m3_load.csv</t>
  </si>
  <si>
    <t>m4_load.csv</t>
  </si>
  <si>
    <t>*I am not sure that the NPV includes capital cost?</t>
  </si>
  <si>
    <t>*minimum survived outage is often 0 hours</t>
  </si>
  <si>
    <t>LoadShape column in lehigh_load.csv</t>
  </si>
  <si>
    <t>634a_supermarket</t>
  </si>
  <si>
    <t>634b_supermarket</t>
  </si>
  <si>
    <t>634c_supermarket</t>
  </si>
  <si>
    <t>24-hour operations</t>
  </si>
  <si>
    <t>675a_residential1</t>
  </si>
  <si>
    <t>675b_residential1</t>
  </si>
  <si>
    <t>675c_residential1</t>
  </si>
  <si>
    <t>Residential Building</t>
  </si>
  <si>
    <t>Questions</t>
  </si>
  <si>
    <t>Should load at 692 be served by m2?</t>
  </si>
  <si>
    <t>*671 was reworked as 611 to match the outline of the model</t>
  </si>
  <si>
    <t>611_hotel</t>
  </si>
  <si>
    <t>652_med_apartment</t>
  </si>
  <si>
    <t>What is the basis of this load shape?</t>
  </si>
  <si>
    <t>645_warehouse1</t>
  </si>
  <si>
    <t>646_med_office</t>
  </si>
  <si>
    <t xml:space="preserve">Average Load (kW) as of 12/17/2020 </t>
  </si>
  <si>
    <t>Max Load (kW) as of 12/17/2020</t>
  </si>
  <si>
    <t>Min Load (kW) as of 12/17/2020</t>
  </si>
  <si>
    <t>Max Load (kW)  as per bus loads defined in IEEE13</t>
  </si>
  <si>
    <t xml:space="preserve">Average Load (kW) as of 12/22/2020 </t>
  </si>
  <si>
    <t>Max Load (kW) as of 12/22/2020</t>
  </si>
  <si>
    <t>Min Load (kW) as of 12/22/2020</t>
  </si>
  <si>
    <t>*To build the demand_loads for each microgrid, I ran the full model in microgrid.py and pulled the loadshapes from loadShape.csv</t>
  </si>
  <si>
    <t>652_med_apartment Is the basis</t>
  </si>
  <si>
    <t>Res Prob surviving 48 hr outage (%)</t>
  </si>
  <si>
    <t>Start hour of outage</t>
  </si>
  <si>
    <t>CapEx</t>
  </si>
  <si>
    <t>CapEx after incentives</t>
  </si>
  <si>
    <t>Full grid</t>
  </si>
  <si>
    <t>650632'</t>
  </si>
  <si>
    <t>634a_supermarket','634b_supermarket','634c_supermarket','675a_residential1','675b_residential1','675c_residential1','611_hotel','652_med_apartment','645_warehouse1','646_med_office'</t>
  </si>
  <si>
    <t>Critical loads?  All loads in above microgrids, but not the other buses to make the full load of the base</t>
  </si>
  <si>
    <t>TOTALS FOR 4 ISOLATED MICROGRIDS</t>
  </si>
  <si>
    <t>DIFFERENCES</t>
  </si>
  <si>
    <t>Differences between isolated and grouped grid:</t>
  </si>
  <si>
    <t>Totals for 4-isolated microgrids:</t>
  </si>
  <si>
    <t>675a_hospital</t>
  </si>
  <si>
    <t>Similar result in everything but solar, in which the full scale grid needs an additional 300 kW, making it $360k more expensive upfront, but $100k better (less negative) NPV</t>
  </si>
  <si>
    <t>Resilience is much lower than expected: I don't think the Lehigh_reopt/Loadshape.csv is being built correctly, as the loads are way less than the sum of the loads specified in the microgrid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</si>
</sst>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5">
    <font>
      <sz val="12"/>
      <color theme="1"/>
      <name val="Calibri"/>
      <family val="2"/>
      <scheme val="minor"/>
    </font>
    <font>
      <b/>
      <sz val="12"/>
      <color theme="1"/>
      <name val="Calibri"/>
      <family val="2"/>
      <scheme val="minor"/>
    </font>
    <font>
      <sz val="14"/>
      <color rgb="FF333333"/>
      <name val="Helvetica Neue"/>
      <family val="2"/>
    </font>
    <font>
      <sz val="18"/>
      <color rgb="FF333333"/>
      <name val="Roboto"/>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0" borderId="0" xfId="0" applyAlignment="1">
      <alignment wrapText="1"/>
    </xf>
    <xf numFmtId="3" fontId="2" fillId="0" borderId="0" xfId="0" applyNumberFormat="1" applyFont="1"/>
    <xf numFmtId="0" fontId="1" fillId="0" borderId="0" xfId="0" applyFont="1" applyAlignment="1">
      <alignment horizontal="right"/>
    </xf>
    <xf numFmtId="6" fontId="3" fillId="0" borderId="0" xfId="0" applyNumberFormat="1" applyFont="1"/>
    <xf numFmtId="9" fontId="0" fillId="0" borderId="0" xfId="0" applyNumberFormat="1"/>
    <xf numFmtId="0" fontId="0" fillId="0" borderId="0" xfId="0" applyFill="1"/>
    <xf numFmtId="0" fontId="3" fillId="0" borderId="0" xfId="0" applyFont="1"/>
    <xf numFmtId="6" fontId="0" fillId="0" borderId="0" xfId="0" applyNumberFormat="1"/>
    <xf numFmtId="0" fontId="0" fillId="0" borderId="0" xfId="0" quotePrefix="1"/>
    <xf numFmtId="0" fontId="0" fillId="2" borderId="0" xfId="0" applyFill="1"/>
    <xf numFmtId="0" fontId="0" fillId="3" borderId="0" xfId="0" applyFill="1"/>
    <xf numFmtId="0" fontId="0" fillId="4" borderId="0" xfId="0" applyFill="1"/>
    <xf numFmtId="0" fontId="0" fillId="5" borderId="0" xfId="0" applyFill="1"/>
    <xf numFmtId="164" fontId="0" fillId="0" borderId="0" xfId="0" applyNumberFormat="1"/>
    <xf numFmtId="164" fontId="0" fillId="0" borderId="0" xfId="0" applyNumberFormat="1" applyAlignment="1">
      <alignment wrapText="1"/>
    </xf>
    <xf numFmtId="0" fontId="0" fillId="3" borderId="0" xfId="0" quotePrefix="1" applyFill="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2C4FF-CFDE-3140-A344-D90A7CE0C361}">
  <dimension ref="A1:AA30"/>
  <sheetViews>
    <sheetView tabSelected="1" workbookViewId="0">
      <pane xSplit="1" ySplit="10" topLeftCell="P11" activePane="bottomRight" state="frozen"/>
      <selection pane="topRight" activeCell="B1" sqref="B1"/>
      <selection pane="bottomLeft" activeCell="A11" sqref="A11"/>
      <selection pane="bottomRight" activeCell="Y30" sqref="Y30"/>
    </sheetView>
  </sheetViews>
  <sheetFormatPr baseColWidth="10" defaultRowHeight="16"/>
  <cols>
    <col min="1" max="1" width="15.33203125" customWidth="1"/>
    <col min="2" max="2" width="16.6640625" customWidth="1"/>
    <col min="3" max="3" width="12.33203125" customWidth="1"/>
    <col min="4" max="5" width="12.6640625" customWidth="1"/>
    <col min="6" max="7" width="22.5" customWidth="1"/>
    <col min="8" max="8" width="15.1640625" customWidth="1"/>
    <col min="9" max="10" width="18" customWidth="1"/>
    <col min="11" max="11" width="18.83203125" customWidth="1"/>
    <col min="12" max="13" width="11.6640625" customWidth="1"/>
    <col min="14" max="14" width="22.5" customWidth="1"/>
    <col min="15" max="15" width="18.83203125" customWidth="1"/>
    <col min="16" max="16" width="17.1640625" customWidth="1"/>
    <col min="17" max="26" width="22.5" customWidth="1"/>
  </cols>
  <sheetData>
    <row r="1" spans="1:27">
      <c r="A1" t="s">
        <v>127</v>
      </c>
      <c r="S1">
        <f>24*10</f>
        <v>240</v>
      </c>
      <c r="T1">
        <f>7*24</f>
        <v>168</v>
      </c>
    </row>
    <row r="2" spans="1:27">
      <c r="Q2">
        <f>24*20</f>
        <v>480</v>
      </c>
    </row>
    <row r="3" spans="1:27">
      <c r="S3" t="s">
        <v>153</v>
      </c>
    </row>
    <row r="4" spans="1:27">
      <c r="S4" t="s">
        <v>154</v>
      </c>
    </row>
    <row r="6" spans="1:27">
      <c r="Q6" t="s">
        <v>45</v>
      </c>
      <c r="R6" t="s">
        <v>135</v>
      </c>
    </row>
    <row r="8" spans="1:27">
      <c r="K8" t="s">
        <v>212</v>
      </c>
      <c r="M8">
        <f>133/331</f>
        <v>0.40181268882175225</v>
      </c>
    </row>
    <row r="9" spans="1:27">
      <c r="K9" t="s">
        <v>148</v>
      </c>
      <c r="Q9" t="s">
        <v>136</v>
      </c>
      <c r="U9" t="s">
        <v>142</v>
      </c>
      <c r="V9" t="s">
        <v>186</v>
      </c>
      <c r="Y9" t="s">
        <v>187</v>
      </c>
    </row>
    <row r="10" spans="1:27" ht="48" customHeight="1">
      <c r="A10" t="s">
        <v>130</v>
      </c>
      <c r="B10" t="s">
        <v>128</v>
      </c>
      <c r="C10" t="s">
        <v>133</v>
      </c>
      <c r="D10" t="s">
        <v>129</v>
      </c>
      <c r="E10" t="s">
        <v>144</v>
      </c>
      <c r="F10" t="s">
        <v>188</v>
      </c>
      <c r="G10" t="s">
        <v>197</v>
      </c>
      <c r="H10" s="2" t="s">
        <v>208</v>
      </c>
      <c r="I10" s="2" t="s">
        <v>146</v>
      </c>
      <c r="J10" s="2" t="s">
        <v>147</v>
      </c>
      <c r="K10" s="2" t="s">
        <v>145</v>
      </c>
      <c r="L10" t="s">
        <v>89</v>
      </c>
      <c r="M10" t="s">
        <v>90</v>
      </c>
      <c r="N10" s="2" t="s">
        <v>46</v>
      </c>
      <c r="O10" s="2" t="s">
        <v>53</v>
      </c>
      <c r="P10" s="2" t="s">
        <v>215</v>
      </c>
      <c r="Q10" s="2" t="s">
        <v>137</v>
      </c>
      <c r="R10" s="2" t="s">
        <v>138</v>
      </c>
      <c r="S10" s="2" t="s">
        <v>140</v>
      </c>
      <c r="T10" s="2" t="s">
        <v>139</v>
      </c>
      <c r="U10" s="2" t="s">
        <v>141</v>
      </c>
      <c r="V10" s="2" t="s">
        <v>107</v>
      </c>
      <c r="W10" s="2" t="s">
        <v>216</v>
      </c>
      <c r="X10" t="s">
        <v>217</v>
      </c>
      <c r="Y10" s="2" t="s">
        <v>106</v>
      </c>
      <c r="Z10" s="2" t="s">
        <v>214</v>
      </c>
      <c r="AA10" s="2" t="s">
        <v>99</v>
      </c>
    </row>
    <row r="11" spans="1:27">
      <c r="A11" t="s">
        <v>131</v>
      </c>
      <c r="B11" t="s">
        <v>132</v>
      </c>
      <c r="C11" t="s">
        <v>134</v>
      </c>
      <c r="D11">
        <v>634</v>
      </c>
      <c r="H11">
        <v>400</v>
      </c>
      <c r="I11">
        <v>178</v>
      </c>
      <c r="J11">
        <v>306</v>
      </c>
      <c r="K11">
        <v>60</v>
      </c>
      <c r="L11">
        <v>0.08</v>
      </c>
      <c r="M11">
        <v>20</v>
      </c>
      <c r="N11" t="s">
        <v>50</v>
      </c>
      <c r="O11">
        <v>168</v>
      </c>
      <c r="P11" s="2">
        <v>240</v>
      </c>
      <c r="Q11" s="2">
        <v>196</v>
      </c>
      <c r="R11" s="2">
        <v>400</v>
      </c>
      <c r="S11" s="2">
        <v>39</v>
      </c>
      <c r="T11" s="2">
        <v>106</v>
      </c>
      <c r="U11" s="15">
        <f>Q11*500+R11*1600+T11*420+S11*840</f>
        <v>815280</v>
      </c>
      <c r="V11" s="16">
        <v>-48637</v>
      </c>
      <c r="W11" s="16">
        <v>814580</v>
      </c>
      <c r="X11" s="16">
        <v>508910</v>
      </c>
      <c r="Y11" s="2">
        <v>84</v>
      </c>
    </row>
    <row r="12" spans="1:27">
      <c r="A12" t="s">
        <v>131</v>
      </c>
      <c r="B12" t="s">
        <v>155</v>
      </c>
      <c r="E12" t="s">
        <v>192</v>
      </c>
      <c r="F12" t="s">
        <v>189</v>
      </c>
      <c r="H12">
        <v>160</v>
      </c>
      <c r="U12" s="15"/>
      <c r="V12" s="15"/>
      <c r="W12" s="15"/>
      <c r="X12" s="15"/>
    </row>
    <row r="13" spans="1:27">
      <c r="A13" t="s">
        <v>131</v>
      </c>
      <c r="B13" t="s">
        <v>156</v>
      </c>
      <c r="E13" t="s">
        <v>192</v>
      </c>
      <c r="F13" t="s">
        <v>190</v>
      </c>
      <c r="H13">
        <v>120</v>
      </c>
      <c r="U13" s="15"/>
      <c r="V13" s="15"/>
      <c r="W13" s="15"/>
      <c r="X13" s="15"/>
    </row>
    <row r="14" spans="1:27">
      <c r="A14" t="s">
        <v>131</v>
      </c>
      <c r="B14" t="s">
        <v>157</v>
      </c>
      <c r="E14" t="s">
        <v>192</v>
      </c>
      <c r="F14" t="s">
        <v>191</v>
      </c>
      <c r="H14">
        <v>120</v>
      </c>
      <c r="U14" s="15"/>
      <c r="V14" s="15"/>
      <c r="W14" s="15"/>
      <c r="X14" s="15"/>
    </row>
    <row r="15" spans="1:27">
      <c r="A15" t="s">
        <v>158</v>
      </c>
      <c r="B15" t="s">
        <v>159</v>
      </c>
      <c r="C15" s="10" t="s">
        <v>163</v>
      </c>
      <c r="D15" t="s">
        <v>164</v>
      </c>
      <c r="H15">
        <v>772.9</v>
      </c>
      <c r="I15" s="11">
        <v>163</v>
      </c>
      <c r="J15" s="11">
        <v>389</v>
      </c>
      <c r="K15" s="11">
        <v>53</v>
      </c>
      <c r="L15">
        <v>0.08</v>
      </c>
      <c r="M15">
        <v>20</v>
      </c>
      <c r="N15" t="s">
        <v>50</v>
      </c>
      <c r="O15">
        <v>168</v>
      </c>
      <c r="P15" s="2">
        <v>240</v>
      </c>
      <c r="Q15">
        <v>134</v>
      </c>
      <c r="R15">
        <v>324</v>
      </c>
      <c r="S15">
        <v>43</v>
      </c>
      <c r="T15">
        <v>106</v>
      </c>
      <c r="U15" s="15">
        <f>Q15*500+R15*1600+T15*420+S15*840</f>
        <v>666040</v>
      </c>
      <c r="V15" s="15">
        <v>10462</v>
      </c>
      <c r="W15" s="15">
        <v>666568</v>
      </c>
      <c r="X15" s="15">
        <v>414147</v>
      </c>
      <c r="Y15" s="2">
        <v>23</v>
      </c>
      <c r="AA15" s="12" t="s">
        <v>228</v>
      </c>
    </row>
    <row r="16" spans="1:27">
      <c r="A16" t="s">
        <v>158</v>
      </c>
      <c r="B16" t="s">
        <v>160</v>
      </c>
      <c r="E16" s="11" t="s">
        <v>196</v>
      </c>
      <c r="F16" t="s">
        <v>226</v>
      </c>
      <c r="H16">
        <v>485</v>
      </c>
      <c r="I16" s="7"/>
      <c r="J16" s="7"/>
      <c r="K16" s="7"/>
      <c r="U16" s="15"/>
      <c r="V16" s="15"/>
      <c r="W16" s="15"/>
      <c r="X16" s="15"/>
    </row>
    <row r="17" spans="1:27">
      <c r="A17" t="s">
        <v>158</v>
      </c>
      <c r="B17" t="s">
        <v>161</v>
      </c>
      <c r="E17" s="11" t="s">
        <v>196</v>
      </c>
      <c r="F17" t="s">
        <v>194</v>
      </c>
      <c r="G17" t="s">
        <v>213</v>
      </c>
      <c r="H17">
        <v>68</v>
      </c>
      <c r="I17" s="7"/>
      <c r="J17" s="7"/>
      <c r="K17" s="7"/>
      <c r="U17" s="15"/>
      <c r="V17" s="15"/>
      <c r="W17" s="15"/>
      <c r="X17" s="15"/>
    </row>
    <row r="18" spans="1:27">
      <c r="A18" t="s">
        <v>158</v>
      </c>
      <c r="B18" t="s">
        <v>162</v>
      </c>
      <c r="E18" s="11" t="s">
        <v>196</v>
      </c>
      <c r="F18" t="s">
        <v>195</v>
      </c>
      <c r="H18">
        <v>290</v>
      </c>
      <c r="I18" s="7"/>
      <c r="J18" s="7"/>
      <c r="K18" s="7"/>
      <c r="U18" s="15"/>
      <c r="V18" s="15"/>
      <c r="W18" s="15"/>
      <c r="X18" s="15"/>
    </row>
    <row r="19" spans="1:27">
      <c r="A19" t="s">
        <v>167</v>
      </c>
      <c r="B19" t="s">
        <v>166</v>
      </c>
      <c r="C19" t="s">
        <v>168</v>
      </c>
      <c r="D19">
        <v>684</v>
      </c>
      <c r="H19">
        <f>170+128</f>
        <v>298</v>
      </c>
      <c r="I19" s="7">
        <v>145</v>
      </c>
      <c r="J19" s="7">
        <v>270</v>
      </c>
      <c r="K19" s="7">
        <v>60</v>
      </c>
      <c r="L19">
        <v>0.08</v>
      </c>
      <c r="M19">
        <v>20</v>
      </c>
      <c r="N19" t="s">
        <v>50</v>
      </c>
      <c r="O19">
        <v>168</v>
      </c>
      <c r="P19" s="2">
        <v>240</v>
      </c>
      <c r="Q19">
        <v>155</v>
      </c>
      <c r="R19">
        <v>11</v>
      </c>
      <c r="S19">
        <v>20</v>
      </c>
      <c r="T19">
        <v>62</v>
      </c>
      <c r="U19" s="15">
        <f>Q19*500+R19*1600+T19*420+S19*840</f>
        <v>137940</v>
      </c>
      <c r="V19" s="15">
        <v>-95326</v>
      </c>
      <c r="W19" s="15">
        <v>137677</v>
      </c>
      <c r="X19" s="15">
        <v>119617</v>
      </c>
      <c r="Y19" s="2">
        <v>14</v>
      </c>
    </row>
    <row r="20" spans="1:27">
      <c r="A20" t="s">
        <v>167</v>
      </c>
      <c r="B20">
        <v>611</v>
      </c>
      <c r="E20" t="s">
        <v>176</v>
      </c>
      <c r="F20" s="7" t="s">
        <v>200</v>
      </c>
      <c r="G20" s="7"/>
      <c r="H20">
        <v>170</v>
      </c>
      <c r="I20" s="7"/>
      <c r="J20" s="7"/>
      <c r="K20" s="7"/>
      <c r="U20" s="15"/>
      <c r="V20" s="15"/>
      <c r="W20" s="15"/>
      <c r="X20" s="15"/>
      <c r="Y20" s="2"/>
    </row>
    <row r="21" spans="1:27">
      <c r="A21" t="s">
        <v>167</v>
      </c>
      <c r="B21">
        <v>652</v>
      </c>
      <c r="E21" s="11" t="s">
        <v>196</v>
      </c>
      <c r="F21" t="s">
        <v>201</v>
      </c>
      <c r="H21">
        <v>128</v>
      </c>
      <c r="I21" s="7"/>
      <c r="J21" s="7"/>
      <c r="K21" s="7"/>
      <c r="U21" s="15"/>
      <c r="V21" s="15"/>
      <c r="W21" s="15"/>
      <c r="X21" s="15"/>
      <c r="Y21" s="2"/>
    </row>
    <row r="22" spans="1:27">
      <c r="A22" t="s">
        <v>169</v>
      </c>
      <c r="B22" t="s">
        <v>170</v>
      </c>
      <c r="C22">
        <v>632645</v>
      </c>
      <c r="D22">
        <v>646</v>
      </c>
      <c r="H22">
        <v>363</v>
      </c>
      <c r="I22" s="7">
        <v>139</v>
      </c>
      <c r="J22" s="7">
        <v>384</v>
      </c>
      <c r="K22" s="7">
        <v>25</v>
      </c>
      <c r="L22">
        <v>0.08</v>
      </c>
      <c r="M22">
        <v>20</v>
      </c>
      <c r="N22" t="s">
        <v>50</v>
      </c>
      <c r="O22">
        <v>168</v>
      </c>
      <c r="P22" s="2">
        <v>240</v>
      </c>
      <c r="Q22">
        <v>132</v>
      </c>
      <c r="R22">
        <v>312</v>
      </c>
      <c r="S22">
        <v>57</v>
      </c>
      <c r="T22">
        <v>134</v>
      </c>
      <c r="U22" s="15">
        <f>Q22*500+R22*1600+T22*420+S22*840</f>
        <v>669360</v>
      </c>
      <c r="V22" s="15">
        <v>-37742</v>
      </c>
      <c r="W22" s="15">
        <v>670106</v>
      </c>
      <c r="X22" s="15">
        <v>420744</v>
      </c>
      <c r="Y22" s="2">
        <v>23</v>
      </c>
    </row>
    <row r="23" spans="1:27">
      <c r="A23" t="s">
        <v>169</v>
      </c>
      <c r="B23">
        <v>645</v>
      </c>
      <c r="E23" t="s">
        <v>175</v>
      </c>
      <c r="F23" t="s">
        <v>203</v>
      </c>
      <c r="H23">
        <v>170</v>
      </c>
    </row>
    <row r="24" spans="1:27">
      <c r="A24" t="s">
        <v>169</v>
      </c>
      <c r="B24">
        <v>646</v>
      </c>
      <c r="E24" t="s">
        <v>177</v>
      </c>
      <c r="F24" t="s">
        <v>204</v>
      </c>
      <c r="H24">
        <v>230</v>
      </c>
    </row>
    <row r="26" spans="1:27">
      <c r="A26" t="s">
        <v>222</v>
      </c>
      <c r="I26">
        <f>SUM(I11:I24)</f>
        <v>625</v>
      </c>
      <c r="J26">
        <f>SUM(J11:J24)</f>
        <v>1349</v>
      </c>
      <c r="K26">
        <f>SUM(K11:K24)</f>
        <v>198</v>
      </c>
      <c r="P26" s="18" t="s">
        <v>225</v>
      </c>
      <c r="Q26">
        <f t="shared" ref="Q26:X26" si="0">SUM(Q11:Q24)</f>
        <v>617</v>
      </c>
      <c r="R26">
        <f t="shared" si="0"/>
        <v>1047</v>
      </c>
      <c r="S26">
        <f t="shared" si="0"/>
        <v>159</v>
      </c>
      <c r="T26">
        <f t="shared" si="0"/>
        <v>408</v>
      </c>
      <c r="U26" s="15">
        <f t="shared" si="0"/>
        <v>2288620</v>
      </c>
      <c r="V26">
        <f t="shared" si="0"/>
        <v>-171243</v>
      </c>
      <c r="W26">
        <f t="shared" si="0"/>
        <v>2288931</v>
      </c>
      <c r="X26">
        <f t="shared" si="0"/>
        <v>1463418</v>
      </c>
      <c r="Y26">
        <f>AVERAGE(Y11:Y25)</f>
        <v>36</v>
      </c>
    </row>
    <row r="28" spans="1:27">
      <c r="A28" t="s">
        <v>218</v>
      </c>
      <c r="B28" s="17" t="s">
        <v>220</v>
      </c>
      <c r="C28" t="s">
        <v>219</v>
      </c>
      <c r="D28">
        <v>670</v>
      </c>
      <c r="E28" s="12" t="s">
        <v>221</v>
      </c>
      <c r="I28" s="7">
        <v>626</v>
      </c>
      <c r="J28" s="7">
        <v>1311</v>
      </c>
      <c r="K28" s="7">
        <v>266</v>
      </c>
      <c r="L28">
        <v>0.08</v>
      </c>
      <c r="M28">
        <v>20</v>
      </c>
      <c r="N28" t="s">
        <v>50</v>
      </c>
      <c r="O28">
        <v>168</v>
      </c>
      <c r="P28" s="2">
        <v>240</v>
      </c>
      <c r="Q28">
        <v>570</v>
      </c>
      <c r="R28">
        <v>1378</v>
      </c>
      <c r="S28">
        <v>230</v>
      </c>
      <c r="T28">
        <v>560</v>
      </c>
      <c r="U28" s="15">
        <f>Q28*500+R28*1600+T28*420+S28*840</f>
        <v>2918200</v>
      </c>
      <c r="V28">
        <v>-72114</v>
      </c>
      <c r="W28">
        <v>2918280</v>
      </c>
      <c r="X28">
        <v>1825515</v>
      </c>
      <c r="Y28" s="12">
        <v>44</v>
      </c>
    </row>
    <row r="30" spans="1:27">
      <c r="A30" t="s">
        <v>223</v>
      </c>
      <c r="I30">
        <f>I26-I28</f>
        <v>-1</v>
      </c>
      <c r="J30">
        <f t="shared" ref="J30:K30" si="1">J26-J28</f>
        <v>38</v>
      </c>
      <c r="K30">
        <f t="shared" si="1"/>
        <v>-68</v>
      </c>
      <c r="P30" s="18" t="s">
        <v>224</v>
      </c>
      <c r="Q30" s="1">
        <f t="shared" ref="Q30:X30" si="2">Q26-Q28</f>
        <v>47</v>
      </c>
      <c r="R30" s="1">
        <f t="shared" si="2"/>
        <v>-331</v>
      </c>
      <c r="S30" s="1">
        <f t="shared" si="2"/>
        <v>-71</v>
      </c>
      <c r="T30" s="1">
        <f t="shared" si="2"/>
        <v>-152</v>
      </c>
      <c r="U30" s="1">
        <f t="shared" si="2"/>
        <v>-629580</v>
      </c>
      <c r="V30" s="1">
        <f t="shared" si="2"/>
        <v>-99129</v>
      </c>
      <c r="W30" s="1">
        <f t="shared" si="2"/>
        <v>-629349</v>
      </c>
      <c r="X30" s="1">
        <f t="shared" si="2"/>
        <v>-362097</v>
      </c>
      <c r="AA30"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FD63-8DC8-B648-8BEF-4F2758B01020}">
  <dimension ref="A1:AA30"/>
  <sheetViews>
    <sheetView topLeftCell="H1" workbookViewId="0">
      <selection activeCell="AA15" sqref="AA15"/>
    </sheetView>
  </sheetViews>
  <sheetFormatPr baseColWidth="10" defaultRowHeight="16"/>
  <cols>
    <col min="1" max="1" width="15.33203125" customWidth="1"/>
    <col min="2" max="2" width="16.6640625" customWidth="1"/>
    <col min="3" max="3" width="12.33203125" customWidth="1"/>
    <col min="4" max="5" width="12.6640625" customWidth="1"/>
    <col min="6" max="7" width="22.5" customWidth="1"/>
    <col min="8" max="8" width="15.1640625" customWidth="1"/>
    <col min="9" max="10" width="18" customWidth="1"/>
    <col min="11" max="11" width="18.83203125" customWidth="1"/>
    <col min="12" max="13" width="11.6640625" customWidth="1"/>
    <col min="14" max="14" width="22.5" customWidth="1"/>
    <col min="15" max="15" width="18.83203125" customWidth="1"/>
    <col min="16" max="16" width="17.1640625" customWidth="1"/>
    <col min="17" max="26" width="22.5" customWidth="1"/>
  </cols>
  <sheetData>
    <row r="1" spans="1:27">
      <c r="A1" t="s">
        <v>127</v>
      </c>
      <c r="S1">
        <f>24*10</f>
        <v>240</v>
      </c>
      <c r="T1">
        <f>7*24</f>
        <v>168</v>
      </c>
    </row>
    <row r="2" spans="1:27">
      <c r="Q2">
        <f>24*20</f>
        <v>480</v>
      </c>
    </row>
    <row r="3" spans="1:27">
      <c r="S3" t="s">
        <v>153</v>
      </c>
    </row>
    <row r="4" spans="1:27">
      <c r="S4" t="s">
        <v>154</v>
      </c>
    </row>
    <row r="6" spans="1:27">
      <c r="Q6" t="s">
        <v>45</v>
      </c>
      <c r="R6" t="s">
        <v>135</v>
      </c>
    </row>
    <row r="8" spans="1:27">
      <c r="K8" t="s">
        <v>212</v>
      </c>
      <c r="M8">
        <f>133/331</f>
        <v>0.40181268882175225</v>
      </c>
    </row>
    <row r="9" spans="1:27">
      <c r="K9" t="s">
        <v>148</v>
      </c>
      <c r="Q9" t="s">
        <v>136</v>
      </c>
      <c r="U9" t="s">
        <v>142</v>
      </c>
      <c r="V9" t="s">
        <v>186</v>
      </c>
      <c r="Y9" t="s">
        <v>187</v>
      </c>
    </row>
    <row r="10" spans="1:27" ht="48" customHeight="1">
      <c r="A10" t="s">
        <v>130</v>
      </c>
      <c r="B10" t="s">
        <v>128</v>
      </c>
      <c r="C10" t="s">
        <v>133</v>
      </c>
      <c r="D10" t="s">
        <v>129</v>
      </c>
      <c r="E10" t="s">
        <v>144</v>
      </c>
      <c r="F10" t="s">
        <v>188</v>
      </c>
      <c r="G10" t="s">
        <v>197</v>
      </c>
      <c r="H10" s="2" t="s">
        <v>208</v>
      </c>
      <c r="I10" s="2" t="s">
        <v>209</v>
      </c>
      <c r="J10" s="2" t="s">
        <v>210</v>
      </c>
      <c r="K10" s="2" t="s">
        <v>211</v>
      </c>
      <c r="L10" t="s">
        <v>89</v>
      </c>
      <c r="M10" t="s">
        <v>90</v>
      </c>
      <c r="N10" s="2" t="s">
        <v>46</v>
      </c>
      <c r="O10" s="2" t="s">
        <v>53</v>
      </c>
      <c r="P10" s="2" t="s">
        <v>215</v>
      </c>
      <c r="Q10" s="2" t="s">
        <v>137</v>
      </c>
      <c r="R10" s="2" t="s">
        <v>138</v>
      </c>
      <c r="S10" s="2" t="s">
        <v>140</v>
      </c>
      <c r="T10" s="2" t="s">
        <v>139</v>
      </c>
      <c r="U10" s="2" t="s">
        <v>141</v>
      </c>
      <c r="V10" s="2" t="s">
        <v>107</v>
      </c>
      <c r="W10" s="2" t="s">
        <v>216</v>
      </c>
      <c r="X10" t="s">
        <v>217</v>
      </c>
      <c r="Y10" s="2" t="s">
        <v>106</v>
      </c>
      <c r="Z10" s="2" t="s">
        <v>214</v>
      </c>
      <c r="AA10" s="2" t="s">
        <v>99</v>
      </c>
    </row>
    <row r="11" spans="1:27">
      <c r="A11" t="s">
        <v>131</v>
      </c>
      <c r="B11" t="s">
        <v>132</v>
      </c>
      <c r="C11" t="s">
        <v>134</v>
      </c>
      <c r="D11">
        <v>634</v>
      </c>
      <c r="H11">
        <v>400</v>
      </c>
      <c r="I11">
        <v>178</v>
      </c>
      <c r="J11">
        <v>306</v>
      </c>
      <c r="K11">
        <v>60</v>
      </c>
      <c r="L11">
        <v>0.08</v>
      </c>
      <c r="M11">
        <v>20</v>
      </c>
      <c r="N11" t="s">
        <v>50</v>
      </c>
      <c r="O11">
        <v>168</v>
      </c>
      <c r="P11" s="2">
        <v>240</v>
      </c>
      <c r="Q11" s="2">
        <v>196</v>
      </c>
      <c r="R11" s="2">
        <v>400</v>
      </c>
      <c r="S11" s="2">
        <v>39</v>
      </c>
      <c r="T11" s="2">
        <v>106</v>
      </c>
      <c r="U11" s="15">
        <f>Q11*500+R11*1600+T11*420+S11*840</f>
        <v>815280</v>
      </c>
      <c r="V11" s="16">
        <v>-48637</v>
      </c>
      <c r="W11" s="16">
        <v>814580</v>
      </c>
      <c r="X11" s="16">
        <v>508910</v>
      </c>
      <c r="Y11" s="2">
        <v>84</v>
      </c>
    </row>
    <row r="12" spans="1:27">
      <c r="A12" t="s">
        <v>131</v>
      </c>
      <c r="B12" t="s">
        <v>155</v>
      </c>
      <c r="E12" t="s">
        <v>192</v>
      </c>
      <c r="F12" t="s">
        <v>189</v>
      </c>
      <c r="H12">
        <v>160</v>
      </c>
      <c r="U12" s="15"/>
      <c r="V12" s="15"/>
      <c r="W12" s="15"/>
      <c r="X12" s="15"/>
    </row>
    <row r="13" spans="1:27">
      <c r="A13" t="s">
        <v>131</v>
      </c>
      <c r="B13" t="s">
        <v>156</v>
      </c>
      <c r="E13" t="s">
        <v>192</v>
      </c>
      <c r="F13" t="s">
        <v>190</v>
      </c>
      <c r="H13">
        <v>120</v>
      </c>
      <c r="U13" s="15"/>
      <c r="V13" s="15"/>
      <c r="W13" s="15"/>
      <c r="X13" s="15"/>
    </row>
    <row r="14" spans="1:27">
      <c r="A14" t="s">
        <v>131</v>
      </c>
      <c r="B14" t="s">
        <v>157</v>
      </c>
      <c r="E14" t="s">
        <v>192</v>
      </c>
      <c r="F14" t="s">
        <v>191</v>
      </c>
      <c r="H14">
        <v>120</v>
      </c>
      <c r="U14" s="15"/>
      <c r="V14" s="15"/>
      <c r="W14" s="15"/>
      <c r="X14" s="15"/>
    </row>
    <row r="15" spans="1:27">
      <c r="A15" t="s">
        <v>158</v>
      </c>
      <c r="B15" t="s">
        <v>159</v>
      </c>
      <c r="C15" s="10" t="s">
        <v>163</v>
      </c>
      <c r="D15" t="s">
        <v>164</v>
      </c>
      <c r="H15">
        <v>772.9</v>
      </c>
      <c r="I15" s="11">
        <v>430</v>
      </c>
      <c r="J15" s="11">
        <v>700</v>
      </c>
      <c r="K15" s="11">
        <v>111</v>
      </c>
      <c r="L15">
        <v>0.08</v>
      </c>
      <c r="M15">
        <v>20</v>
      </c>
      <c r="N15" t="s">
        <v>50</v>
      </c>
      <c r="O15">
        <v>168</v>
      </c>
      <c r="P15" s="2">
        <v>240</v>
      </c>
      <c r="Q15">
        <v>134</v>
      </c>
      <c r="R15">
        <v>324</v>
      </c>
      <c r="S15">
        <v>43</v>
      </c>
      <c r="T15">
        <v>106</v>
      </c>
      <c r="U15" s="15">
        <f>Q15*500+R15*1600+T15*420+S15*840</f>
        <v>666040</v>
      </c>
      <c r="V15" s="15">
        <v>10462</v>
      </c>
      <c r="W15" s="15">
        <v>666568</v>
      </c>
      <c r="X15" s="15">
        <v>414147</v>
      </c>
      <c r="Y15" s="2">
        <v>23</v>
      </c>
      <c r="AA15" s="12" t="s">
        <v>228</v>
      </c>
    </row>
    <row r="16" spans="1:27">
      <c r="A16" t="s">
        <v>158</v>
      </c>
      <c r="B16" t="s">
        <v>160</v>
      </c>
      <c r="E16" s="11" t="s">
        <v>196</v>
      </c>
      <c r="F16" t="s">
        <v>226</v>
      </c>
      <c r="H16">
        <v>485</v>
      </c>
      <c r="I16" s="7"/>
      <c r="J16" s="7"/>
      <c r="K16" s="7"/>
      <c r="U16" s="15"/>
      <c r="V16" s="15"/>
      <c r="W16" s="15"/>
      <c r="X16" s="15"/>
    </row>
    <row r="17" spans="1:27">
      <c r="A17" t="s">
        <v>158</v>
      </c>
      <c r="B17" t="s">
        <v>161</v>
      </c>
      <c r="E17" s="11" t="s">
        <v>196</v>
      </c>
      <c r="F17" t="s">
        <v>194</v>
      </c>
      <c r="G17" t="s">
        <v>213</v>
      </c>
      <c r="H17">
        <v>68</v>
      </c>
      <c r="I17" s="7"/>
      <c r="J17" s="7"/>
      <c r="K17" s="7"/>
      <c r="U17" s="15"/>
      <c r="V17" s="15"/>
      <c r="W17" s="15"/>
      <c r="X17" s="15"/>
    </row>
    <row r="18" spans="1:27">
      <c r="A18" t="s">
        <v>158</v>
      </c>
      <c r="B18" t="s">
        <v>162</v>
      </c>
      <c r="E18" s="11" t="s">
        <v>196</v>
      </c>
      <c r="F18" t="s">
        <v>195</v>
      </c>
      <c r="H18">
        <v>290</v>
      </c>
      <c r="I18" s="7"/>
      <c r="J18" s="7"/>
      <c r="K18" s="7"/>
      <c r="U18" s="15"/>
      <c r="V18" s="15"/>
      <c r="W18" s="15"/>
      <c r="X18" s="15"/>
    </row>
    <row r="19" spans="1:27">
      <c r="A19" t="s">
        <v>167</v>
      </c>
      <c r="B19" t="s">
        <v>166</v>
      </c>
      <c r="C19" t="s">
        <v>168</v>
      </c>
      <c r="D19">
        <v>684</v>
      </c>
      <c r="H19">
        <f>170+128</f>
        <v>298</v>
      </c>
      <c r="I19" s="7">
        <v>145</v>
      </c>
      <c r="J19" s="7">
        <v>270</v>
      </c>
      <c r="K19" s="7">
        <v>60</v>
      </c>
      <c r="L19">
        <v>0.08</v>
      </c>
      <c r="M19">
        <v>20</v>
      </c>
      <c r="N19" t="s">
        <v>50</v>
      </c>
      <c r="O19">
        <v>168</v>
      </c>
      <c r="P19" s="2">
        <v>240</v>
      </c>
      <c r="Q19">
        <v>155</v>
      </c>
      <c r="R19">
        <v>11</v>
      </c>
      <c r="S19">
        <v>20</v>
      </c>
      <c r="T19">
        <v>62</v>
      </c>
      <c r="U19" s="15">
        <f>Q19*500+R19*1600+T19*420+S19*840</f>
        <v>137940</v>
      </c>
      <c r="V19" s="15">
        <v>-95326</v>
      </c>
      <c r="W19" s="15">
        <v>137677</v>
      </c>
      <c r="X19" s="15">
        <v>119617</v>
      </c>
      <c r="Y19" s="2">
        <v>14</v>
      </c>
    </row>
    <row r="20" spans="1:27">
      <c r="A20" t="s">
        <v>167</v>
      </c>
      <c r="B20">
        <v>611</v>
      </c>
      <c r="E20" t="s">
        <v>176</v>
      </c>
      <c r="F20" s="7" t="s">
        <v>200</v>
      </c>
      <c r="G20" s="7"/>
      <c r="H20">
        <v>170</v>
      </c>
      <c r="I20" s="7"/>
      <c r="J20" s="7"/>
      <c r="K20" s="7"/>
      <c r="U20" s="15"/>
      <c r="V20" s="15"/>
      <c r="W20" s="15"/>
      <c r="X20" s="15"/>
      <c r="Y20" s="2"/>
    </row>
    <row r="21" spans="1:27">
      <c r="A21" t="s">
        <v>167</v>
      </c>
      <c r="B21">
        <v>652</v>
      </c>
      <c r="E21" s="11" t="s">
        <v>196</v>
      </c>
      <c r="F21" t="s">
        <v>201</v>
      </c>
      <c r="H21">
        <v>128</v>
      </c>
      <c r="I21" s="7"/>
      <c r="J21" s="7"/>
      <c r="K21" s="7"/>
      <c r="U21" s="15"/>
      <c r="V21" s="15"/>
      <c r="W21" s="15"/>
      <c r="X21" s="15"/>
      <c r="Y21" s="2"/>
    </row>
    <row r="22" spans="1:27">
      <c r="A22" t="s">
        <v>169</v>
      </c>
      <c r="B22" t="s">
        <v>170</v>
      </c>
      <c r="C22">
        <v>632645</v>
      </c>
      <c r="D22">
        <v>646</v>
      </c>
      <c r="H22">
        <v>363</v>
      </c>
      <c r="I22" s="7">
        <v>139</v>
      </c>
      <c r="J22" s="7">
        <v>384</v>
      </c>
      <c r="K22" s="7">
        <v>25</v>
      </c>
      <c r="L22">
        <v>0.08</v>
      </c>
      <c r="M22">
        <v>20</v>
      </c>
      <c r="N22" t="s">
        <v>50</v>
      </c>
      <c r="O22">
        <v>168</v>
      </c>
      <c r="P22" s="2">
        <v>240</v>
      </c>
      <c r="Q22">
        <v>132</v>
      </c>
      <c r="R22">
        <v>312</v>
      </c>
      <c r="S22">
        <v>57</v>
      </c>
      <c r="T22">
        <v>134</v>
      </c>
      <c r="U22" s="15">
        <f>Q22*500+R22*1600+T22*420+S22*840</f>
        <v>669360</v>
      </c>
      <c r="V22" s="15">
        <v>-37742</v>
      </c>
      <c r="W22" s="15">
        <v>670106</v>
      </c>
      <c r="X22" s="15">
        <v>420744</v>
      </c>
      <c r="Y22" s="2">
        <v>23</v>
      </c>
    </row>
    <row r="23" spans="1:27">
      <c r="A23" t="s">
        <v>169</v>
      </c>
      <c r="B23">
        <v>645</v>
      </c>
      <c r="E23" t="s">
        <v>175</v>
      </c>
      <c r="F23" t="s">
        <v>203</v>
      </c>
      <c r="H23">
        <v>170</v>
      </c>
    </row>
    <row r="24" spans="1:27">
      <c r="A24" t="s">
        <v>169</v>
      </c>
      <c r="B24">
        <v>646</v>
      </c>
      <c r="E24" t="s">
        <v>177</v>
      </c>
      <c r="F24" t="s">
        <v>204</v>
      </c>
      <c r="H24">
        <v>230</v>
      </c>
    </row>
    <row r="26" spans="1:27">
      <c r="A26" t="s">
        <v>222</v>
      </c>
      <c r="I26">
        <f>SUM(I11:I24)</f>
        <v>892</v>
      </c>
      <c r="J26">
        <f>SUM(J11:J24)</f>
        <v>1660</v>
      </c>
      <c r="K26">
        <f>SUM(K11:K24)</f>
        <v>256</v>
      </c>
      <c r="P26" s="18" t="s">
        <v>225</v>
      </c>
      <c r="Q26">
        <f t="shared" ref="Q26:X26" si="0">SUM(Q11:Q24)</f>
        <v>617</v>
      </c>
      <c r="R26">
        <f t="shared" si="0"/>
        <v>1047</v>
      </c>
      <c r="S26">
        <f t="shared" si="0"/>
        <v>159</v>
      </c>
      <c r="T26">
        <f t="shared" si="0"/>
        <v>408</v>
      </c>
      <c r="U26" s="15">
        <f t="shared" si="0"/>
        <v>2288620</v>
      </c>
      <c r="V26">
        <f t="shared" si="0"/>
        <v>-171243</v>
      </c>
      <c r="W26">
        <f t="shared" si="0"/>
        <v>2288931</v>
      </c>
      <c r="X26">
        <f t="shared" si="0"/>
        <v>1463418</v>
      </c>
      <c r="Y26">
        <f>AVERAGE(Y11:Y25)</f>
        <v>36</v>
      </c>
    </row>
    <row r="28" spans="1:27">
      <c r="A28" t="s">
        <v>218</v>
      </c>
      <c r="B28" s="17" t="s">
        <v>220</v>
      </c>
      <c r="C28" t="s">
        <v>219</v>
      </c>
      <c r="D28">
        <v>670</v>
      </c>
      <c r="E28" s="12" t="s">
        <v>221</v>
      </c>
      <c r="I28" s="7">
        <v>626</v>
      </c>
      <c r="J28" s="7">
        <v>1311</v>
      </c>
      <c r="K28" s="7">
        <v>266</v>
      </c>
      <c r="L28">
        <v>0.08</v>
      </c>
      <c r="M28">
        <v>20</v>
      </c>
      <c r="N28" t="s">
        <v>50</v>
      </c>
      <c r="O28">
        <v>168</v>
      </c>
      <c r="P28" s="2">
        <v>240</v>
      </c>
      <c r="Q28">
        <v>570</v>
      </c>
      <c r="R28">
        <v>1378</v>
      </c>
      <c r="S28">
        <v>230</v>
      </c>
      <c r="T28">
        <v>560</v>
      </c>
      <c r="U28" s="15">
        <f>Q28*500+R28*1600+T28*420+S28*840</f>
        <v>2918200</v>
      </c>
      <c r="V28">
        <v>-72114</v>
      </c>
      <c r="W28">
        <v>2918280</v>
      </c>
      <c r="X28">
        <v>1825515</v>
      </c>
      <c r="Y28" s="12">
        <v>38</v>
      </c>
    </row>
    <row r="30" spans="1:27">
      <c r="A30" t="s">
        <v>223</v>
      </c>
      <c r="I30">
        <f>I26-I28</f>
        <v>266</v>
      </c>
      <c r="J30">
        <f t="shared" ref="J30:K30" si="1">J26-J28</f>
        <v>349</v>
      </c>
      <c r="K30">
        <f t="shared" si="1"/>
        <v>-10</v>
      </c>
      <c r="P30" s="18" t="s">
        <v>224</v>
      </c>
      <c r="Q30" s="1">
        <f t="shared" ref="Q30:X30" si="2">Q26-Q28</f>
        <v>47</v>
      </c>
      <c r="R30" s="1">
        <f t="shared" si="2"/>
        <v>-331</v>
      </c>
      <c r="S30" s="1">
        <f t="shared" si="2"/>
        <v>-71</v>
      </c>
      <c r="T30" s="1">
        <f t="shared" si="2"/>
        <v>-152</v>
      </c>
      <c r="U30" s="1">
        <f t="shared" si="2"/>
        <v>-629580</v>
      </c>
      <c r="V30" s="1">
        <f t="shared" si="2"/>
        <v>-99129</v>
      </c>
      <c r="W30" s="1">
        <f t="shared" si="2"/>
        <v>-629349</v>
      </c>
      <c r="X30" s="1">
        <f t="shared" si="2"/>
        <v>-362097</v>
      </c>
      <c r="AA30" t="s">
        <v>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EAD6B-E5E2-8641-B4B9-B46AEA633FBD}">
  <dimension ref="A1:Y24"/>
  <sheetViews>
    <sheetView workbookViewId="0">
      <selection sqref="A1:XFD1048576"/>
    </sheetView>
  </sheetViews>
  <sheetFormatPr baseColWidth="10" defaultRowHeight="16"/>
  <cols>
    <col min="1" max="1" width="15.33203125" customWidth="1"/>
    <col min="2" max="2" width="16.6640625" customWidth="1"/>
    <col min="3" max="3" width="12.33203125" customWidth="1"/>
    <col min="4" max="5" width="12.6640625" customWidth="1"/>
    <col min="6" max="7" width="22.5" customWidth="1"/>
    <col min="8" max="8" width="15.1640625" customWidth="1"/>
    <col min="9" max="10" width="18" customWidth="1"/>
    <col min="11" max="11" width="18.83203125" customWidth="1"/>
    <col min="12" max="13" width="11.6640625" customWidth="1"/>
    <col min="14" max="14" width="22.5" customWidth="1"/>
    <col min="15" max="15" width="18.83203125" customWidth="1"/>
    <col min="16" max="16" width="17.1640625" customWidth="1"/>
    <col min="17" max="24" width="22.5" customWidth="1"/>
  </cols>
  <sheetData>
    <row r="1" spans="1:25">
      <c r="A1" t="s">
        <v>127</v>
      </c>
    </row>
    <row r="3" spans="1:25">
      <c r="A3" t="s">
        <v>150</v>
      </c>
      <c r="S3" t="s">
        <v>153</v>
      </c>
    </row>
    <row r="4" spans="1:25">
      <c r="A4" t="s">
        <v>149</v>
      </c>
      <c r="S4" t="s">
        <v>154</v>
      </c>
    </row>
    <row r="5" spans="1:25">
      <c r="A5" t="s">
        <v>152</v>
      </c>
    </row>
    <row r="6" spans="1:25">
      <c r="A6" t="s">
        <v>151</v>
      </c>
      <c r="Q6" t="s">
        <v>45</v>
      </c>
      <c r="R6" t="s">
        <v>135</v>
      </c>
    </row>
    <row r="8" spans="1:25">
      <c r="K8" t="s">
        <v>182</v>
      </c>
      <c r="M8">
        <f>133/331</f>
        <v>0.40181268882175225</v>
      </c>
    </row>
    <row r="9" spans="1:25">
      <c r="K9" t="s">
        <v>148</v>
      </c>
      <c r="Q9" t="s">
        <v>136</v>
      </c>
      <c r="U9" t="s">
        <v>142</v>
      </c>
      <c r="V9" t="s">
        <v>186</v>
      </c>
      <c r="W9" t="s">
        <v>187</v>
      </c>
    </row>
    <row r="10" spans="1:25" ht="48" customHeight="1">
      <c r="A10" t="s">
        <v>130</v>
      </c>
      <c r="B10" t="s">
        <v>128</v>
      </c>
      <c r="C10" t="s">
        <v>133</v>
      </c>
      <c r="D10" t="s">
        <v>129</v>
      </c>
      <c r="E10" t="s">
        <v>144</v>
      </c>
      <c r="F10" t="s">
        <v>188</v>
      </c>
      <c r="G10" t="s">
        <v>197</v>
      </c>
      <c r="H10" s="2" t="s">
        <v>208</v>
      </c>
      <c r="I10" s="2" t="s">
        <v>205</v>
      </c>
      <c r="J10" s="2" t="s">
        <v>206</v>
      </c>
      <c r="K10" s="2" t="s">
        <v>207</v>
      </c>
      <c r="L10" t="s">
        <v>89</v>
      </c>
      <c r="M10" t="s">
        <v>90</v>
      </c>
      <c r="N10" s="2" t="s">
        <v>46</v>
      </c>
      <c r="O10" s="2" t="s">
        <v>53</v>
      </c>
      <c r="P10" s="2" t="s">
        <v>71</v>
      </c>
      <c r="Q10" s="2" t="s">
        <v>137</v>
      </c>
      <c r="R10" s="2" t="s">
        <v>138</v>
      </c>
      <c r="S10" s="2" t="s">
        <v>140</v>
      </c>
      <c r="T10" s="2" t="s">
        <v>139</v>
      </c>
      <c r="U10" s="2" t="s">
        <v>141</v>
      </c>
      <c r="V10" s="2" t="s">
        <v>107</v>
      </c>
      <c r="W10" s="2" t="s">
        <v>106</v>
      </c>
      <c r="X10" s="2" t="s">
        <v>105</v>
      </c>
      <c r="Y10" s="2" t="s">
        <v>99</v>
      </c>
    </row>
    <row r="11" spans="1:25" ht="17">
      <c r="A11" t="s">
        <v>131</v>
      </c>
      <c r="B11" t="s">
        <v>132</v>
      </c>
      <c r="C11" t="s">
        <v>134</v>
      </c>
      <c r="D11">
        <v>634</v>
      </c>
      <c r="H11">
        <v>400</v>
      </c>
      <c r="I11">
        <v>194</v>
      </c>
      <c r="J11">
        <v>334</v>
      </c>
      <c r="K11">
        <v>65</v>
      </c>
      <c r="L11">
        <v>0.1</v>
      </c>
      <c r="M11">
        <v>20</v>
      </c>
      <c r="N11" t="s">
        <v>50</v>
      </c>
      <c r="O11">
        <f>7*24</f>
        <v>168</v>
      </c>
      <c r="P11" s="2" t="s">
        <v>94</v>
      </c>
      <c r="Q11" s="2">
        <v>165</v>
      </c>
      <c r="R11" s="2">
        <v>440</v>
      </c>
      <c r="S11" s="2">
        <v>79</v>
      </c>
      <c r="T11" s="2">
        <v>307</v>
      </c>
      <c r="U11">
        <f>Q11*500+R11*1600+T11*420+S11*840</f>
        <v>981800</v>
      </c>
      <c r="V11" s="2">
        <v>-1521</v>
      </c>
      <c r="W11" s="2">
        <v>2024</v>
      </c>
      <c r="X11">
        <v>77</v>
      </c>
    </row>
    <row r="12" spans="1:25">
      <c r="A12" t="s">
        <v>131</v>
      </c>
      <c r="B12" t="s">
        <v>155</v>
      </c>
      <c r="E12" t="s">
        <v>192</v>
      </c>
      <c r="F12" t="s">
        <v>189</v>
      </c>
      <c r="H12">
        <v>160</v>
      </c>
    </row>
    <row r="13" spans="1:25">
      <c r="A13" t="s">
        <v>131</v>
      </c>
      <c r="B13" t="s">
        <v>156</v>
      </c>
      <c r="E13" t="s">
        <v>192</v>
      </c>
      <c r="F13" t="s">
        <v>190</v>
      </c>
      <c r="H13">
        <v>120</v>
      </c>
    </row>
    <row r="14" spans="1:25">
      <c r="A14" t="s">
        <v>131</v>
      </c>
      <c r="B14" t="s">
        <v>157</v>
      </c>
      <c r="E14" t="s">
        <v>192</v>
      </c>
      <c r="F14" t="s">
        <v>191</v>
      </c>
      <c r="H14">
        <v>120</v>
      </c>
    </row>
    <row r="15" spans="1:25" ht="17">
      <c r="A15" t="s">
        <v>158</v>
      </c>
      <c r="B15" t="s">
        <v>159</v>
      </c>
      <c r="C15" s="10" t="s">
        <v>163</v>
      </c>
      <c r="D15" t="s">
        <v>164</v>
      </c>
      <c r="G15" t="s">
        <v>198</v>
      </c>
      <c r="H15">
        <v>772.9</v>
      </c>
      <c r="I15">
        <v>312</v>
      </c>
      <c r="J15">
        <v>700</v>
      </c>
      <c r="K15">
        <v>111</v>
      </c>
      <c r="L15">
        <v>0.1</v>
      </c>
      <c r="M15">
        <v>20</v>
      </c>
      <c r="N15" t="s">
        <v>50</v>
      </c>
      <c r="O15">
        <f>7*24</f>
        <v>168</v>
      </c>
      <c r="P15" s="2" t="s">
        <v>94</v>
      </c>
      <c r="Q15">
        <v>265</v>
      </c>
      <c r="R15">
        <v>1234</v>
      </c>
      <c r="S15">
        <v>198</v>
      </c>
      <c r="T15">
        <v>553</v>
      </c>
      <c r="U15">
        <f>Q15*500+R15*1600+T15*420+S15*840</f>
        <v>2505480</v>
      </c>
      <c r="V15">
        <v>214920</v>
      </c>
      <c r="W15">
        <v>307</v>
      </c>
      <c r="X15">
        <v>54</v>
      </c>
    </row>
    <row r="16" spans="1:25">
      <c r="A16" t="s">
        <v>158</v>
      </c>
      <c r="B16" t="s">
        <v>160</v>
      </c>
      <c r="E16" s="11" t="s">
        <v>196</v>
      </c>
      <c r="F16" t="s">
        <v>193</v>
      </c>
      <c r="H16">
        <v>485</v>
      </c>
    </row>
    <row r="17" spans="1:24">
      <c r="A17" t="s">
        <v>158</v>
      </c>
      <c r="B17" t="s">
        <v>161</v>
      </c>
      <c r="E17" s="11" t="s">
        <v>196</v>
      </c>
      <c r="F17" t="s">
        <v>194</v>
      </c>
      <c r="G17" s="12" t="s">
        <v>202</v>
      </c>
      <c r="H17">
        <v>68</v>
      </c>
    </row>
    <row r="18" spans="1:24">
      <c r="A18" t="s">
        <v>158</v>
      </c>
      <c r="B18" t="s">
        <v>162</v>
      </c>
      <c r="E18" s="11" t="s">
        <v>196</v>
      </c>
      <c r="F18" t="s">
        <v>195</v>
      </c>
      <c r="H18">
        <v>290</v>
      </c>
    </row>
    <row r="19" spans="1:24" ht="17">
      <c r="A19" t="s">
        <v>167</v>
      </c>
      <c r="B19" t="s">
        <v>166</v>
      </c>
      <c r="C19" t="s">
        <v>168</v>
      </c>
      <c r="D19">
        <v>684</v>
      </c>
      <c r="H19">
        <f>170+128</f>
        <v>298</v>
      </c>
      <c r="I19">
        <v>275</v>
      </c>
      <c r="J19" s="13">
        <v>500</v>
      </c>
      <c r="K19">
        <v>114</v>
      </c>
      <c r="L19">
        <v>0.1</v>
      </c>
      <c r="M19">
        <v>20</v>
      </c>
      <c r="N19" t="s">
        <v>50</v>
      </c>
      <c r="O19">
        <f>7*24</f>
        <v>168</v>
      </c>
      <c r="P19" s="2" t="s">
        <v>94</v>
      </c>
      <c r="Q19">
        <v>81</v>
      </c>
      <c r="R19">
        <v>432</v>
      </c>
      <c r="S19">
        <v>83</v>
      </c>
      <c r="T19">
        <v>225</v>
      </c>
      <c r="U19">
        <f>Q19*500+R19*1600+T19*420+S19*840</f>
        <v>895920</v>
      </c>
      <c r="V19">
        <v>109888</v>
      </c>
      <c r="W19">
        <v>1067</v>
      </c>
      <c r="X19">
        <v>87</v>
      </c>
    </row>
    <row r="20" spans="1:24">
      <c r="A20" t="s">
        <v>167</v>
      </c>
      <c r="B20">
        <v>611</v>
      </c>
      <c r="E20" t="s">
        <v>176</v>
      </c>
      <c r="F20" s="14" t="s">
        <v>200</v>
      </c>
      <c r="G20" s="12" t="s">
        <v>199</v>
      </c>
      <c r="H20">
        <v>170</v>
      </c>
      <c r="I20">
        <v>200</v>
      </c>
      <c r="J20">
        <v>351</v>
      </c>
      <c r="K20">
        <v>85</v>
      </c>
    </row>
    <row r="21" spans="1:24">
      <c r="A21" t="s">
        <v>167</v>
      </c>
      <c r="B21">
        <v>652</v>
      </c>
      <c r="E21" s="11" t="s">
        <v>196</v>
      </c>
      <c r="F21" t="s">
        <v>201</v>
      </c>
      <c r="H21">
        <v>128</v>
      </c>
    </row>
    <row r="22" spans="1:24" ht="17">
      <c r="A22" t="s">
        <v>169</v>
      </c>
      <c r="B22" t="s">
        <v>170</v>
      </c>
      <c r="C22">
        <v>632645</v>
      </c>
      <c r="D22">
        <v>646</v>
      </c>
      <c r="H22">
        <v>363</v>
      </c>
      <c r="I22">
        <v>150</v>
      </c>
      <c r="J22" s="13">
        <v>412</v>
      </c>
      <c r="K22">
        <v>26</v>
      </c>
      <c r="L22">
        <v>0.1</v>
      </c>
      <c r="M22">
        <v>20</v>
      </c>
      <c r="N22" t="s">
        <v>50</v>
      </c>
      <c r="O22">
        <f>7*24</f>
        <v>168</v>
      </c>
      <c r="P22" s="2" t="s">
        <v>94</v>
      </c>
      <c r="Q22">
        <v>145</v>
      </c>
      <c r="R22">
        <v>590</v>
      </c>
      <c r="S22">
        <v>98</v>
      </c>
      <c r="T22">
        <v>346</v>
      </c>
      <c r="U22">
        <f>Q22*500+R22*1600+T22*420+S22*840</f>
        <v>1244140</v>
      </c>
      <c r="V22">
        <v>20343</v>
      </c>
      <c r="W22">
        <v>216</v>
      </c>
      <c r="X22">
        <v>41</v>
      </c>
    </row>
    <row r="23" spans="1:24">
      <c r="A23" t="s">
        <v>169</v>
      </c>
      <c r="B23">
        <v>645</v>
      </c>
      <c r="E23" t="s">
        <v>175</v>
      </c>
      <c r="F23" t="s">
        <v>203</v>
      </c>
      <c r="H23">
        <v>170</v>
      </c>
    </row>
    <row r="24" spans="1:24">
      <c r="A24" t="s">
        <v>169</v>
      </c>
      <c r="B24">
        <v>646</v>
      </c>
      <c r="E24" t="s">
        <v>177</v>
      </c>
      <c r="F24" t="s">
        <v>204</v>
      </c>
      <c r="H24">
        <v>230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EF4BD-D0A2-FC45-BEE7-33012DE4E129}">
  <dimension ref="A1:W24"/>
  <sheetViews>
    <sheetView topLeftCell="D6" zoomScale="130" zoomScaleNormal="130" workbookViewId="0">
      <selection activeCell="D23" sqref="D23"/>
    </sheetView>
  </sheetViews>
  <sheetFormatPr baseColWidth="10" defaultRowHeight="16"/>
  <cols>
    <col min="1" max="1" width="15.33203125" customWidth="1"/>
    <col min="2" max="2" width="16.6640625" customWidth="1"/>
    <col min="3" max="3" width="12.33203125" customWidth="1"/>
    <col min="4" max="5" width="12.6640625" customWidth="1"/>
    <col min="6" max="6" width="22.5" customWidth="1"/>
    <col min="7" max="7" width="15.1640625" customWidth="1"/>
    <col min="8" max="8" width="18" customWidth="1"/>
    <col min="9" max="9" width="18.83203125" customWidth="1"/>
    <col min="10" max="11" width="11.6640625" customWidth="1"/>
    <col min="12" max="12" width="22.5" customWidth="1"/>
    <col min="13" max="13" width="18.83203125" customWidth="1"/>
    <col min="14" max="14" width="17.1640625" customWidth="1"/>
    <col min="15" max="22" width="22.5" customWidth="1"/>
  </cols>
  <sheetData>
    <row r="1" spans="1:23">
      <c r="A1" t="s">
        <v>127</v>
      </c>
    </row>
    <row r="3" spans="1:23">
      <c r="A3" t="s">
        <v>150</v>
      </c>
      <c r="Q3" t="s">
        <v>153</v>
      </c>
    </row>
    <row r="4" spans="1:23">
      <c r="A4" t="s">
        <v>149</v>
      </c>
      <c r="Q4" t="s">
        <v>154</v>
      </c>
    </row>
    <row r="5" spans="1:23">
      <c r="A5" t="s">
        <v>152</v>
      </c>
    </row>
    <row r="6" spans="1:23">
      <c r="A6" t="s">
        <v>151</v>
      </c>
      <c r="O6" t="s">
        <v>45</v>
      </c>
      <c r="P6" t="s">
        <v>135</v>
      </c>
    </row>
    <row r="8" spans="1:23">
      <c r="I8" t="s">
        <v>182</v>
      </c>
      <c r="K8">
        <f>133/331</f>
        <v>0.40181268882175225</v>
      </c>
    </row>
    <row r="9" spans="1:23">
      <c r="I9" t="s">
        <v>148</v>
      </c>
      <c r="O9" t="s">
        <v>136</v>
      </c>
      <c r="S9" t="s">
        <v>142</v>
      </c>
      <c r="T9" t="s">
        <v>186</v>
      </c>
      <c r="U9" t="s">
        <v>187</v>
      </c>
    </row>
    <row r="10" spans="1:23" ht="48" customHeight="1">
      <c r="A10" t="s">
        <v>130</v>
      </c>
      <c r="B10" t="s">
        <v>128</v>
      </c>
      <c r="C10" t="s">
        <v>133</v>
      </c>
      <c r="D10" t="s">
        <v>129</v>
      </c>
      <c r="E10" t="s">
        <v>144</v>
      </c>
      <c r="F10" t="s">
        <v>88</v>
      </c>
      <c r="G10" s="2" t="s">
        <v>147</v>
      </c>
      <c r="H10" s="2" t="s">
        <v>146</v>
      </c>
      <c r="I10" s="2" t="s">
        <v>145</v>
      </c>
      <c r="J10" t="s">
        <v>89</v>
      </c>
      <c r="K10" t="s">
        <v>90</v>
      </c>
      <c r="L10" s="2" t="s">
        <v>46</v>
      </c>
      <c r="M10" s="2" t="s">
        <v>53</v>
      </c>
      <c r="N10" s="2" t="s">
        <v>71</v>
      </c>
      <c r="O10" s="2" t="s">
        <v>137</v>
      </c>
      <c r="P10" s="2" t="s">
        <v>138</v>
      </c>
      <c r="Q10" s="2" t="s">
        <v>140</v>
      </c>
      <c r="R10" s="2" t="s">
        <v>139</v>
      </c>
      <c r="S10" s="2" t="s">
        <v>141</v>
      </c>
      <c r="T10" s="2" t="s">
        <v>107</v>
      </c>
      <c r="U10" s="2" t="s">
        <v>106</v>
      </c>
      <c r="V10" s="2" t="s">
        <v>105</v>
      </c>
      <c r="W10" s="2" t="s">
        <v>99</v>
      </c>
    </row>
    <row r="11" spans="1:23" ht="17">
      <c r="A11" t="s">
        <v>131</v>
      </c>
      <c r="B11" t="s">
        <v>132</v>
      </c>
      <c r="C11" t="s">
        <v>134</v>
      </c>
      <c r="D11">
        <v>634</v>
      </c>
      <c r="F11" t="s">
        <v>165</v>
      </c>
      <c r="G11">
        <v>400</v>
      </c>
      <c r="H11">
        <v>178.38</v>
      </c>
      <c r="I11">
        <v>63.57</v>
      </c>
      <c r="J11">
        <v>0.1</v>
      </c>
      <c r="K11">
        <v>20</v>
      </c>
      <c r="L11" t="s">
        <v>50</v>
      </c>
      <c r="M11">
        <f>7*24</f>
        <v>168</v>
      </c>
      <c r="N11" s="2" t="s">
        <v>94</v>
      </c>
      <c r="O11" s="2">
        <v>165</v>
      </c>
      <c r="P11" s="2">
        <v>440</v>
      </c>
      <c r="Q11" s="2">
        <v>79</v>
      </c>
      <c r="R11" s="2">
        <v>307</v>
      </c>
      <c r="S11">
        <f>O11*500+P11*1600+R11*420+Q11*840</f>
        <v>981800</v>
      </c>
      <c r="T11" s="2">
        <v>-1521</v>
      </c>
      <c r="U11" s="2">
        <v>2024</v>
      </c>
      <c r="V11">
        <v>77</v>
      </c>
    </row>
    <row r="12" spans="1:23">
      <c r="A12" t="s">
        <v>131</v>
      </c>
      <c r="B12" t="s">
        <v>155</v>
      </c>
      <c r="E12" t="s">
        <v>143</v>
      </c>
      <c r="F12" t="s">
        <v>165</v>
      </c>
      <c r="G12">
        <v>160</v>
      </c>
    </row>
    <row r="13" spans="1:23">
      <c r="A13" t="s">
        <v>131</v>
      </c>
      <c r="B13" t="s">
        <v>156</v>
      </c>
      <c r="E13" t="s">
        <v>143</v>
      </c>
      <c r="F13" t="s">
        <v>165</v>
      </c>
      <c r="G13">
        <v>120</v>
      </c>
    </row>
    <row r="14" spans="1:23">
      <c r="A14" t="s">
        <v>131</v>
      </c>
      <c r="B14" t="s">
        <v>157</v>
      </c>
      <c r="E14" t="s">
        <v>143</v>
      </c>
      <c r="F14" t="s">
        <v>165</v>
      </c>
      <c r="G14">
        <v>120</v>
      </c>
    </row>
    <row r="15" spans="1:23" ht="17">
      <c r="A15" t="s">
        <v>158</v>
      </c>
      <c r="B15" t="s">
        <v>159</v>
      </c>
      <c r="C15" s="10" t="s">
        <v>163</v>
      </c>
      <c r="D15" t="s">
        <v>164</v>
      </c>
      <c r="F15" t="s">
        <v>183</v>
      </c>
      <c r="G15">
        <v>772.9</v>
      </c>
      <c r="H15">
        <v>426</v>
      </c>
      <c r="I15">
        <v>217</v>
      </c>
      <c r="J15">
        <v>0.1</v>
      </c>
      <c r="K15">
        <v>20</v>
      </c>
      <c r="L15" t="s">
        <v>50</v>
      </c>
      <c r="M15">
        <f>7*24</f>
        <v>168</v>
      </c>
      <c r="N15" s="2" t="s">
        <v>94</v>
      </c>
      <c r="O15">
        <v>265</v>
      </c>
      <c r="P15">
        <v>1234</v>
      </c>
      <c r="Q15">
        <v>198</v>
      </c>
      <c r="R15">
        <v>553</v>
      </c>
      <c r="S15">
        <f>O15*500+P15*1600+R15*420+Q15*840</f>
        <v>2505480</v>
      </c>
      <c r="T15">
        <v>214920</v>
      </c>
      <c r="U15">
        <v>307</v>
      </c>
      <c r="V15">
        <v>54</v>
      </c>
    </row>
    <row r="16" spans="1:23">
      <c r="A16" t="s">
        <v>158</v>
      </c>
      <c r="B16" t="s">
        <v>160</v>
      </c>
      <c r="E16" t="s">
        <v>171</v>
      </c>
      <c r="F16" t="s">
        <v>172</v>
      </c>
      <c r="G16">
        <v>485</v>
      </c>
    </row>
    <row r="17" spans="1:22">
      <c r="A17" t="s">
        <v>158</v>
      </c>
      <c r="B17" t="s">
        <v>161</v>
      </c>
      <c r="E17" t="s">
        <v>181</v>
      </c>
      <c r="F17" t="s">
        <v>178</v>
      </c>
      <c r="G17">
        <v>68</v>
      </c>
    </row>
    <row r="18" spans="1:22">
      <c r="A18" t="s">
        <v>158</v>
      </c>
      <c r="B18" t="s">
        <v>162</v>
      </c>
      <c r="E18" t="s">
        <v>173</v>
      </c>
      <c r="F18" t="s">
        <v>174</v>
      </c>
      <c r="G18">
        <v>290</v>
      </c>
    </row>
    <row r="19" spans="1:22" ht="17">
      <c r="A19" t="s">
        <v>167</v>
      </c>
      <c r="B19" t="s">
        <v>166</v>
      </c>
      <c r="C19" t="s">
        <v>168</v>
      </c>
      <c r="D19">
        <v>684</v>
      </c>
      <c r="F19" t="s">
        <v>184</v>
      </c>
      <c r="G19">
        <f>170+128</f>
        <v>298</v>
      </c>
      <c r="H19">
        <v>127.7</v>
      </c>
      <c r="I19">
        <v>53.33</v>
      </c>
      <c r="J19">
        <v>0.1</v>
      </c>
      <c r="K19">
        <v>20</v>
      </c>
      <c r="L19" t="s">
        <v>50</v>
      </c>
      <c r="M19">
        <f>7*24</f>
        <v>168</v>
      </c>
      <c r="N19" s="2" t="s">
        <v>94</v>
      </c>
      <c r="O19">
        <v>81</v>
      </c>
      <c r="P19">
        <v>432</v>
      </c>
      <c r="Q19">
        <v>83</v>
      </c>
      <c r="R19">
        <v>225</v>
      </c>
      <c r="S19">
        <f>O19*500+P19*1600+R19*420+Q19*840</f>
        <v>895920</v>
      </c>
      <c r="T19">
        <v>109888</v>
      </c>
      <c r="U19">
        <v>1067</v>
      </c>
      <c r="V19">
        <v>87</v>
      </c>
    </row>
    <row r="20" spans="1:22">
      <c r="A20" t="s">
        <v>167</v>
      </c>
      <c r="B20">
        <v>611</v>
      </c>
      <c r="E20" t="s">
        <v>175</v>
      </c>
      <c r="F20" t="s">
        <v>180</v>
      </c>
      <c r="G20">
        <v>170</v>
      </c>
    </row>
    <row r="21" spans="1:22">
      <c r="A21" t="s">
        <v>167</v>
      </c>
      <c r="B21">
        <v>652</v>
      </c>
      <c r="E21" t="s">
        <v>181</v>
      </c>
      <c r="F21" t="s">
        <v>178</v>
      </c>
      <c r="G21">
        <v>128</v>
      </c>
    </row>
    <row r="22" spans="1:22" ht="17">
      <c r="A22" t="s">
        <v>169</v>
      </c>
      <c r="B22" t="s">
        <v>170</v>
      </c>
      <c r="C22">
        <v>632645</v>
      </c>
      <c r="D22">
        <v>646</v>
      </c>
      <c r="F22" t="s">
        <v>185</v>
      </c>
      <c r="G22">
        <v>363</v>
      </c>
      <c r="H22">
        <v>231</v>
      </c>
      <c r="I22">
        <v>89</v>
      </c>
      <c r="J22">
        <v>0.1</v>
      </c>
      <c r="K22">
        <v>20</v>
      </c>
      <c r="L22" t="s">
        <v>50</v>
      </c>
      <c r="M22">
        <f>7*24</f>
        <v>168</v>
      </c>
      <c r="N22" s="2" t="s">
        <v>94</v>
      </c>
      <c r="O22">
        <v>145</v>
      </c>
      <c r="P22">
        <v>590</v>
      </c>
      <c r="Q22">
        <v>98</v>
      </c>
      <c r="R22">
        <v>346</v>
      </c>
      <c r="S22">
        <f>O22*500+P22*1600+R22*420+Q22*840</f>
        <v>1244140</v>
      </c>
      <c r="T22">
        <v>20343</v>
      </c>
      <c r="U22">
        <v>216</v>
      </c>
      <c r="V22">
        <v>41</v>
      </c>
    </row>
    <row r="23" spans="1:22">
      <c r="A23" t="s">
        <v>169</v>
      </c>
      <c r="B23">
        <v>645</v>
      </c>
      <c r="E23" t="s">
        <v>176</v>
      </c>
      <c r="F23" t="s">
        <v>179</v>
      </c>
      <c r="G23">
        <v>170</v>
      </c>
    </row>
    <row r="24" spans="1:22">
      <c r="A24" t="s">
        <v>169</v>
      </c>
      <c r="B24">
        <v>646</v>
      </c>
      <c r="E24" t="s">
        <v>177</v>
      </c>
      <c r="F24" t="s">
        <v>178</v>
      </c>
      <c r="G24">
        <v>230</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B282-24B3-4444-829E-2D855F3D6C7A}">
  <dimension ref="A4:O32"/>
  <sheetViews>
    <sheetView zoomScale="120" zoomScaleNormal="120" workbookViewId="0">
      <selection activeCell="A4" sqref="A4"/>
    </sheetView>
  </sheetViews>
  <sheetFormatPr baseColWidth="10" defaultRowHeight="16"/>
  <cols>
    <col min="1" max="1" width="26.1640625" customWidth="1"/>
    <col min="2" max="2" width="27.1640625" customWidth="1"/>
    <col min="3" max="3" width="18" customWidth="1"/>
    <col min="4" max="4" width="21.33203125" customWidth="1"/>
    <col min="6" max="6" width="10.83203125" customWidth="1"/>
    <col min="7" max="7" width="19" customWidth="1"/>
    <col min="8" max="8" width="21.1640625" customWidth="1"/>
    <col min="9" max="9" width="18.5" customWidth="1"/>
    <col min="10" max="10" width="16.33203125" bestFit="1" customWidth="1"/>
    <col min="11" max="11" width="23.83203125" customWidth="1"/>
    <col min="12" max="12" width="16.1640625" customWidth="1"/>
  </cols>
  <sheetData>
    <row r="4" spans="1:11">
      <c r="A4" t="s">
        <v>40</v>
      </c>
    </row>
    <row r="5" spans="1:11">
      <c r="A5" t="s">
        <v>126</v>
      </c>
    </row>
    <row r="6" spans="1:11">
      <c r="I6" t="s">
        <v>24</v>
      </c>
    </row>
    <row r="7" spans="1:11" ht="85">
      <c r="A7" s="2" t="s">
        <v>10</v>
      </c>
      <c r="B7" s="2" t="s">
        <v>30</v>
      </c>
      <c r="C7" s="2" t="s">
        <v>9</v>
      </c>
      <c r="D7" s="2" t="s">
        <v>17</v>
      </c>
      <c r="E7" s="2" t="s">
        <v>15</v>
      </c>
      <c r="F7" s="2" t="s">
        <v>14</v>
      </c>
      <c r="G7" s="2" t="s">
        <v>23</v>
      </c>
      <c r="H7" s="2" t="s">
        <v>12</v>
      </c>
      <c r="I7" s="2" t="s">
        <v>25</v>
      </c>
      <c r="J7" s="2" t="s">
        <v>13</v>
      </c>
      <c r="K7" s="2" t="s">
        <v>22</v>
      </c>
    </row>
    <row r="8" spans="1:11">
      <c r="A8" t="s">
        <v>82</v>
      </c>
      <c r="B8" t="s">
        <v>31</v>
      </c>
      <c r="C8" t="s">
        <v>11</v>
      </c>
      <c r="D8">
        <v>52000</v>
      </c>
      <c r="E8" t="s">
        <v>18</v>
      </c>
      <c r="F8" s="7">
        <v>300</v>
      </c>
      <c r="G8">
        <f>F8*0.5*8760</f>
        <v>1314000</v>
      </c>
      <c r="H8">
        <v>150</v>
      </c>
      <c r="I8">
        <v>27.4</v>
      </c>
      <c r="J8">
        <v>480</v>
      </c>
      <c r="K8">
        <v>202082</v>
      </c>
    </row>
    <row r="9" spans="1:11">
      <c r="A9" t="s">
        <v>83</v>
      </c>
      <c r="B9" t="s">
        <v>87</v>
      </c>
      <c r="C9" t="s">
        <v>11</v>
      </c>
      <c r="D9">
        <v>52000</v>
      </c>
      <c r="E9" t="s">
        <v>19</v>
      </c>
      <c r="F9" s="7">
        <v>200</v>
      </c>
      <c r="G9">
        <f t="shared" ref="G9:G12" si="0">F9*0.5*8760</f>
        <v>876000</v>
      </c>
      <c r="H9">
        <v>100</v>
      </c>
      <c r="I9">
        <v>16.57</v>
      </c>
      <c r="J9">
        <v>351.89</v>
      </c>
      <c r="K9">
        <v>223009</v>
      </c>
    </row>
    <row r="10" spans="1:11" ht="18">
      <c r="A10" t="s">
        <v>28</v>
      </c>
      <c r="B10" t="s">
        <v>32</v>
      </c>
      <c r="C10" t="s">
        <v>16</v>
      </c>
      <c r="D10" s="3">
        <v>241351</v>
      </c>
      <c r="E10" t="s">
        <v>19</v>
      </c>
      <c r="F10" s="7">
        <v>1000</v>
      </c>
      <c r="G10">
        <f t="shared" si="0"/>
        <v>4380000</v>
      </c>
      <c r="H10">
        <v>500</v>
      </c>
      <c r="I10">
        <v>296</v>
      </c>
      <c r="J10">
        <v>801</v>
      </c>
      <c r="K10">
        <v>9054747</v>
      </c>
    </row>
    <row r="11" spans="1:11">
      <c r="A11" t="s">
        <v>84</v>
      </c>
      <c r="B11" t="s">
        <v>33</v>
      </c>
      <c r="C11" t="s">
        <v>20</v>
      </c>
      <c r="D11">
        <v>53628</v>
      </c>
      <c r="E11" t="s">
        <v>18</v>
      </c>
      <c r="F11" s="7">
        <v>600</v>
      </c>
      <c r="G11">
        <f t="shared" si="0"/>
        <v>2628000</v>
      </c>
      <c r="H11">
        <v>300</v>
      </c>
      <c r="I11">
        <v>52.24</v>
      </c>
      <c r="J11">
        <v>757.76</v>
      </c>
      <c r="K11">
        <v>1021224</v>
      </c>
    </row>
    <row r="12" spans="1:11">
      <c r="A12" t="s">
        <v>85</v>
      </c>
      <c r="B12" t="s">
        <v>34</v>
      </c>
      <c r="C12" t="s">
        <v>21</v>
      </c>
      <c r="D12">
        <v>45000</v>
      </c>
      <c r="E12" t="s">
        <v>18</v>
      </c>
      <c r="F12" s="7">
        <v>500</v>
      </c>
      <c r="G12">
        <f t="shared" si="0"/>
        <v>2190000</v>
      </c>
      <c r="H12">
        <v>250</v>
      </c>
      <c r="I12">
        <v>83.87</v>
      </c>
      <c r="J12">
        <v>429.38</v>
      </c>
      <c r="K12">
        <v>2260929</v>
      </c>
    </row>
    <row r="13" spans="1:11" ht="17" customHeight="1">
      <c r="A13" t="s">
        <v>37</v>
      </c>
      <c r="B13" t="s">
        <v>35</v>
      </c>
      <c r="C13" t="s">
        <v>39</v>
      </c>
      <c r="D13">
        <v>5500</v>
      </c>
      <c r="E13" t="s">
        <v>18</v>
      </c>
      <c r="F13" s="7">
        <v>400</v>
      </c>
      <c r="G13">
        <f>F13*0.5*8760</f>
        <v>1752000</v>
      </c>
      <c r="H13">
        <v>200</v>
      </c>
      <c r="I13">
        <v>85</v>
      </c>
      <c r="J13">
        <v>351</v>
      </c>
      <c r="K13">
        <v>972090</v>
      </c>
    </row>
    <row r="14" spans="1:11">
      <c r="A14" t="s">
        <v>81</v>
      </c>
      <c r="B14" t="s">
        <v>80</v>
      </c>
      <c r="C14" t="s">
        <v>86</v>
      </c>
      <c r="D14">
        <v>33740</v>
      </c>
      <c r="E14" t="s">
        <v>18</v>
      </c>
      <c r="F14" s="7">
        <v>3000</v>
      </c>
      <c r="G14">
        <f>F14*0.5*8760</f>
        <v>13140000</v>
      </c>
      <c r="H14">
        <v>1500</v>
      </c>
      <c r="I14">
        <v>535</v>
      </c>
      <c r="J14">
        <v>3364</v>
      </c>
      <c r="K14">
        <v>424956</v>
      </c>
    </row>
    <row r="16" spans="1:11">
      <c r="A16" t="s">
        <v>91</v>
      </c>
      <c r="B16" t="s">
        <v>43</v>
      </c>
      <c r="F16" s="4"/>
      <c r="G16" s="1">
        <v>26280000</v>
      </c>
      <c r="H16" s="1">
        <v>3000</v>
      </c>
      <c r="I16" s="1">
        <v>1325.5</v>
      </c>
      <c r="J16" s="1">
        <v>6264</v>
      </c>
    </row>
    <row r="17" spans="1:15">
      <c r="A17" t="s">
        <v>92</v>
      </c>
      <c r="B17" t="s">
        <v>93</v>
      </c>
      <c r="G17">
        <v>13140000</v>
      </c>
      <c r="H17">
        <v>1500</v>
      </c>
      <c r="I17">
        <v>772.3</v>
      </c>
      <c r="J17">
        <v>2975</v>
      </c>
    </row>
    <row r="20" spans="1:15">
      <c r="A20" t="s">
        <v>45</v>
      </c>
      <c r="B20" t="s">
        <v>96</v>
      </c>
    </row>
    <row r="22" spans="1:15" ht="51">
      <c r="A22" t="s">
        <v>114</v>
      </c>
      <c r="B22" t="s">
        <v>88</v>
      </c>
      <c r="C22" t="s">
        <v>89</v>
      </c>
      <c r="D22" t="s">
        <v>90</v>
      </c>
      <c r="E22" s="2" t="s">
        <v>46</v>
      </c>
      <c r="F22" s="2" t="s">
        <v>53</v>
      </c>
      <c r="G22" s="2" t="s">
        <v>71</v>
      </c>
      <c r="H22" s="2" t="s">
        <v>55</v>
      </c>
      <c r="I22" s="2" t="s">
        <v>125</v>
      </c>
      <c r="J22" s="2" t="s">
        <v>107</v>
      </c>
      <c r="K22" s="2" t="s">
        <v>106</v>
      </c>
      <c r="L22" s="2" t="s">
        <v>105</v>
      </c>
      <c r="M22" s="2" t="s">
        <v>99</v>
      </c>
      <c r="N22" s="2"/>
      <c r="O22" s="2"/>
    </row>
    <row r="23" spans="1:15" ht="88" customHeight="1">
      <c r="A23" s="2" t="s">
        <v>118</v>
      </c>
      <c r="B23" t="s">
        <v>91</v>
      </c>
      <c r="C23">
        <v>0.1</v>
      </c>
      <c r="D23">
        <v>20</v>
      </c>
      <c r="E23" t="s">
        <v>50</v>
      </c>
      <c r="F23">
        <f>7*24</f>
        <v>168</v>
      </c>
      <c r="G23" s="2" t="s">
        <v>94</v>
      </c>
      <c r="H23" s="2" t="s">
        <v>97</v>
      </c>
      <c r="I23" s="2"/>
      <c r="J23" s="5">
        <v>1645427</v>
      </c>
      <c r="K23" s="2">
        <v>292</v>
      </c>
      <c r="L23" s="2">
        <v>77</v>
      </c>
      <c r="M23" s="2" t="s">
        <v>100</v>
      </c>
      <c r="N23" s="2"/>
      <c r="O23" s="2"/>
    </row>
    <row r="24" spans="1:15" ht="69">
      <c r="A24" s="2" t="s">
        <v>117</v>
      </c>
      <c r="B24" t="s">
        <v>91</v>
      </c>
      <c r="C24">
        <v>0.1</v>
      </c>
      <c r="D24">
        <v>20</v>
      </c>
      <c r="E24" t="s">
        <v>50</v>
      </c>
      <c r="F24">
        <v>24</v>
      </c>
      <c r="G24" s="2" t="s">
        <v>94</v>
      </c>
      <c r="H24" s="2" t="s">
        <v>98</v>
      </c>
      <c r="I24" s="2"/>
      <c r="J24" s="5">
        <v>2294249</v>
      </c>
      <c r="K24">
        <v>281</v>
      </c>
      <c r="L24">
        <v>74</v>
      </c>
      <c r="M24" t="s">
        <v>101</v>
      </c>
    </row>
    <row r="25" spans="1:15" ht="69">
      <c r="A25" s="2" t="s">
        <v>116</v>
      </c>
      <c r="B25" t="s">
        <v>91</v>
      </c>
      <c r="C25">
        <v>0.1</v>
      </c>
      <c r="D25">
        <v>20</v>
      </c>
      <c r="E25" t="s">
        <v>50</v>
      </c>
      <c r="F25">
        <v>168</v>
      </c>
      <c r="G25" s="2" t="s">
        <v>95</v>
      </c>
      <c r="H25" s="2" t="s">
        <v>102</v>
      </c>
      <c r="I25" s="2"/>
      <c r="J25" s="9">
        <v>2180251</v>
      </c>
      <c r="K25" s="8">
        <v>117</v>
      </c>
      <c r="L25">
        <v>27</v>
      </c>
      <c r="M25" t="s">
        <v>115</v>
      </c>
    </row>
    <row r="26" spans="1:15" ht="68">
      <c r="A26" s="2" t="s">
        <v>119</v>
      </c>
      <c r="B26" t="s">
        <v>92</v>
      </c>
      <c r="C26">
        <v>0.1</v>
      </c>
      <c r="D26">
        <v>20</v>
      </c>
      <c r="E26" t="s">
        <v>50</v>
      </c>
      <c r="F26">
        <f>7*24</f>
        <v>168</v>
      </c>
      <c r="G26" s="2" t="s">
        <v>94</v>
      </c>
      <c r="H26" s="2" t="s">
        <v>103</v>
      </c>
      <c r="I26" s="2"/>
      <c r="J26" s="9">
        <v>937421</v>
      </c>
      <c r="K26">
        <v>393</v>
      </c>
      <c r="L26">
        <v>71</v>
      </c>
      <c r="M26" t="s">
        <v>109</v>
      </c>
    </row>
    <row r="27" spans="1:15" ht="69">
      <c r="A27" s="2" t="s">
        <v>120</v>
      </c>
      <c r="B27" t="s">
        <v>81</v>
      </c>
      <c r="C27">
        <v>0.1</v>
      </c>
      <c r="D27">
        <v>20</v>
      </c>
      <c r="E27" t="s">
        <v>50</v>
      </c>
      <c r="F27">
        <f>7*24</f>
        <v>168</v>
      </c>
      <c r="G27" s="2" t="s">
        <v>94</v>
      </c>
      <c r="H27" s="2" t="s">
        <v>104</v>
      </c>
      <c r="I27" s="2"/>
      <c r="J27" s="5">
        <v>-12437</v>
      </c>
      <c r="K27">
        <v>544</v>
      </c>
      <c r="L27">
        <v>77</v>
      </c>
      <c r="M27" t="s">
        <v>113</v>
      </c>
    </row>
    <row r="28" spans="1:15" ht="69">
      <c r="A28" s="2" t="s">
        <v>121</v>
      </c>
      <c r="B28" t="s">
        <v>108</v>
      </c>
      <c r="C28">
        <v>0.1</v>
      </c>
      <c r="D28">
        <v>20</v>
      </c>
      <c r="E28" t="s">
        <v>50</v>
      </c>
      <c r="F28">
        <f t="shared" ref="F28:F29" si="1">7*24</f>
        <v>168</v>
      </c>
      <c r="G28" s="2" t="s">
        <v>94</v>
      </c>
      <c r="H28" s="2" t="s">
        <v>110</v>
      </c>
      <c r="I28" s="2"/>
      <c r="J28" s="5">
        <v>185930</v>
      </c>
      <c r="K28">
        <v>316</v>
      </c>
      <c r="L28">
        <v>58</v>
      </c>
      <c r="M28" t="s">
        <v>112</v>
      </c>
    </row>
    <row r="29" spans="1:15" ht="69">
      <c r="A29" s="2" t="s">
        <v>122</v>
      </c>
      <c r="B29" t="s">
        <v>111</v>
      </c>
      <c r="C29">
        <v>0.1</v>
      </c>
      <c r="D29">
        <v>20</v>
      </c>
      <c r="E29" t="s">
        <v>50</v>
      </c>
      <c r="F29">
        <f t="shared" si="1"/>
        <v>168</v>
      </c>
      <c r="G29" s="2" t="s">
        <v>94</v>
      </c>
      <c r="H29" s="2" t="s">
        <v>123</v>
      </c>
      <c r="I29" s="2"/>
      <c r="J29" s="5">
        <v>-25266</v>
      </c>
      <c r="K29">
        <v>283</v>
      </c>
      <c r="L29">
        <v>50</v>
      </c>
      <c r="M29" t="s">
        <v>124</v>
      </c>
    </row>
    <row r="30" spans="1:15">
      <c r="F30" s="2"/>
    </row>
    <row r="31" spans="1:15">
      <c r="F31" s="2"/>
    </row>
    <row r="32" spans="1:15">
      <c r="F32"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81737-4936-A046-81BA-9A7BC3A917C0}">
  <dimension ref="A3:W44"/>
  <sheetViews>
    <sheetView topLeftCell="A35" zoomScale="110" zoomScaleNormal="110" workbookViewId="0">
      <selection activeCell="A33" sqref="A33"/>
    </sheetView>
  </sheetViews>
  <sheetFormatPr baseColWidth="10" defaultRowHeight="16"/>
  <cols>
    <col min="1" max="1" width="22.83203125" customWidth="1"/>
    <col min="2" max="2" width="12.6640625" customWidth="1"/>
    <col min="3" max="3" width="12.83203125" customWidth="1"/>
    <col min="4" max="4" width="17.33203125" customWidth="1"/>
    <col min="5" max="5" width="18" customWidth="1"/>
    <col min="6" max="6" width="15" customWidth="1"/>
    <col min="7" max="7" width="17.33203125" customWidth="1"/>
    <col min="8" max="8" width="16.33203125" bestFit="1" customWidth="1"/>
    <col min="9" max="9" width="15.83203125" customWidth="1"/>
  </cols>
  <sheetData>
    <row r="3" spans="1:7">
      <c r="A3">
        <v>33740</v>
      </c>
      <c r="B3">
        <f>A3/1000</f>
        <v>33.74</v>
      </c>
      <c r="C3" t="s">
        <v>0</v>
      </c>
    </row>
    <row r="5" spans="1:7">
      <c r="A5">
        <v>19</v>
      </c>
    </row>
    <row r="6" spans="1:7">
      <c r="A6" t="s">
        <v>5</v>
      </c>
    </row>
    <row r="7" spans="1:7">
      <c r="A7" t="s">
        <v>4</v>
      </c>
    </row>
    <row r="8" spans="1:7">
      <c r="A8" t="s">
        <v>1</v>
      </c>
      <c r="B8" t="s">
        <v>2</v>
      </c>
      <c r="C8" t="s">
        <v>3</v>
      </c>
    </row>
    <row r="9" spans="1:7">
      <c r="A9">
        <v>19</v>
      </c>
      <c r="B9">
        <v>184036</v>
      </c>
      <c r="C9">
        <f>B9/A9</f>
        <v>9686.105263157895</v>
      </c>
    </row>
    <row r="10" spans="1:7">
      <c r="A10">
        <v>49</v>
      </c>
      <c r="B10">
        <v>297959</v>
      </c>
      <c r="C10">
        <f t="shared" ref="C10:C13" si="0">B10/A10</f>
        <v>6080.7959183673465</v>
      </c>
    </row>
    <row r="11" spans="1:7">
      <c r="A11">
        <v>44</v>
      </c>
      <c r="B11">
        <v>427938</v>
      </c>
      <c r="C11">
        <f t="shared" si="0"/>
        <v>9725.863636363636</v>
      </c>
    </row>
    <row r="12" spans="1:7">
      <c r="A12" t="s">
        <v>6</v>
      </c>
      <c r="C12" t="s">
        <v>3</v>
      </c>
      <c r="G12" t="s">
        <v>7</v>
      </c>
    </row>
    <row r="13" spans="1:7">
      <c r="A13">
        <v>76</v>
      </c>
      <c r="B13">
        <v>505713</v>
      </c>
      <c r="C13" s="1">
        <f t="shared" si="0"/>
        <v>6654.1184210526317</v>
      </c>
      <c r="D13" s="1"/>
      <c r="G13">
        <f>C13/365</f>
        <v>18.230461427541456</v>
      </c>
    </row>
    <row r="15" spans="1:7">
      <c r="C15" s="1">
        <f>C13*35</f>
        <v>232894.14473684211</v>
      </c>
      <c r="D15" s="1"/>
      <c r="E15" s="1" t="s">
        <v>8</v>
      </c>
      <c r="F15" s="1"/>
    </row>
    <row r="17" spans="1:23">
      <c r="A17" t="s">
        <v>40</v>
      </c>
    </row>
    <row r="18" spans="1:23">
      <c r="A18" t="s">
        <v>38</v>
      </c>
    </row>
    <row r="19" spans="1:23">
      <c r="J19" t="s">
        <v>24</v>
      </c>
    </row>
    <row r="20" spans="1:23" s="2" customFormat="1" ht="102">
      <c r="A20" s="2" t="s">
        <v>10</v>
      </c>
      <c r="B20" s="2" t="s">
        <v>30</v>
      </c>
      <c r="C20" s="2" t="s">
        <v>9</v>
      </c>
      <c r="D20" s="2" t="s">
        <v>17</v>
      </c>
      <c r="E20" s="2" t="s">
        <v>15</v>
      </c>
      <c r="G20" s="2" t="s">
        <v>14</v>
      </c>
      <c r="H20" s="2" t="s">
        <v>23</v>
      </c>
      <c r="I20" s="2" t="s">
        <v>12</v>
      </c>
      <c r="J20" s="2" t="s">
        <v>25</v>
      </c>
      <c r="K20" s="2" t="s">
        <v>13</v>
      </c>
      <c r="L20" s="2" t="s">
        <v>22</v>
      </c>
      <c r="W20" s="2">
        <f>1000000/100</f>
        <v>10000</v>
      </c>
    </row>
    <row r="21" spans="1:23">
      <c r="A21" t="s">
        <v>26</v>
      </c>
      <c r="B21" t="s">
        <v>31</v>
      </c>
      <c r="C21" t="s">
        <v>11</v>
      </c>
      <c r="D21">
        <v>52000</v>
      </c>
      <c r="E21" t="s">
        <v>18</v>
      </c>
      <c r="G21">
        <v>1000</v>
      </c>
      <c r="H21">
        <f>G21*0.5*8760</f>
        <v>4380000</v>
      </c>
      <c r="I21">
        <v>500</v>
      </c>
      <c r="J21">
        <v>91.5</v>
      </c>
      <c r="K21">
        <v>1599</v>
      </c>
      <c r="L21">
        <v>202082</v>
      </c>
      <c r="M21" t="s">
        <v>79</v>
      </c>
      <c r="W21">
        <f>30/5</f>
        <v>6</v>
      </c>
    </row>
    <row r="22" spans="1:23">
      <c r="A22" t="s">
        <v>27</v>
      </c>
      <c r="C22" t="s">
        <v>11</v>
      </c>
      <c r="D22">
        <v>52000</v>
      </c>
      <c r="E22" t="s">
        <v>19</v>
      </c>
      <c r="G22">
        <v>800</v>
      </c>
      <c r="H22">
        <f t="shared" ref="H22:H25" si="1">G22*0.5*8760</f>
        <v>3504000</v>
      </c>
      <c r="I22">
        <v>400</v>
      </c>
      <c r="J22">
        <v>66.27</v>
      </c>
      <c r="K22">
        <v>1408</v>
      </c>
      <c r="L22">
        <v>223009</v>
      </c>
      <c r="M22" t="s">
        <v>79</v>
      </c>
    </row>
    <row r="23" spans="1:23" ht="18">
      <c r="A23" t="s">
        <v>28</v>
      </c>
      <c r="B23" t="s">
        <v>32</v>
      </c>
      <c r="C23" t="s">
        <v>16</v>
      </c>
      <c r="D23" s="3">
        <v>241351</v>
      </c>
      <c r="E23" t="s">
        <v>19</v>
      </c>
      <c r="G23">
        <v>1000</v>
      </c>
      <c r="H23">
        <f t="shared" si="1"/>
        <v>4380000</v>
      </c>
      <c r="I23">
        <v>500</v>
      </c>
      <c r="J23">
        <v>296</v>
      </c>
      <c r="K23">
        <v>801</v>
      </c>
      <c r="L23">
        <v>9054747</v>
      </c>
    </row>
    <row r="24" spans="1:23">
      <c r="A24" t="s">
        <v>29</v>
      </c>
      <c r="B24" t="s">
        <v>33</v>
      </c>
      <c r="C24" t="s">
        <v>20</v>
      </c>
      <c r="D24">
        <v>53628</v>
      </c>
      <c r="E24" t="s">
        <v>18</v>
      </c>
      <c r="G24">
        <v>1000</v>
      </c>
      <c r="H24">
        <f t="shared" si="1"/>
        <v>4380000</v>
      </c>
      <c r="I24">
        <v>500</v>
      </c>
      <c r="J24">
        <v>87</v>
      </c>
      <c r="K24">
        <v>1263</v>
      </c>
      <c r="L24">
        <v>1021224</v>
      </c>
    </row>
    <row r="25" spans="1:23">
      <c r="A25" t="s">
        <v>36</v>
      </c>
      <c r="B25" t="s">
        <v>34</v>
      </c>
      <c r="C25" t="s">
        <v>21</v>
      </c>
      <c r="D25">
        <v>45000</v>
      </c>
      <c r="E25" t="s">
        <v>18</v>
      </c>
      <c r="G25">
        <v>800</v>
      </c>
      <c r="H25">
        <f t="shared" si="1"/>
        <v>3504000</v>
      </c>
      <c r="I25">
        <v>400</v>
      </c>
      <c r="J25">
        <v>134</v>
      </c>
      <c r="K25">
        <v>687</v>
      </c>
      <c r="L25">
        <v>2260929</v>
      </c>
    </row>
    <row r="26" spans="1:23">
      <c r="A26" t="s">
        <v>37</v>
      </c>
      <c r="B26" t="s">
        <v>35</v>
      </c>
      <c r="C26" t="s">
        <v>39</v>
      </c>
      <c r="D26">
        <v>5500</v>
      </c>
      <c r="E26" t="s">
        <v>18</v>
      </c>
      <c r="G26">
        <v>400</v>
      </c>
      <c r="H26">
        <f>G26*0.5*8760</f>
        <v>1752000</v>
      </c>
      <c r="I26">
        <v>200</v>
      </c>
      <c r="J26">
        <v>85</v>
      </c>
      <c r="K26">
        <v>351</v>
      </c>
      <c r="L26">
        <v>972090</v>
      </c>
    </row>
    <row r="27" spans="1:23">
      <c r="E27" t="s">
        <v>44</v>
      </c>
      <c r="G27">
        <f>SUM(G21:G26)</f>
        <v>5000</v>
      </c>
      <c r="H27">
        <f>SUM(H21:H26)</f>
        <v>21900000</v>
      </c>
      <c r="I27">
        <f ca="1">SUM(I21:I29)</f>
        <v>5000</v>
      </c>
      <c r="J27">
        <f ca="1">SUM(J21:J29)</f>
        <v>1818.77</v>
      </c>
      <c r="K27">
        <f ca="1">SUM(K21:K29)</f>
        <v>11944</v>
      </c>
      <c r="L27">
        <f t="shared" ref="L27" si="2">SUM(L21:L26)</f>
        <v>13734081</v>
      </c>
    </row>
    <row r="29" spans="1:23">
      <c r="A29" t="s">
        <v>42</v>
      </c>
      <c r="B29" t="s">
        <v>43</v>
      </c>
      <c r="G29" s="4"/>
      <c r="H29" s="1">
        <v>21900002</v>
      </c>
      <c r="I29" s="1">
        <v>2500</v>
      </c>
      <c r="J29" s="1">
        <v>1059</v>
      </c>
      <c r="K29" s="1">
        <v>5835</v>
      </c>
    </row>
    <row r="31" spans="1:23">
      <c r="A31" t="s">
        <v>41</v>
      </c>
    </row>
    <row r="33" spans="1:11">
      <c r="A33" t="s">
        <v>45</v>
      </c>
      <c r="B33" t="s">
        <v>73</v>
      </c>
    </row>
    <row r="34" spans="1:11">
      <c r="D34" t="s">
        <v>47</v>
      </c>
    </row>
    <row r="35" spans="1:11" s="2" customFormat="1" ht="51">
      <c r="A35" s="2" t="s">
        <v>46</v>
      </c>
      <c r="B35" s="2" t="s">
        <v>53</v>
      </c>
      <c r="C35" s="2" t="s">
        <v>71</v>
      </c>
      <c r="D35" s="2" t="s">
        <v>55</v>
      </c>
      <c r="E35" s="2" t="s">
        <v>56</v>
      </c>
      <c r="F35" s="2" t="s">
        <v>51</v>
      </c>
      <c r="G35" s="2" t="s">
        <v>64</v>
      </c>
      <c r="H35" s="2" t="s">
        <v>57</v>
      </c>
      <c r="I35" s="2" t="s">
        <v>58</v>
      </c>
      <c r="J35" s="2" t="s">
        <v>52</v>
      </c>
    </row>
    <row r="36" spans="1:11" ht="69">
      <c r="A36" t="s">
        <v>48</v>
      </c>
      <c r="B36">
        <v>24</v>
      </c>
      <c r="C36" t="s">
        <v>72</v>
      </c>
      <c r="D36" s="2" t="s">
        <v>54</v>
      </c>
      <c r="E36" s="5">
        <v>-1689564</v>
      </c>
      <c r="F36">
        <v>8</v>
      </c>
      <c r="H36" s="2" t="s">
        <v>59</v>
      </c>
      <c r="I36" s="5">
        <v>1931671</v>
      </c>
      <c r="J36">
        <v>1</v>
      </c>
    </row>
    <row r="37" spans="1:11">
      <c r="A37" t="s">
        <v>49</v>
      </c>
      <c r="B37">
        <v>24</v>
      </c>
      <c r="C37" t="s">
        <v>72</v>
      </c>
      <c r="D37" t="s">
        <v>62</v>
      </c>
    </row>
    <row r="38" spans="1:11" ht="69">
      <c r="A38" t="s">
        <v>50</v>
      </c>
      <c r="B38">
        <v>24</v>
      </c>
      <c r="C38" t="s">
        <v>72</v>
      </c>
      <c r="D38" s="2" t="s">
        <v>61</v>
      </c>
      <c r="E38" s="5">
        <v>-154734</v>
      </c>
      <c r="F38">
        <v>14</v>
      </c>
      <c r="H38" s="2" t="s">
        <v>60</v>
      </c>
      <c r="I38" s="5">
        <v>1931671</v>
      </c>
      <c r="J38">
        <v>1</v>
      </c>
    </row>
    <row r="39" spans="1:11" ht="69">
      <c r="A39" t="s">
        <v>48</v>
      </c>
      <c r="B39">
        <f>7*24</f>
        <v>168</v>
      </c>
      <c r="C39" t="s">
        <v>72</v>
      </c>
      <c r="D39" s="2" t="s">
        <v>63</v>
      </c>
      <c r="E39" s="5">
        <v>-5944586</v>
      </c>
      <c r="F39">
        <v>70</v>
      </c>
      <c r="G39" s="6">
        <v>0.13</v>
      </c>
      <c r="H39" s="2" t="s">
        <v>59</v>
      </c>
      <c r="I39" s="5">
        <v>1931671</v>
      </c>
      <c r="J39">
        <v>1</v>
      </c>
    </row>
    <row r="40" spans="1:11" ht="86">
      <c r="A40" t="s">
        <v>49</v>
      </c>
      <c r="B40">
        <v>168</v>
      </c>
      <c r="C40" t="s">
        <v>72</v>
      </c>
      <c r="D40" s="2" t="s">
        <v>65</v>
      </c>
      <c r="E40" s="5">
        <v>-5920757</v>
      </c>
      <c r="F40">
        <v>81</v>
      </c>
      <c r="G40" s="6">
        <v>0.16</v>
      </c>
      <c r="H40" s="2" t="s">
        <v>66</v>
      </c>
      <c r="I40" s="5">
        <v>1931723</v>
      </c>
      <c r="J40">
        <v>1</v>
      </c>
    </row>
    <row r="41" spans="1:11" ht="69">
      <c r="A41" t="s">
        <v>50</v>
      </c>
      <c r="B41">
        <f>7*24</f>
        <v>168</v>
      </c>
      <c r="C41" t="s">
        <v>72</v>
      </c>
      <c r="D41" s="2" t="s">
        <v>68</v>
      </c>
      <c r="E41" s="5">
        <v>357608</v>
      </c>
      <c r="F41">
        <v>69</v>
      </c>
      <c r="G41" s="6">
        <v>0.12</v>
      </c>
      <c r="H41" s="2" t="s">
        <v>60</v>
      </c>
      <c r="I41" s="5">
        <v>1931671</v>
      </c>
      <c r="J41">
        <v>1</v>
      </c>
      <c r="K41" t="s">
        <v>75</v>
      </c>
    </row>
    <row r="42" spans="1:11" ht="69">
      <c r="A42" t="s">
        <v>50</v>
      </c>
      <c r="B42">
        <f>7*24</f>
        <v>168</v>
      </c>
      <c r="C42" t="s">
        <v>74</v>
      </c>
      <c r="D42" s="2" t="s">
        <v>77</v>
      </c>
      <c r="E42" s="5">
        <v>67193</v>
      </c>
      <c r="F42">
        <v>164</v>
      </c>
      <c r="G42" s="6">
        <v>0.59</v>
      </c>
      <c r="H42" s="2"/>
      <c r="I42" s="5"/>
    </row>
    <row r="43" spans="1:11" ht="69">
      <c r="A43" t="s">
        <v>50</v>
      </c>
      <c r="B43">
        <f>7*24</f>
        <v>168</v>
      </c>
      <c r="C43" t="s">
        <v>76</v>
      </c>
      <c r="D43" s="2" t="s">
        <v>78</v>
      </c>
      <c r="E43" s="5">
        <v>116395</v>
      </c>
      <c r="F43">
        <v>158</v>
      </c>
      <c r="G43" s="6">
        <v>0.55000000000000004</v>
      </c>
      <c r="K43" t="s">
        <v>67</v>
      </c>
    </row>
    <row r="44" spans="1:11" ht="69">
      <c r="A44" t="s">
        <v>48</v>
      </c>
      <c r="B44" t="s">
        <v>69</v>
      </c>
      <c r="H44" s="2" t="s">
        <v>60</v>
      </c>
      <c r="I44" s="5">
        <v>1931671</v>
      </c>
      <c r="J44">
        <v>1</v>
      </c>
      <c r="K44" t="s">
        <v>70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12282020_Lehigh</vt:lpstr>
      <vt:lpstr>12222020_Lehigh</vt:lpstr>
      <vt:lpstr>121620_Lehigh</vt:lpstr>
      <vt:lpstr>112320_Lehigh.dss</vt:lpstr>
      <vt:lpstr>6_build+resid_11032020</vt:lpstr>
      <vt:lpstr>6_buildings_10282020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2020-09-13T05:26:14Z</dcterms:created>
  <dcterms:modified xsi:type="dcterms:W3CDTF">2020-12-29T00:23:32Z</dcterms:modified>
</cp:coreProperties>
</file>