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ha\Documents\TU Delft\3rd year\B46\"/>
    </mc:Choice>
  </mc:AlternateContent>
  <xr:revisionPtr revIDLastSave="0" documentId="13_ncr:1_{AB364659-6750-4803-B62E-962EBC6683D7}" xr6:coauthVersionLast="45" xr6:coauthVersionMax="45" xr10:uidLastSave="{00000000-0000-0000-0000-000000000000}"/>
  <bookViews>
    <workbookView xWindow="-108" yWindow="-108" windowWidth="23256" windowHeight="12576" xr2:uid="{5008F018-13B4-4359-9C8A-2157D6F30E3E}"/>
  </bookViews>
  <sheets>
    <sheet name="USE THIS ONE" sheetId="10" r:id="rId1"/>
    <sheet name="Meas 1" sheetId="1" r:id="rId2"/>
    <sheet name="Meas 1 Thurst data" sheetId="2" r:id="rId3"/>
    <sheet name="Meas 1 curves" sheetId="3" r:id="rId4"/>
    <sheet name="Meas 2" sheetId="4" r:id="rId5"/>
    <sheet name="Meas 2 Trhurst" sheetId="5" r:id="rId6"/>
    <sheet name="Meas 1 (2)" sheetId="8" r:id="rId7"/>
    <sheet name="Meas real1 Thurst" sheetId="6" r:id="rId8"/>
    <sheet name="Meas 2 (2)" sheetId="9" r:id="rId9"/>
    <sheet name="Meas real2 Thrust" sheetId="7" r:id="rId10"/>
  </sheets>
  <calcPr calcId="19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2" i="10" l="1"/>
  <c r="AD13" i="10"/>
  <c r="AD14" i="10"/>
  <c r="AD15" i="10"/>
  <c r="AD16" i="10"/>
  <c r="AD11" i="10"/>
  <c r="AC12" i="10"/>
  <c r="AC13" i="10"/>
  <c r="AC14" i="10"/>
  <c r="AC15" i="10"/>
  <c r="AC16" i="10"/>
  <c r="AC11" i="10"/>
  <c r="C35" i="10"/>
  <c r="K4" i="10"/>
  <c r="K5" i="10"/>
  <c r="K6" i="10"/>
  <c r="K7" i="10"/>
  <c r="K8" i="10"/>
  <c r="K3" i="10"/>
  <c r="C24" i="10"/>
  <c r="C34" i="10"/>
  <c r="B24" i="10"/>
  <c r="C26" i="10"/>
  <c r="C27" i="10"/>
  <c r="C28" i="10"/>
  <c r="C29" i="10"/>
  <c r="C30" i="10"/>
  <c r="C31" i="10"/>
  <c r="C32" i="10"/>
  <c r="C33" i="10"/>
  <c r="C25" i="10"/>
  <c r="B23" i="10"/>
  <c r="B22" i="10"/>
  <c r="B20" i="10"/>
  <c r="B21" i="10"/>
  <c r="B18" i="10"/>
  <c r="AB16" i="10"/>
  <c r="AA16" i="10"/>
  <c r="J8" i="10"/>
  <c r="D16" i="10"/>
  <c r="F16" i="10"/>
  <c r="K16" i="10"/>
  <c r="B16" i="10"/>
  <c r="E16" i="10"/>
  <c r="G16" i="10"/>
  <c r="H16" i="10"/>
  <c r="I16" i="10"/>
  <c r="J16" i="10"/>
  <c r="L16" i="10"/>
  <c r="M16" i="10"/>
  <c r="N16" i="10"/>
  <c r="O16" i="10"/>
  <c r="P16" i="10"/>
  <c r="Q16" i="10"/>
  <c r="R16" i="10"/>
  <c r="S16" i="10"/>
  <c r="T16" i="10"/>
  <c r="Y16" i="10"/>
  <c r="Z16" i="10"/>
  <c r="U16" i="10"/>
  <c r="V16" i="10"/>
  <c r="W16" i="10"/>
  <c r="X16" i="10"/>
  <c r="AB15" i="10"/>
  <c r="AA15" i="10"/>
  <c r="J7" i="10"/>
  <c r="D15" i="10"/>
  <c r="F15" i="10"/>
  <c r="K15" i="10"/>
  <c r="E15" i="10"/>
  <c r="G15" i="10"/>
  <c r="H15" i="10"/>
  <c r="I15" i="10"/>
  <c r="J15" i="10"/>
  <c r="L15" i="10"/>
  <c r="M15" i="10"/>
  <c r="N15" i="10"/>
  <c r="O15" i="10"/>
  <c r="P15" i="10"/>
  <c r="Q15" i="10"/>
  <c r="R15" i="10"/>
  <c r="S15" i="10"/>
  <c r="T15" i="10"/>
  <c r="Y15" i="10"/>
  <c r="Z15" i="10"/>
  <c r="U15" i="10"/>
  <c r="V15" i="10"/>
  <c r="W15" i="10"/>
  <c r="X15" i="10"/>
  <c r="AB14" i="10"/>
  <c r="AA14" i="10"/>
  <c r="J6" i="10"/>
  <c r="D14" i="10"/>
  <c r="F14" i="10"/>
  <c r="K14" i="10"/>
  <c r="E14" i="10"/>
  <c r="G14" i="10"/>
  <c r="H14" i="10"/>
  <c r="I14" i="10"/>
  <c r="J14" i="10"/>
  <c r="L14" i="10"/>
  <c r="M14" i="10"/>
  <c r="N14" i="10"/>
  <c r="O14" i="10"/>
  <c r="P14" i="10"/>
  <c r="Q14" i="10"/>
  <c r="R14" i="10"/>
  <c r="S14" i="10"/>
  <c r="T14" i="10"/>
  <c r="Y14" i="10"/>
  <c r="Z14" i="10"/>
  <c r="U14" i="10"/>
  <c r="V14" i="10"/>
  <c r="W14" i="10"/>
  <c r="X14" i="10"/>
  <c r="AB13" i="10"/>
  <c r="AA13" i="10"/>
  <c r="J5" i="10"/>
  <c r="D13" i="10"/>
  <c r="F13" i="10"/>
  <c r="K13" i="10"/>
  <c r="E13" i="10"/>
  <c r="G13" i="10"/>
  <c r="H13" i="10"/>
  <c r="I13" i="10"/>
  <c r="J13" i="10"/>
  <c r="L13" i="10"/>
  <c r="M13" i="10"/>
  <c r="N13" i="10"/>
  <c r="O13" i="10"/>
  <c r="P13" i="10"/>
  <c r="Q13" i="10"/>
  <c r="R13" i="10"/>
  <c r="S13" i="10"/>
  <c r="T13" i="10"/>
  <c r="Y13" i="10"/>
  <c r="Z13" i="10"/>
  <c r="U13" i="10"/>
  <c r="V13" i="10"/>
  <c r="W13" i="10"/>
  <c r="X13" i="10"/>
  <c r="AB12" i="10"/>
  <c r="AA12" i="10"/>
  <c r="J4" i="10"/>
  <c r="D12" i="10"/>
  <c r="F12" i="10"/>
  <c r="K12" i="10"/>
  <c r="E12" i="10"/>
  <c r="G12" i="10"/>
  <c r="H12" i="10"/>
  <c r="I12" i="10"/>
  <c r="J12" i="10"/>
  <c r="L12" i="10"/>
  <c r="M12" i="10"/>
  <c r="N12" i="10"/>
  <c r="O12" i="10"/>
  <c r="P12" i="10"/>
  <c r="Q12" i="10"/>
  <c r="R12" i="10"/>
  <c r="S12" i="10"/>
  <c r="T12" i="10"/>
  <c r="Y12" i="10"/>
  <c r="Z12" i="10"/>
  <c r="U12" i="10"/>
  <c r="V12" i="10"/>
  <c r="W12" i="10"/>
  <c r="X12" i="10"/>
  <c r="AB11" i="10"/>
  <c r="AA11" i="10"/>
  <c r="J3" i="10"/>
  <c r="D11" i="10"/>
  <c r="F11" i="10"/>
  <c r="K11" i="10"/>
  <c r="E11" i="10"/>
  <c r="G11" i="10"/>
  <c r="H11" i="10"/>
  <c r="I11" i="10"/>
  <c r="J11" i="10"/>
  <c r="L11" i="10"/>
  <c r="M11" i="10"/>
  <c r="N11" i="10"/>
  <c r="O11" i="10"/>
  <c r="P11" i="10"/>
  <c r="Q11" i="10"/>
  <c r="R11" i="10"/>
  <c r="S11" i="10"/>
  <c r="T11" i="10"/>
  <c r="Y11" i="10"/>
  <c r="Z11" i="10"/>
  <c r="U11" i="10"/>
  <c r="V11" i="10"/>
  <c r="W11" i="10"/>
  <c r="X11" i="10"/>
  <c r="Z11" i="9"/>
  <c r="AA11" i="9"/>
  <c r="Z12" i="9"/>
  <c r="AA12" i="9"/>
  <c r="Z13" i="9"/>
  <c r="AA13" i="9"/>
  <c r="Z14" i="9"/>
  <c r="AA14" i="9"/>
  <c r="Z15" i="9"/>
  <c r="AA15" i="9"/>
  <c r="Z16" i="9"/>
  <c r="AA16" i="9"/>
  <c r="Z17" i="9"/>
  <c r="AA17" i="9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A12" i="7"/>
  <c r="A13" i="7"/>
  <c r="A14" i="7"/>
  <c r="A15" i="7"/>
  <c r="A16" i="7"/>
  <c r="A17" i="7"/>
  <c r="A11" i="7"/>
  <c r="J3" i="6"/>
  <c r="J4" i="6"/>
  <c r="J5" i="6"/>
  <c r="J6" i="6"/>
  <c r="J7" i="6"/>
  <c r="J2" i="6"/>
  <c r="J17" i="7"/>
  <c r="J16" i="7"/>
  <c r="J15" i="7"/>
  <c r="J14" i="7"/>
  <c r="J13" i="7"/>
  <c r="J12" i="7"/>
  <c r="J11" i="7"/>
  <c r="J8" i="7"/>
  <c r="J7" i="7"/>
  <c r="J6" i="7"/>
  <c r="J5" i="7"/>
  <c r="J4" i="7"/>
  <c r="J3" i="7"/>
  <c r="J2" i="7"/>
  <c r="B23" i="9"/>
  <c r="B22" i="9"/>
  <c r="B20" i="9"/>
  <c r="B21" i="9"/>
  <c r="B18" i="9"/>
  <c r="I9" i="9"/>
  <c r="C17" i="9"/>
  <c r="E17" i="9"/>
  <c r="J17" i="9"/>
  <c r="B16" i="9"/>
  <c r="D17" i="9"/>
  <c r="F17" i="9"/>
  <c r="G17" i="9"/>
  <c r="H17" i="9"/>
  <c r="I17" i="9"/>
  <c r="K17" i="9"/>
  <c r="L17" i="9"/>
  <c r="M17" i="9"/>
  <c r="N17" i="9"/>
  <c r="O17" i="9"/>
  <c r="P17" i="9"/>
  <c r="Q17" i="9"/>
  <c r="R17" i="9"/>
  <c r="S17" i="9"/>
  <c r="X17" i="9"/>
  <c r="Y17" i="9"/>
  <c r="T17" i="9"/>
  <c r="U17" i="9"/>
  <c r="V17" i="9"/>
  <c r="W17" i="9"/>
  <c r="I8" i="9"/>
  <c r="C16" i="9"/>
  <c r="E16" i="9"/>
  <c r="J16" i="9"/>
  <c r="D16" i="9"/>
  <c r="F16" i="9"/>
  <c r="G16" i="9"/>
  <c r="H16" i="9"/>
  <c r="I16" i="9"/>
  <c r="K16" i="9"/>
  <c r="L16" i="9"/>
  <c r="M16" i="9"/>
  <c r="N16" i="9"/>
  <c r="O16" i="9"/>
  <c r="P16" i="9"/>
  <c r="Q16" i="9"/>
  <c r="R16" i="9"/>
  <c r="S16" i="9"/>
  <c r="X16" i="9"/>
  <c r="Y16" i="9"/>
  <c r="T16" i="9"/>
  <c r="U16" i="9"/>
  <c r="V16" i="9"/>
  <c r="W16" i="9"/>
  <c r="I7" i="9"/>
  <c r="C15" i="9"/>
  <c r="E15" i="9"/>
  <c r="J15" i="9"/>
  <c r="D15" i="9"/>
  <c r="F15" i="9"/>
  <c r="G15" i="9"/>
  <c r="H15" i="9"/>
  <c r="I15" i="9"/>
  <c r="K15" i="9"/>
  <c r="L15" i="9"/>
  <c r="M15" i="9"/>
  <c r="N15" i="9"/>
  <c r="O15" i="9"/>
  <c r="P15" i="9"/>
  <c r="Q15" i="9"/>
  <c r="R15" i="9"/>
  <c r="S15" i="9"/>
  <c r="X15" i="9"/>
  <c r="Y15" i="9"/>
  <c r="T15" i="9"/>
  <c r="U15" i="9"/>
  <c r="V15" i="9"/>
  <c r="W15" i="9"/>
  <c r="I6" i="9"/>
  <c r="C14" i="9"/>
  <c r="E14" i="9"/>
  <c r="J14" i="9"/>
  <c r="D14" i="9"/>
  <c r="F14" i="9"/>
  <c r="G14" i="9"/>
  <c r="H14" i="9"/>
  <c r="I14" i="9"/>
  <c r="K14" i="9"/>
  <c r="L14" i="9"/>
  <c r="M14" i="9"/>
  <c r="N14" i="9"/>
  <c r="O14" i="9"/>
  <c r="P14" i="9"/>
  <c r="Q14" i="9"/>
  <c r="R14" i="9"/>
  <c r="S14" i="9"/>
  <c r="X14" i="9"/>
  <c r="Y14" i="9"/>
  <c r="T14" i="9"/>
  <c r="U14" i="9"/>
  <c r="V14" i="9"/>
  <c r="W14" i="9"/>
  <c r="I5" i="9"/>
  <c r="C13" i="9"/>
  <c r="E13" i="9"/>
  <c r="J13" i="9"/>
  <c r="D13" i="9"/>
  <c r="F13" i="9"/>
  <c r="G13" i="9"/>
  <c r="H13" i="9"/>
  <c r="I13" i="9"/>
  <c r="K13" i="9"/>
  <c r="L13" i="9"/>
  <c r="M13" i="9"/>
  <c r="N13" i="9"/>
  <c r="O13" i="9"/>
  <c r="P13" i="9"/>
  <c r="Q13" i="9"/>
  <c r="R13" i="9"/>
  <c r="S13" i="9"/>
  <c r="X13" i="9"/>
  <c r="Y13" i="9"/>
  <c r="T13" i="9"/>
  <c r="U13" i="9"/>
  <c r="V13" i="9"/>
  <c r="W13" i="9"/>
  <c r="I4" i="9"/>
  <c r="C12" i="9"/>
  <c r="E12" i="9"/>
  <c r="J12" i="9"/>
  <c r="D12" i="9"/>
  <c r="F12" i="9"/>
  <c r="G12" i="9"/>
  <c r="H12" i="9"/>
  <c r="I12" i="9"/>
  <c r="K12" i="9"/>
  <c r="L12" i="9"/>
  <c r="M12" i="9"/>
  <c r="N12" i="9"/>
  <c r="O12" i="9"/>
  <c r="P12" i="9"/>
  <c r="Q12" i="9"/>
  <c r="R12" i="9"/>
  <c r="S12" i="9"/>
  <c r="X12" i="9"/>
  <c r="Y12" i="9"/>
  <c r="T12" i="9"/>
  <c r="U12" i="9"/>
  <c r="V12" i="9"/>
  <c r="W12" i="9"/>
  <c r="I3" i="9"/>
  <c r="C11" i="9"/>
  <c r="E11" i="9"/>
  <c r="J11" i="9"/>
  <c r="D11" i="9"/>
  <c r="F11" i="9"/>
  <c r="G11" i="9"/>
  <c r="H11" i="9"/>
  <c r="I11" i="9"/>
  <c r="K11" i="9"/>
  <c r="L11" i="9"/>
  <c r="M11" i="9"/>
  <c r="N11" i="9"/>
  <c r="O11" i="9"/>
  <c r="P11" i="9"/>
  <c r="Q11" i="9"/>
  <c r="R11" i="9"/>
  <c r="S11" i="9"/>
  <c r="X11" i="9"/>
  <c r="Y11" i="9"/>
  <c r="T11" i="9"/>
  <c r="U11" i="9"/>
  <c r="V11" i="9"/>
  <c r="W11" i="9"/>
  <c r="B23" i="8"/>
  <c r="B22" i="8"/>
  <c r="B20" i="8"/>
  <c r="B21" i="8"/>
  <c r="B18" i="8"/>
  <c r="AA16" i="8"/>
  <c r="Z16" i="8"/>
  <c r="J8" i="8"/>
  <c r="C16" i="8"/>
  <c r="E16" i="8"/>
  <c r="J16" i="8"/>
  <c r="B16" i="8"/>
  <c r="D16" i="8"/>
  <c r="F16" i="8"/>
  <c r="G16" i="8"/>
  <c r="H16" i="8"/>
  <c r="I16" i="8"/>
  <c r="K16" i="8"/>
  <c r="L16" i="8"/>
  <c r="M16" i="8"/>
  <c r="N16" i="8"/>
  <c r="O16" i="8"/>
  <c r="P16" i="8"/>
  <c r="Q16" i="8"/>
  <c r="R16" i="8"/>
  <c r="S16" i="8"/>
  <c r="X16" i="8"/>
  <c r="Y16" i="8"/>
  <c r="T16" i="8"/>
  <c r="U16" i="8"/>
  <c r="V16" i="8"/>
  <c r="W16" i="8"/>
  <c r="AA15" i="8"/>
  <c r="Z15" i="8"/>
  <c r="J7" i="8"/>
  <c r="C15" i="8"/>
  <c r="E15" i="8"/>
  <c r="J15" i="8"/>
  <c r="D15" i="8"/>
  <c r="F15" i="8"/>
  <c r="G15" i="8"/>
  <c r="H15" i="8"/>
  <c r="I15" i="8"/>
  <c r="K15" i="8"/>
  <c r="L15" i="8"/>
  <c r="M15" i="8"/>
  <c r="N15" i="8"/>
  <c r="O15" i="8"/>
  <c r="P15" i="8"/>
  <c r="Q15" i="8"/>
  <c r="R15" i="8"/>
  <c r="S15" i="8"/>
  <c r="X15" i="8"/>
  <c r="Y15" i="8"/>
  <c r="T15" i="8"/>
  <c r="U15" i="8"/>
  <c r="V15" i="8"/>
  <c r="W15" i="8"/>
  <c r="AA14" i="8"/>
  <c r="Z14" i="8"/>
  <c r="J6" i="8"/>
  <c r="C14" i="8"/>
  <c r="E14" i="8"/>
  <c r="J14" i="8"/>
  <c r="D14" i="8"/>
  <c r="F14" i="8"/>
  <c r="G14" i="8"/>
  <c r="H14" i="8"/>
  <c r="I14" i="8"/>
  <c r="K14" i="8"/>
  <c r="L14" i="8"/>
  <c r="M14" i="8"/>
  <c r="N14" i="8"/>
  <c r="O14" i="8"/>
  <c r="P14" i="8"/>
  <c r="Q14" i="8"/>
  <c r="R14" i="8"/>
  <c r="S14" i="8"/>
  <c r="X14" i="8"/>
  <c r="Y14" i="8"/>
  <c r="T14" i="8"/>
  <c r="U14" i="8"/>
  <c r="V14" i="8"/>
  <c r="W14" i="8"/>
  <c r="AA13" i="8"/>
  <c r="Z13" i="8"/>
  <c r="J5" i="8"/>
  <c r="C13" i="8"/>
  <c r="E13" i="8"/>
  <c r="J13" i="8"/>
  <c r="D13" i="8"/>
  <c r="F13" i="8"/>
  <c r="G13" i="8"/>
  <c r="H13" i="8"/>
  <c r="I13" i="8"/>
  <c r="K13" i="8"/>
  <c r="L13" i="8"/>
  <c r="M13" i="8"/>
  <c r="N13" i="8"/>
  <c r="O13" i="8"/>
  <c r="P13" i="8"/>
  <c r="Q13" i="8"/>
  <c r="R13" i="8"/>
  <c r="S13" i="8"/>
  <c r="X13" i="8"/>
  <c r="Y13" i="8"/>
  <c r="T13" i="8"/>
  <c r="U13" i="8"/>
  <c r="V13" i="8"/>
  <c r="W13" i="8"/>
  <c r="AA12" i="8"/>
  <c r="Z12" i="8"/>
  <c r="J4" i="8"/>
  <c r="C12" i="8"/>
  <c r="E12" i="8"/>
  <c r="J12" i="8"/>
  <c r="D12" i="8"/>
  <c r="F12" i="8"/>
  <c r="G12" i="8"/>
  <c r="H12" i="8"/>
  <c r="I12" i="8"/>
  <c r="K12" i="8"/>
  <c r="L12" i="8"/>
  <c r="M12" i="8"/>
  <c r="N12" i="8"/>
  <c r="O12" i="8"/>
  <c r="P12" i="8"/>
  <c r="Q12" i="8"/>
  <c r="R12" i="8"/>
  <c r="S12" i="8"/>
  <c r="X12" i="8"/>
  <c r="Y12" i="8"/>
  <c r="T12" i="8"/>
  <c r="U12" i="8"/>
  <c r="V12" i="8"/>
  <c r="W12" i="8"/>
  <c r="AA11" i="8"/>
  <c r="Z11" i="8"/>
  <c r="J3" i="8"/>
  <c r="C11" i="8"/>
  <c r="E11" i="8"/>
  <c r="J11" i="8"/>
  <c r="D11" i="8"/>
  <c r="F11" i="8"/>
  <c r="G11" i="8"/>
  <c r="H11" i="8"/>
  <c r="I11" i="8"/>
  <c r="K11" i="8"/>
  <c r="L11" i="8"/>
  <c r="M11" i="8"/>
  <c r="N11" i="8"/>
  <c r="O11" i="8"/>
  <c r="P11" i="8"/>
  <c r="Q11" i="8"/>
  <c r="R11" i="8"/>
  <c r="S11" i="8"/>
  <c r="X11" i="8"/>
  <c r="Y11" i="8"/>
  <c r="T11" i="8"/>
  <c r="U11" i="8"/>
  <c r="V11" i="8"/>
  <c r="W11" i="8"/>
  <c r="J3" i="5"/>
  <c r="J4" i="5"/>
  <c r="J5" i="5"/>
  <c r="J6" i="5"/>
  <c r="J7" i="5"/>
  <c r="J8" i="5"/>
  <c r="J11" i="5"/>
  <c r="J12" i="5"/>
  <c r="J13" i="5"/>
  <c r="J14" i="5"/>
  <c r="J15" i="5"/>
  <c r="J16" i="5"/>
  <c r="J17" i="5"/>
  <c r="J2" i="5"/>
  <c r="S12" i="4"/>
  <c r="S13" i="4"/>
  <c r="S14" i="4"/>
  <c r="S15" i="4"/>
  <c r="S16" i="4"/>
  <c r="S17" i="4"/>
  <c r="S11" i="4"/>
  <c r="S11" i="1"/>
  <c r="Y11" i="1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U17" i="4"/>
  <c r="V17" i="4"/>
  <c r="W17" i="4"/>
  <c r="X17" i="4"/>
  <c r="Y17" i="4"/>
  <c r="Z17" i="4"/>
  <c r="AA17" i="4"/>
  <c r="C11" i="4"/>
  <c r="B23" i="4"/>
  <c r="B22" i="4"/>
  <c r="B20" i="4"/>
  <c r="B21" i="4"/>
  <c r="B18" i="4"/>
  <c r="AA16" i="4"/>
  <c r="Z16" i="4"/>
  <c r="C16" i="4"/>
  <c r="E16" i="4"/>
  <c r="J16" i="4"/>
  <c r="B16" i="4"/>
  <c r="D16" i="4"/>
  <c r="F16" i="4"/>
  <c r="G16" i="4"/>
  <c r="H16" i="4"/>
  <c r="I16" i="4"/>
  <c r="K16" i="4"/>
  <c r="L16" i="4"/>
  <c r="M16" i="4"/>
  <c r="N16" i="4"/>
  <c r="O16" i="4"/>
  <c r="P16" i="4"/>
  <c r="Q16" i="4"/>
  <c r="R16" i="4"/>
  <c r="X16" i="4"/>
  <c r="Y16" i="4"/>
  <c r="T16" i="4"/>
  <c r="U16" i="4"/>
  <c r="V16" i="4"/>
  <c r="W16" i="4"/>
  <c r="AA15" i="4"/>
  <c r="Z15" i="4"/>
  <c r="C15" i="4"/>
  <c r="E15" i="4"/>
  <c r="J15" i="4"/>
  <c r="D15" i="4"/>
  <c r="F15" i="4"/>
  <c r="G15" i="4"/>
  <c r="H15" i="4"/>
  <c r="I15" i="4"/>
  <c r="K15" i="4"/>
  <c r="L15" i="4"/>
  <c r="M15" i="4"/>
  <c r="N15" i="4"/>
  <c r="O15" i="4"/>
  <c r="P15" i="4"/>
  <c r="Q15" i="4"/>
  <c r="R15" i="4"/>
  <c r="X15" i="4"/>
  <c r="Y15" i="4"/>
  <c r="T15" i="4"/>
  <c r="U15" i="4"/>
  <c r="V15" i="4"/>
  <c r="W15" i="4"/>
  <c r="AA14" i="4"/>
  <c r="Z14" i="4"/>
  <c r="C14" i="4"/>
  <c r="E14" i="4"/>
  <c r="J14" i="4"/>
  <c r="D14" i="4"/>
  <c r="F14" i="4"/>
  <c r="G14" i="4"/>
  <c r="H14" i="4"/>
  <c r="I14" i="4"/>
  <c r="K14" i="4"/>
  <c r="L14" i="4"/>
  <c r="M14" i="4"/>
  <c r="N14" i="4"/>
  <c r="O14" i="4"/>
  <c r="P14" i="4"/>
  <c r="Q14" i="4"/>
  <c r="R14" i="4"/>
  <c r="X14" i="4"/>
  <c r="Y14" i="4"/>
  <c r="T14" i="4"/>
  <c r="U14" i="4"/>
  <c r="V14" i="4"/>
  <c r="W14" i="4"/>
  <c r="AA13" i="4"/>
  <c r="Z13" i="4"/>
  <c r="C13" i="4"/>
  <c r="E13" i="4"/>
  <c r="J13" i="4"/>
  <c r="D13" i="4"/>
  <c r="F13" i="4"/>
  <c r="G13" i="4"/>
  <c r="H13" i="4"/>
  <c r="I13" i="4"/>
  <c r="K13" i="4"/>
  <c r="L13" i="4"/>
  <c r="M13" i="4"/>
  <c r="N13" i="4"/>
  <c r="O13" i="4"/>
  <c r="P13" i="4"/>
  <c r="Q13" i="4"/>
  <c r="R13" i="4"/>
  <c r="X13" i="4"/>
  <c r="Y13" i="4"/>
  <c r="T13" i="4"/>
  <c r="U13" i="4"/>
  <c r="V13" i="4"/>
  <c r="W13" i="4"/>
  <c r="AA12" i="4"/>
  <c r="Z12" i="4"/>
  <c r="C12" i="4"/>
  <c r="E12" i="4"/>
  <c r="J12" i="4"/>
  <c r="D12" i="4"/>
  <c r="F12" i="4"/>
  <c r="G12" i="4"/>
  <c r="H12" i="4"/>
  <c r="I12" i="4"/>
  <c r="K12" i="4"/>
  <c r="L12" i="4"/>
  <c r="M12" i="4"/>
  <c r="N12" i="4"/>
  <c r="O12" i="4"/>
  <c r="P12" i="4"/>
  <c r="Q12" i="4"/>
  <c r="R12" i="4"/>
  <c r="X12" i="4"/>
  <c r="Y12" i="4"/>
  <c r="T12" i="4"/>
  <c r="U12" i="4"/>
  <c r="V12" i="4"/>
  <c r="W12" i="4"/>
  <c r="AA11" i="4"/>
  <c r="Z11" i="4"/>
  <c r="E11" i="4"/>
  <c r="J11" i="4"/>
  <c r="D11" i="4"/>
  <c r="F11" i="4"/>
  <c r="G11" i="4"/>
  <c r="H11" i="4"/>
  <c r="I11" i="4"/>
  <c r="K11" i="4"/>
  <c r="L11" i="4"/>
  <c r="M11" i="4"/>
  <c r="N11" i="4"/>
  <c r="O11" i="4"/>
  <c r="P11" i="4"/>
  <c r="Q11" i="4"/>
  <c r="R11" i="4"/>
  <c r="X11" i="4"/>
  <c r="Y11" i="4"/>
  <c r="T11" i="4"/>
  <c r="U11" i="4"/>
  <c r="V11" i="4"/>
  <c r="W11" i="4"/>
  <c r="I3" i="4"/>
  <c r="I9" i="4"/>
  <c r="I8" i="4"/>
  <c r="I7" i="4"/>
  <c r="I6" i="4"/>
  <c r="I5" i="4"/>
  <c r="I4" i="4"/>
  <c r="J3" i="1"/>
  <c r="B14" i="3"/>
  <c r="B12" i="3"/>
  <c r="B10" i="3"/>
  <c r="B9" i="3"/>
  <c r="D2" i="2"/>
  <c r="E2" i="2"/>
  <c r="D3" i="2"/>
  <c r="E3" i="2"/>
  <c r="D4" i="2"/>
  <c r="E4" i="2"/>
  <c r="D5" i="2"/>
  <c r="E5" i="2"/>
  <c r="D6" i="2"/>
  <c r="E6" i="2"/>
  <c r="D7" i="2"/>
  <c r="E7" i="2"/>
  <c r="C2" i="2"/>
  <c r="C3" i="2"/>
  <c r="C4" i="2"/>
  <c r="C5" i="2"/>
  <c r="C6" i="2"/>
  <c r="C7" i="2"/>
  <c r="B2" i="2"/>
  <c r="B3" i="2"/>
  <c r="B4" i="2"/>
  <c r="B5" i="2"/>
  <c r="B6" i="2"/>
  <c r="B7" i="2"/>
  <c r="A2" i="2"/>
  <c r="A3" i="2"/>
  <c r="A4" i="2"/>
  <c r="A5" i="2"/>
  <c r="A6" i="2"/>
  <c r="A7" i="2"/>
  <c r="AA11" i="1"/>
  <c r="AA12" i="1"/>
  <c r="AA13" i="1"/>
  <c r="AA14" i="1"/>
  <c r="AA15" i="1"/>
  <c r="AA16" i="1"/>
  <c r="Z12" i="1"/>
  <c r="Z13" i="1"/>
  <c r="Z14" i="1"/>
  <c r="Z15" i="1"/>
  <c r="Z16" i="1"/>
  <c r="Z11" i="1"/>
  <c r="Y12" i="1"/>
  <c r="Y13" i="1"/>
  <c r="Y14" i="1"/>
  <c r="Y15" i="1"/>
  <c r="Y16" i="1"/>
  <c r="X12" i="1"/>
  <c r="X13" i="1"/>
  <c r="X14" i="1"/>
  <c r="X15" i="1"/>
  <c r="X16" i="1"/>
  <c r="X11" i="1"/>
  <c r="W12" i="1"/>
  <c r="W13" i="1"/>
  <c r="W14" i="1"/>
  <c r="W15" i="1"/>
  <c r="W16" i="1"/>
  <c r="W11" i="1"/>
  <c r="V12" i="1"/>
  <c r="V13" i="1"/>
  <c r="V14" i="1"/>
  <c r="V15" i="1"/>
  <c r="V16" i="1"/>
  <c r="V11" i="1"/>
  <c r="U12" i="1"/>
  <c r="U13" i="1"/>
  <c r="U14" i="1"/>
  <c r="U15" i="1"/>
  <c r="U16" i="1"/>
  <c r="U11" i="1"/>
  <c r="T12" i="1"/>
  <c r="T13" i="1"/>
  <c r="T14" i="1"/>
  <c r="T15" i="1"/>
  <c r="T16" i="1"/>
  <c r="T11" i="1"/>
  <c r="S12" i="1"/>
  <c r="S13" i="1"/>
  <c r="S14" i="1"/>
  <c r="S15" i="1"/>
  <c r="S16" i="1"/>
  <c r="J4" i="1"/>
  <c r="J5" i="1"/>
  <c r="J6" i="1"/>
  <c r="J7" i="1"/>
  <c r="J8" i="1"/>
  <c r="R12" i="1"/>
  <c r="R13" i="1"/>
  <c r="R14" i="1"/>
  <c r="R15" i="1"/>
  <c r="R16" i="1"/>
  <c r="R11" i="1"/>
  <c r="Q12" i="1"/>
  <c r="Q13" i="1"/>
  <c r="Q14" i="1"/>
  <c r="Q15" i="1"/>
  <c r="Q16" i="1"/>
  <c r="Q11" i="1"/>
  <c r="B23" i="1"/>
  <c r="O11" i="1"/>
  <c r="H11" i="1"/>
  <c r="E12" i="1"/>
  <c r="J12" i="1"/>
  <c r="K12" i="1"/>
  <c r="L12" i="1"/>
  <c r="M12" i="1"/>
  <c r="N12" i="1"/>
  <c r="O12" i="1"/>
  <c r="P12" i="1"/>
  <c r="E13" i="1"/>
  <c r="J13" i="1"/>
  <c r="K13" i="1"/>
  <c r="L13" i="1"/>
  <c r="M13" i="1"/>
  <c r="N13" i="1"/>
  <c r="O13" i="1"/>
  <c r="P13" i="1"/>
  <c r="E14" i="1"/>
  <c r="J14" i="1"/>
  <c r="K14" i="1"/>
  <c r="L14" i="1"/>
  <c r="M14" i="1"/>
  <c r="N14" i="1"/>
  <c r="O14" i="1"/>
  <c r="P14" i="1"/>
  <c r="E15" i="1"/>
  <c r="J15" i="1"/>
  <c r="K15" i="1"/>
  <c r="L15" i="1"/>
  <c r="M15" i="1"/>
  <c r="N15" i="1"/>
  <c r="O15" i="1"/>
  <c r="P15" i="1"/>
  <c r="E16" i="1"/>
  <c r="J16" i="1"/>
  <c r="K16" i="1"/>
  <c r="L16" i="1"/>
  <c r="M16" i="1"/>
  <c r="N16" i="1"/>
  <c r="O16" i="1"/>
  <c r="P16" i="1"/>
  <c r="E11" i="1"/>
  <c r="J11" i="1"/>
  <c r="K11" i="1"/>
  <c r="L11" i="1"/>
  <c r="M11" i="1"/>
  <c r="N11" i="1"/>
  <c r="P11" i="1"/>
  <c r="B22" i="1"/>
  <c r="B21" i="1"/>
  <c r="I12" i="1"/>
  <c r="I13" i="1"/>
  <c r="I14" i="1"/>
  <c r="I15" i="1"/>
  <c r="I16" i="1"/>
  <c r="I11" i="1"/>
  <c r="H12" i="1"/>
  <c r="H13" i="1"/>
  <c r="H14" i="1"/>
  <c r="H15" i="1"/>
  <c r="H16" i="1"/>
  <c r="B20" i="1"/>
  <c r="G12" i="1"/>
  <c r="G13" i="1"/>
  <c r="G14" i="1"/>
  <c r="G15" i="1"/>
  <c r="G16" i="1"/>
  <c r="G11" i="1"/>
  <c r="F12" i="1"/>
  <c r="F13" i="1"/>
  <c r="F14" i="1"/>
  <c r="F15" i="1"/>
  <c r="F16" i="1"/>
  <c r="F11" i="1"/>
  <c r="B18" i="1"/>
  <c r="B16" i="1"/>
  <c r="C12" i="1"/>
  <c r="C13" i="1"/>
  <c r="C14" i="1"/>
  <c r="C15" i="1"/>
  <c r="C16" i="1"/>
  <c r="C11" i="1"/>
  <c r="D12" i="1"/>
  <c r="D13" i="1"/>
  <c r="D14" i="1"/>
  <c r="D15" i="1"/>
  <c r="D16" i="1"/>
  <c r="D11" i="1"/>
</calcChain>
</file>

<file path=xl/sharedStrings.xml><?xml version="1.0" encoding="utf-8"?>
<sst xmlns="http://schemas.openxmlformats.org/spreadsheetml/2006/main" count="365" uniqueCount="131">
  <si>
    <t>19:17</t>
  </si>
  <si>
    <t>1.7</t>
  </si>
  <si>
    <t>12.5</t>
  </si>
  <si>
    <t>21:37</t>
  </si>
  <si>
    <t>2.4</t>
  </si>
  <si>
    <t>10.5</t>
  </si>
  <si>
    <t>23:46</t>
  </si>
  <si>
    <t>3.6</t>
  </si>
  <si>
    <t>8.8</t>
  </si>
  <si>
    <t>26:04</t>
  </si>
  <si>
    <t>5.4</t>
  </si>
  <si>
    <t>7.2</t>
  </si>
  <si>
    <t>29:47</t>
  </si>
  <si>
    <t>8.7</t>
  </si>
  <si>
    <t>32:00</t>
  </si>
  <si>
    <t>10.6</t>
  </si>
  <si>
    <t>5.2</t>
  </si>
  <si>
    <t>kts</t>
  </si>
  <si>
    <t>Tat</t>
  </si>
  <si>
    <t>m/s</t>
  </si>
  <si>
    <t>alt</t>
  </si>
  <si>
    <t>m</t>
  </si>
  <si>
    <t>go</t>
  </si>
  <si>
    <t>lambda</t>
  </si>
  <si>
    <t>R</t>
  </si>
  <si>
    <t>p0</t>
  </si>
  <si>
    <t>p</t>
  </si>
  <si>
    <t>To</t>
  </si>
  <si>
    <t>G-1/2G</t>
  </si>
  <si>
    <t>gamma</t>
  </si>
  <si>
    <t>rho0/p0</t>
  </si>
  <si>
    <t>rho0</t>
  </si>
  <si>
    <t>vc^2</t>
  </si>
  <si>
    <t>brackets</t>
  </si>
  <si>
    <t>G/G-1</t>
  </si>
  <si>
    <t>brack to pow</t>
  </si>
  <si>
    <t>brack pow -1</t>
  </si>
  <si>
    <t>p0/p</t>
  </si>
  <si>
    <t>G-1/G</t>
  </si>
  <si>
    <t>2/G-1</t>
  </si>
  <si>
    <t>M</t>
  </si>
  <si>
    <t>G-1/2</t>
  </si>
  <si>
    <t>M^2*g</t>
  </si>
  <si>
    <t>T</t>
  </si>
  <si>
    <t>a</t>
  </si>
  <si>
    <t>Vt</t>
  </si>
  <si>
    <t>Ve</t>
  </si>
  <si>
    <t>rho</t>
  </si>
  <si>
    <t>h</t>
  </si>
  <si>
    <t>FFL</t>
  </si>
  <si>
    <t>FFR</t>
  </si>
  <si>
    <t>Tisa</t>
  </si>
  <si>
    <t>delta T</t>
  </si>
  <si>
    <t>Cl2</t>
  </si>
  <si>
    <t>Cd</t>
  </si>
  <si>
    <t>delta Cd</t>
  </si>
  <si>
    <t>delta Cl2</t>
  </si>
  <si>
    <t>slope</t>
  </si>
  <si>
    <t>A</t>
  </si>
  <si>
    <t>e</t>
  </si>
  <si>
    <t>37:19</t>
  </si>
  <si>
    <t>5.3</t>
  </si>
  <si>
    <t>2.8</t>
  </si>
  <si>
    <t>5.5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</si>
  <si>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</si>
  <si>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</si>
  <si>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</si>
  <si>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</si>
  <si>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</si>
  <si>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</si>
  <si>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</si>
  <si>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</si>
  <si>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</si>
  <si>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</si>
  <si>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</si>
  <si>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</si>
  <si>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</si>
  <si>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</si>
  <si>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</si>
  <si>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</si>
  <si>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</si>
  <si>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t</t>
  </si>
  <si>
    <t>h ft</t>
  </si>
  <si>
    <t>IAS kts</t>
  </si>
  <si>
    <t>a deg</t>
  </si>
  <si>
    <t>de deg</t>
  </si>
  <si>
    <t>detr deg</t>
  </si>
  <si>
    <t>Fe N</t>
  </si>
  <si>
    <t>FFL lbs/hr</t>
  </si>
  <si>
    <t>FFR lbs/hr</t>
  </si>
  <si>
    <t>F used lbs</t>
  </si>
  <si>
    <t>TAT °</t>
  </si>
  <si>
    <t>TL</t>
  </si>
  <si>
    <t>TR</t>
  </si>
  <si>
    <t>total</t>
  </si>
  <si>
    <t>1.4</t>
  </si>
  <si>
    <t>2.0</t>
  </si>
  <si>
    <t>4.9</t>
  </si>
  <si>
    <t>7.7</t>
  </si>
  <si>
    <t>6.1</t>
  </si>
  <si>
    <t>3.2</t>
  </si>
  <si>
    <t>1.5</t>
  </si>
  <si>
    <t>0.5</t>
  </si>
  <si>
    <t>2.2</t>
  </si>
  <si>
    <t>0.8</t>
  </si>
  <si>
    <t>4.2</t>
  </si>
  <si>
    <t>air speed (kts)</t>
  </si>
  <si>
    <t>alt (feet)</t>
  </si>
  <si>
    <t>F Used</t>
  </si>
  <si>
    <t>Case</t>
  </si>
  <si>
    <t>case</t>
  </si>
  <si>
    <t>altitude (m)</t>
  </si>
  <si>
    <t>air speed (m/s)</t>
  </si>
  <si>
    <t>Outputs</t>
  </si>
  <si>
    <t>Inputs</t>
  </si>
  <si>
    <t>Initial Weight (lbs)</t>
  </si>
  <si>
    <t>pilot1 (kg</t>
  </si>
  <si>
    <t>pilot2 (kg)</t>
  </si>
  <si>
    <t>co-ordinator (kg)</t>
  </si>
  <si>
    <t>Obs 1L (kg)</t>
  </si>
  <si>
    <t>Obs 1R (kg)</t>
  </si>
  <si>
    <t>Obs 2L(kg)</t>
  </si>
  <si>
    <t>Obs2R</t>
  </si>
  <si>
    <t>Obs3L</t>
  </si>
  <si>
    <t>Obs 3R</t>
  </si>
  <si>
    <t>Block fuel (lbs)</t>
  </si>
  <si>
    <t>F Used(N)</t>
  </si>
  <si>
    <t>Total (N):</t>
  </si>
  <si>
    <t>Weight (N)</t>
  </si>
  <si>
    <t>Weight (kg)</t>
  </si>
  <si>
    <t>AoA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</si>
</sst>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0" borderId="0" xfId="0" quotePrefix="1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7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6895888013998256E-2"/>
                  <c:y val="-7.61949547973169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'Meas 1 curves'!$A$2:$A$7</c:f>
              <c:numCache>
                <c:formatCode>General</c:formatCode>
                <c:ptCount val="6"/>
                <c:pt idx="0">
                  <c:v>6.07023689990503E-2</c:v>
                </c:pt>
                <c:pt idx="1">
                  <c:v>9.6900923932841304E-2</c:v>
                </c:pt>
                <c:pt idx="2">
                  <c:v>0.16894980876388699</c:v>
                </c:pt>
                <c:pt idx="3">
                  <c:v>0.32323915331988901</c:v>
                </c:pt>
                <c:pt idx="4">
                  <c:v>0.79205695357447303</c:v>
                </c:pt>
                <c:pt idx="5">
                  <c:v>1.1647391668348599</c:v>
                </c:pt>
              </c:numCache>
            </c:numRef>
          </c:xVal>
          <c:yVal>
            <c:numRef>
              <c:f>'Meas 1 curves'!$B$2:$B$7</c:f>
              <c:numCache>
                <c:formatCode>General</c:formatCode>
                <c:ptCount val="6"/>
                <c:pt idx="0">
                  <c:v>2.86271605452652E-2</c:v>
                </c:pt>
                <c:pt idx="1">
                  <c:v>2.9547400862548898E-2</c:v>
                </c:pt>
                <c:pt idx="2">
                  <c:v>3.1729166920610397E-2</c:v>
                </c:pt>
                <c:pt idx="3">
                  <c:v>3.4747506381953501E-2</c:v>
                </c:pt>
                <c:pt idx="4">
                  <c:v>5.5777422134678602E-2</c:v>
                </c:pt>
                <c:pt idx="5">
                  <c:v>7.8962966060618603E-2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03-4A74-9C9A-9E5F77A3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08240"/>
        <c:axId val="422203760"/>
      </c:scatterChart>
      <c:valAx>
        <c:axId val="4222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03760"/>
        <c:crosses val="autoZero"/>
        <c:crossBetween val="midCat"/>
      </c:valAx>
      <c:valAx>
        <c:axId val="4222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0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EF9C8-57F3-43B0-B179-B7D8272A6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A79D2-9250-4033-89FE-C50A6F7258C8}">
  <dimension ref="A1:AN35"/>
  <sheetViews>
    <sheetView tabSelected="1" workbookViewId="0">
      <selection activeCell="E3" sqref="E3"/>
    </sheetView>
  </sheetViews>
  <sheetFormatPr defaultRowHeight="14.4" x14ac:dyDescent="0.3"/>
  <cols>
    <col min="1" max="1" width="15.6640625" bestFit="1" customWidth="1"/>
    <col min="4" max="4" width="12.21875" bestFit="1" customWidth="1"/>
    <col min="5" max="5" width="13.109375" bestFit="1" customWidth="1"/>
    <col min="29" max="29" width="9.6640625" bestFit="1" customWidth="1"/>
    <col min="30" max="30" width="10.109375" bestFit="1" customWidth="1"/>
  </cols>
  <sheetData>
    <row r="1" spans="1:40" x14ac:dyDescent="0.3">
      <c r="A1" s="19" t="s">
        <v>113</v>
      </c>
      <c r="B1" s="16" t="s">
        <v>114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</row>
    <row r="2" spans="1:40" x14ac:dyDescent="0.3">
      <c r="A2" s="14"/>
      <c r="B2" s="14" t="s">
        <v>109</v>
      </c>
      <c r="C2" s="17" t="s">
        <v>107</v>
      </c>
      <c r="D2" s="17" t="s">
        <v>106</v>
      </c>
      <c r="E2" s="17" t="s">
        <v>130</v>
      </c>
      <c r="F2" s="17" t="s">
        <v>49</v>
      </c>
      <c r="G2" s="17" t="s">
        <v>50</v>
      </c>
      <c r="H2" s="17" t="s">
        <v>108</v>
      </c>
      <c r="I2" s="17" t="s">
        <v>18</v>
      </c>
      <c r="J2" s="17" t="s">
        <v>43</v>
      </c>
      <c r="K2" s="17" t="s">
        <v>126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</row>
    <row r="3" spans="1:40" x14ac:dyDescent="0.3">
      <c r="A3" s="14" t="s">
        <v>0</v>
      </c>
      <c r="B3" s="14">
        <v>1</v>
      </c>
      <c r="C3" s="16">
        <v>5010</v>
      </c>
      <c r="D3" s="16">
        <v>249</v>
      </c>
      <c r="E3" s="16" t="s">
        <v>1</v>
      </c>
      <c r="F3" s="16">
        <v>798</v>
      </c>
      <c r="G3" s="16">
        <v>813</v>
      </c>
      <c r="H3" s="16">
        <v>360</v>
      </c>
      <c r="I3" s="16" t="s">
        <v>2</v>
      </c>
      <c r="J3" s="14">
        <f>I3+273.15</f>
        <v>285.64999999999998</v>
      </c>
      <c r="K3" s="14">
        <f>H3*$B$11*0.453592</f>
        <v>1601.3584752479999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A4" s="14" t="s">
        <v>3</v>
      </c>
      <c r="B4" s="14">
        <v>2</v>
      </c>
      <c r="C4" s="16">
        <v>5020</v>
      </c>
      <c r="D4" s="16">
        <v>221</v>
      </c>
      <c r="E4" s="16" t="s">
        <v>4</v>
      </c>
      <c r="F4" s="16">
        <v>673</v>
      </c>
      <c r="G4" s="16">
        <v>682</v>
      </c>
      <c r="H4" s="16">
        <v>412</v>
      </c>
      <c r="I4" s="16" t="s">
        <v>5</v>
      </c>
      <c r="J4" s="14">
        <f t="shared" ref="J4:J8" si="0">I4+273.15</f>
        <v>283.64999999999998</v>
      </c>
      <c r="K4" s="14">
        <f t="shared" ref="K4:K8" si="1">H4*$B$11*0.453592</f>
        <v>1832.6658105615998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</row>
    <row r="5" spans="1:40" x14ac:dyDescent="0.3">
      <c r="A5" s="14" t="s">
        <v>6</v>
      </c>
      <c r="B5" s="14">
        <v>3</v>
      </c>
      <c r="C5" s="16">
        <v>5020</v>
      </c>
      <c r="D5" s="16">
        <v>192</v>
      </c>
      <c r="E5" s="16" t="s">
        <v>7</v>
      </c>
      <c r="F5" s="16">
        <v>561</v>
      </c>
      <c r="G5" s="16">
        <v>579</v>
      </c>
      <c r="H5" s="16">
        <v>447</v>
      </c>
      <c r="I5" s="16" t="s">
        <v>8</v>
      </c>
      <c r="J5" s="14">
        <f t="shared" si="0"/>
        <v>281.95</v>
      </c>
      <c r="K5" s="14">
        <f t="shared" si="1"/>
        <v>1988.3534400996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</row>
    <row r="6" spans="1:40" x14ac:dyDescent="0.3">
      <c r="A6" s="14" t="s">
        <v>9</v>
      </c>
      <c r="B6" s="14">
        <v>4</v>
      </c>
      <c r="C6" s="16">
        <v>5030</v>
      </c>
      <c r="D6" s="16">
        <v>163</v>
      </c>
      <c r="E6" s="16" t="s">
        <v>10</v>
      </c>
      <c r="F6" s="16">
        <v>463</v>
      </c>
      <c r="G6" s="16">
        <v>484</v>
      </c>
      <c r="H6" s="16">
        <v>478</v>
      </c>
      <c r="I6" s="16" t="s">
        <v>11</v>
      </c>
      <c r="J6" s="14">
        <f t="shared" si="0"/>
        <v>280.34999999999997</v>
      </c>
      <c r="K6" s="14">
        <f t="shared" si="1"/>
        <v>2126.2481976904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</row>
    <row r="7" spans="1:40" x14ac:dyDescent="0.3">
      <c r="A7" s="14" t="s">
        <v>12</v>
      </c>
      <c r="B7" s="14">
        <v>5</v>
      </c>
      <c r="C7" s="16">
        <v>5020</v>
      </c>
      <c r="D7" s="16">
        <v>130</v>
      </c>
      <c r="E7" s="16" t="s">
        <v>13</v>
      </c>
      <c r="F7" s="16">
        <v>443</v>
      </c>
      <c r="G7" s="16">
        <v>467</v>
      </c>
      <c r="H7" s="16">
        <v>532</v>
      </c>
      <c r="I7" s="16">
        <v>6</v>
      </c>
      <c r="J7" s="14">
        <f t="shared" si="0"/>
        <v>279.14999999999998</v>
      </c>
      <c r="K7" s="14">
        <f t="shared" si="1"/>
        <v>2366.4519689775998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</row>
    <row r="8" spans="1:40" x14ac:dyDescent="0.3">
      <c r="A8" s="14" t="s">
        <v>14</v>
      </c>
      <c r="B8" s="14">
        <v>6</v>
      </c>
      <c r="C8" s="16">
        <v>5110</v>
      </c>
      <c r="D8" s="16">
        <v>118</v>
      </c>
      <c r="E8" s="16" t="s">
        <v>15</v>
      </c>
      <c r="F8" s="16">
        <v>474</v>
      </c>
      <c r="G8" s="16">
        <v>499</v>
      </c>
      <c r="H8" s="16">
        <v>570</v>
      </c>
      <c r="I8" s="16" t="s">
        <v>16</v>
      </c>
      <c r="J8" s="14">
        <f t="shared" si="0"/>
        <v>278.34999999999997</v>
      </c>
      <c r="K8" s="14">
        <f t="shared" si="1"/>
        <v>2535.4842524760002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</row>
    <row r="9" spans="1:40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</row>
    <row r="10" spans="1:40" x14ac:dyDescent="0.3">
      <c r="A10" s="14"/>
      <c r="B10" s="14"/>
      <c r="C10" s="18" t="s">
        <v>110</v>
      </c>
      <c r="D10" s="19" t="s">
        <v>111</v>
      </c>
      <c r="E10" s="19" t="s">
        <v>112</v>
      </c>
      <c r="F10" s="19" t="s">
        <v>26</v>
      </c>
      <c r="G10" s="14" t="s">
        <v>32</v>
      </c>
      <c r="H10" s="14" t="s">
        <v>33</v>
      </c>
      <c r="I10" s="14" t="s">
        <v>35</v>
      </c>
      <c r="J10" s="14" t="s">
        <v>36</v>
      </c>
      <c r="K10" s="14" t="s">
        <v>37</v>
      </c>
      <c r="L10" s="14"/>
      <c r="M10" s="14"/>
      <c r="N10" s="14"/>
      <c r="O10" s="14"/>
      <c r="P10" s="14"/>
      <c r="Q10" s="19" t="s">
        <v>40</v>
      </c>
      <c r="R10" s="14" t="s">
        <v>42</v>
      </c>
      <c r="S10" s="14"/>
      <c r="T10" s="19" t="s">
        <v>43</v>
      </c>
      <c r="U10" s="19" t="s">
        <v>44</v>
      </c>
      <c r="V10" s="19" t="s">
        <v>45</v>
      </c>
      <c r="W10" s="19" t="s">
        <v>47</v>
      </c>
      <c r="X10" s="19" t="s">
        <v>46</v>
      </c>
      <c r="Y10" s="19" t="s">
        <v>51</v>
      </c>
      <c r="Z10" s="19" t="s">
        <v>52</v>
      </c>
      <c r="AA10" s="19" t="s">
        <v>49</v>
      </c>
      <c r="AB10" s="19" t="s">
        <v>50</v>
      </c>
      <c r="AC10" s="19" t="s">
        <v>128</v>
      </c>
      <c r="AD10" s="19" t="s">
        <v>129</v>
      </c>
      <c r="AE10" s="14"/>
      <c r="AF10" s="14"/>
      <c r="AG10" s="14"/>
      <c r="AH10" s="14"/>
      <c r="AI10" s="14"/>
      <c r="AJ10" s="14"/>
      <c r="AK10" s="14"/>
      <c r="AL10" s="14"/>
      <c r="AM10" s="14"/>
      <c r="AN10" s="14"/>
    </row>
    <row r="11" spans="1:40" x14ac:dyDescent="0.3">
      <c r="A11" s="14" t="s">
        <v>22</v>
      </c>
      <c r="B11" s="14">
        <v>9.8066499999999994</v>
      </c>
      <c r="C11" s="18">
        <v>1</v>
      </c>
      <c r="D11" s="19">
        <f>C3*0.3048</f>
        <v>1527.048</v>
      </c>
      <c r="E11" s="19">
        <f>D3*0.51444</f>
        <v>128.09556000000001</v>
      </c>
      <c r="F11" s="19">
        <f>$B$14*(1+($B$12*D11)/$B$15)^(-$B$11/($B$12*$B$13))</f>
        <v>84275.563092927754</v>
      </c>
      <c r="G11" s="14">
        <f>E11^2</f>
        <v>16408.472491713601</v>
      </c>
      <c r="H11" s="14">
        <f>(1+$B$16*$B$18*G11)</f>
        <v>1.0283393307283482</v>
      </c>
      <c r="I11" s="14">
        <f>H11^$B$20</f>
        <v>1.1027512603088965</v>
      </c>
      <c r="J11" s="14">
        <f>I11-1</f>
        <v>0.10275126030889647</v>
      </c>
      <c r="K11" s="14">
        <f>$B$14/F11</f>
        <v>1.2023058201138617</v>
      </c>
      <c r="L11" s="14">
        <f>K11*J11</f>
        <v>0.12353843829342066</v>
      </c>
      <c r="M11" s="14">
        <f>L11+1</f>
        <v>1.1235384382934206</v>
      </c>
      <c r="N11" s="14">
        <f>M11^$B$21</f>
        <v>1.0338408674587174</v>
      </c>
      <c r="O11" s="14">
        <f>N11-1</f>
        <v>3.3840867458717394E-2</v>
      </c>
      <c r="P11" s="14">
        <f>O11*$B$22</f>
        <v>0.169204337293587</v>
      </c>
      <c r="Q11" s="19">
        <f>SQRT(P11)</f>
        <v>0.41134454815104454</v>
      </c>
      <c r="R11" s="14">
        <f>Q11^2*$B$23</f>
        <v>3.3840867458717394E-2</v>
      </c>
      <c r="S11" s="14">
        <f>R11+1</f>
        <v>1.0338408674587174</v>
      </c>
      <c r="T11" s="19">
        <f>J3/S11</f>
        <v>276.29977590473453</v>
      </c>
      <c r="U11" s="19">
        <f>SQRT($B$17*$B$13*T11)</f>
        <v>333.22153433239527</v>
      </c>
      <c r="V11" s="19">
        <f>U11*Q11</f>
        <v>137.0688614741569</v>
      </c>
      <c r="W11" s="19">
        <f>F11/($B$13*T11)</f>
        <v>1.0625847509208994</v>
      </c>
      <c r="X11" s="19">
        <f>V11*SQRT(W11/$B$19)</f>
        <v>127.65932701947774</v>
      </c>
      <c r="Y11" s="19">
        <f>$B$15+($B$12*D11)</f>
        <v>278.22418799999997</v>
      </c>
      <c r="Z11" s="19">
        <f>T11-Y11</f>
        <v>-1.9244120952654384</v>
      </c>
      <c r="AA11" s="19">
        <f>F3/7937</f>
        <v>0.10054176641048256</v>
      </c>
      <c r="AB11" s="19">
        <f>G3/7937</f>
        <v>0.10243164923774727</v>
      </c>
      <c r="AC11" s="19">
        <f>$C$35-K3</f>
        <v>63997.463970313991</v>
      </c>
      <c r="AD11" s="19">
        <f>AC11/$B$11</f>
        <v>6525.9251599999998</v>
      </c>
      <c r="AE11" s="14"/>
      <c r="AF11" s="14"/>
      <c r="AG11" s="14"/>
      <c r="AH11" s="14"/>
      <c r="AI11" s="14"/>
      <c r="AJ11" s="14"/>
      <c r="AK11" s="14"/>
      <c r="AL11" s="14"/>
      <c r="AM11" s="14"/>
      <c r="AN11" s="14"/>
    </row>
    <row r="12" spans="1:40" x14ac:dyDescent="0.3">
      <c r="A12" s="14" t="s">
        <v>23</v>
      </c>
      <c r="B12" s="14">
        <v>-6.4999999999999997E-3</v>
      </c>
      <c r="C12" s="18">
        <v>2</v>
      </c>
      <c r="D12" s="19">
        <f>C4*0.3048</f>
        <v>1530.096</v>
      </c>
      <c r="E12" s="19">
        <f>D4*0.51444</f>
        <v>113.69124000000001</v>
      </c>
      <c r="F12" s="19">
        <f t="shared" ref="F12:F16" si="2">$B$14*(1+($B$12*D12)/$B$15)^(-$B$11/($B$12*$B$13))</f>
        <v>84244.026188793083</v>
      </c>
      <c r="G12" s="14">
        <f t="shared" ref="G12:G16" si="3">E12^2</f>
        <v>12925.698052737602</v>
      </c>
      <c r="H12" s="14">
        <f t="shared" ref="H12:H16" si="4">(1+$B$16*$B$18*G12)</f>
        <v>1.0223241762568871</v>
      </c>
      <c r="I12" s="14">
        <f t="shared" ref="I12:I16" si="5">H12^$B$20</f>
        <v>1.0803393857734538</v>
      </c>
      <c r="J12" s="14">
        <f t="shared" ref="J12:J16" si="6">I12-1</f>
        <v>8.0339385773453786E-2</v>
      </c>
      <c r="K12" s="14">
        <f t="shared" ref="K12:K16" si="7">$B$14/F12</f>
        <v>1.2027559054802059</v>
      </c>
      <c r="L12" s="14">
        <f t="shared" ref="L12:L16" si="8">K12*J12</f>
        <v>9.6628670681673981E-2</v>
      </c>
      <c r="M12" s="14">
        <f t="shared" ref="M12:M16" si="9">L12+1</f>
        <v>1.0966286706816739</v>
      </c>
      <c r="N12" s="14">
        <f t="shared" ref="N12:N16" si="10">M12^$B$21</f>
        <v>1.0267048152590481</v>
      </c>
      <c r="O12" s="14">
        <f t="shared" ref="O12:O16" si="11">N12-1</f>
        <v>2.6704815259048109E-2</v>
      </c>
      <c r="P12" s="14">
        <f t="shared" ref="P12:P16" si="12">O12*$B$22</f>
        <v>0.13352407629524057</v>
      </c>
      <c r="Q12" s="19">
        <f t="shared" ref="Q12:Q16" si="13">SQRT(P12)</f>
        <v>0.36540946388297141</v>
      </c>
      <c r="R12" s="14">
        <f t="shared" ref="R12:R16" si="14">Q12^2*$B$23</f>
        <v>2.6704815259048109E-2</v>
      </c>
      <c r="S12" s="14">
        <f t="shared" ref="S12:S16" si="15">R12+1</f>
        <v>1.0267048152590481</v>
      </c>
      <c r="T12" s="19">
        <f>J4/S12</f>
        <v>276.27220188738687</v>
      </c>
      <c r="U12" s="19">
        <f t="shared" ref="U12:U16" si="16">SQRT($B$17*$B$13*T12)</f>
        <v>333.20490658524847</v>
      </c>
      <c r="V12" s="19">
        <f t="shared" ref="V12:V16" si="17">U12*Q12</f>
        <v>121.75622627849121</v>
      </c>
      <c r="W12" s="19">
        <f t="shared" ref="W12:W16" si="18">F12/($B$13*T12)</f>
        <v>1.0622931334068972</v>
      </c>
      <c r="X12" s="19">
        <f t="shared" ref="X12:X16" si="19">V12*SQRT(W12/$B$19)</f>
        <v>113.38231547795979</v>
      </c>
      <c r="Y12" s="19">
        <f t="shared" ref="Y12:Y16" si="20">$B$15+($B$12*D12)</f>
        <v>278.20437599999997</v>
      </c>
      <c r="Z12" s="19">
        <f t="shared" ref="Z12:Z16" si="21">T12-Y12</f>
        <v>-1.9321741126130973</v>
      </c>
      <c r="AA12" s="19">
        <f>F4/7937</f>
        <v>8.4792742849943301E-2</v>
      </c>
      <c r="AB12" s="19">
        <f>G4/7937</f>
        <v>8.5926672546302124E-2</v>
      </c>
      <c r="AC12" s="19">
        <f t="shared" ref="AC12:AC16" si="22">$C$35-K4</f>
        <v>63766.156635000392</v>
      </c>
      <c r="AD12" s="19">
        <f t="shared" ref="AD12:AD16" si="23">AC12/$B$11</f>
        <v>6502.3383759999997</v>
      </c>
      <c r="AE12" s="14"/>
      <c r="AF12" s="14"/>
      <c r="AG12" s="14"/>
      <c r="AH12" s="14"/>
      <c r="AI12" s="14"/>
      <c r="AJ12" s="14"/>
      <c r="AK12" s="14"/>
      <c r="AL12" s="14"/>
      <c r="AM12" s="14"/>
      <c r="AN12" s="14"/>
    </row>
    <row r="13" spans="1:40" x14ac:dyDescent="0.3">
      <c r="A13" s="14" t="s">
        <v>24</v>
      </c>
      <c r="B13" s="14">
        <v>287.05</v>
      </c>
      <c r="C13" s="18">
        <v>3</v>
      </c>
      <c r="D13" s="19">
        <f>C5*0.3048</f>
        <v>1530.096</v>
      </c>
      <c r="E13" s="19">
        <f>D5*0.51444</f>
        <v>98.772480000000002</v>
      </c>
      <c r="F13" s="19">
        <f t="shared" si="2"/>
        <v>84244.026188793083</v>
      </c>
      <c r="G13" s="14">
        <f t="shared" si="3"/>
        <v>9756.0028053504011</v>
      </c>
      <c r="H13" s="14">
        <f t="shared" si="4"/>
        <v>1.0168497457778072</v>
      </c>
      <c r="I13" s="14">
        <f t="shared" si="5"/>
        <v>1.0602267204144782</v>
      </c>
      <c r="J13" s="14">
        <f t="shared" si="6"/>
        <v>6.0226720414478185E-2</v>
      </c>
      <c r="K13" s="14">
        <f t="shared" si="7"/>
        <v>1.2027559054802059</v>
      </c>
      <c r="L13" s="14">
        <f t="shared" si="8"/>
        <v>7.2438043646218919E-2</v>
      </c>
      <c r="M13" s="14">
        <f t="shared" si="9"/>
        <v>1.0724380436462189</v>
      </c>
      <c r="N13" s="14">
        <f t="shared" si="10"/>
        <v>1.0201822775939646</v>
      </c>
      <c r="O13" s="14">
        <f t="shared" si="11"/>
        <v>2.0182277593964626E-2</v>
      </c>
      <c r="P13" s="14">
        <f t="shared" si="12"/>
        <v>0.10091138796982314</v>
      </c>
      <c r="Q13" s="19">
        <f t="shared" si="13"/>
        <v>0.31766552845693402</v>
      </c>
      <c r="R13" s="14">
        <f t="shared" si="14"/>
        <v>2.0182277593964626E-2</v>
      </c>
      <c r="S13" s="14">
        <f t="shared" si="15"/>
        <v>1.0201822775939646</v>
      </c>
      <c r="T13" s="19">
        <f>J5/S13</f>
        <v>276.37217994509888</v>
      </c>
      <c r="U13" s="19">
        <f t="shared" si="16"/>
        <v>333.2651916335351</v>
      </c>
      <c r="V13" s="19">
        <f t="shared" si="17"/>
        <v>105.86686321656832</v>
      </c>
      <c r="W13" s="19">
        <f t="shared" si="18"/>
        <v>1.0619088472453166</v>
      </c>
      <c r="X13" s="19">
        <f t="shared" si="19"/>
        <v>98.567926460471142</v>
      </c>
      <c r="Y13" s="19">
        <f t="shared" si="20"/>
        <v>278.20437599999997</v>
      </c>
      <c r="Z13" s="19">
        <f t="shared" si="21"/>
        <v>-1.8321960549010896</v>
      </c>
      <c r="AA13" s="19">
        <f>F5/7937</f>
        <v>7.0681617739700137E-2</v>
      </c>
      <c r="AB13" s="19">
        <f>G5/7937</f>
        <v>7.2949477132417784E-2</v>
      </c>
      <c r="AC13" s="19">
        <f t="shared" si="22"/>
        <v>63610.469005462393</v>
      </c>
      <c r="AD13" s="19">
        <f t="shared" si="23"/>
        <v>6486.4626559999997</v>
      </c>
      <c r="AE13" s="14"/>
      <c r="AF13" s="14"/>
      <c r="AG13" s="14"/>
      <c r="AH13" s="14"/>
      <c r="AI13" s="14"/>
      <c r="AJ13" s="14"/>
      <c r="AK13" s="14"/>
      <c r="AL13" s="14"/>
      <c r="AM13" s="14"/>
      <c r="AN13" s="14"/>
    </row>
    <row r="14" spans="1:40" x14ac:dyDescent="0.3">
      <c r="A14" s="14" t="s">
        <v>25</v>
      </c>
      <c r="B14" s="14">
        <v>101325</v>
      </c>
      <c r="C14" s="18">
        <v>4</v>
      </c>
      <c r="D14" s="19">
        <f>C6*0.3048</f>
        <v>1533.144</v>
      </c>
      <c r="E14" s="19">
        <f>D6*0.51444</f>
        <v>83.853719999999996</v>
      </c>
      <c r="F14" s="19">
        <f t="shared" si="2"/>
        <v>84212.498841454624</v>
      </c>
      <c r="G14" s="14">
        <f t="shared" si="3"/>
        <v>7031.4463578383993</v>
      </c>
      <c r="H14" s="14">
        <f t="shared" si="4"/>
        <v>1.0121441215161284</v>
      </c>
      <c r="I14" s="14">
        <f t="shared" si="5"/>
        <v>1.0431535727160517</v>
      </c>
      <c r="J14" s="14">
        <f t="shared" si="6"/>
        <v>4.3153572716051691E-2</v>
      </c>
      <c r="K14" s="14">
        <f t="shared" si="7"/>
        <v>1.2032061914082703</v>
      </c>
      <c r="L14" s="14">
        <f t="shared" si="8"/>
        <v>5.1922645873340403E-2</v>
      </c>
      <c r="M14" s="14">
        <f t="shared" si="9"/>
        <v>1.0519226458733404</v>
      </c>
      <c r="N14" s="14">
        <f t="shared" si="10"/>
        <v>1.0145678288621023</v>
      </c>
      <c r="O14" s="14">
        <f t="shared" si="11"/>
        <v>1.4567828862102283E-2</v>
      </c>
      <c r="P14" s="14">
        <f t="shared" si="12"/>
        <v>7.2839144310511431E-2</v>
      </c>
      <c r="Q14" s="19">
        <f t="shared" si="13"/>
        <v>0.26988728074978158</v>
      </c>
      <c r="R14" s="14">
        <f t="shared" si="14"/>
        <v>1.456782886210228E-2</v>
      </c>
      <c r="S14" s="14">
        <f t="shared" si="15"/>
        <v>1.0145678288621023</v>
      </c>
      <c r="T14" s="19">
        <f>J6/S14</f>
        <v>276.32455122732313</v>
      </c>
      <c r="U14" s="19">
        <f t="shared" si="16"/>
        <v>333.23647369656931</v>
      </c>
      <c r="V14" s="19">
        <f t="shared" si="17"/>
        <v>89.9362857326132</v>
      </c>
      <c r="W14" s="19">
        <f t="shared" si="18"/>
        <v>1.0616944077651327</v>
      </c>
      <c r="X14" s="19">
        <f t="shared" si="19"/>
        <v>83.727219372446015</v>
      </c>
      <c r="Y14" s="19">
        <f t="shared" si="20"/>
        <v>278.18456399999997</v>
      </c>
      <c r="Z14" s="19">
        <f t="shared" si="21"/>
        <v>-1.8600127726768392</v>
      </c>
      <c r="AA14" s="19">
        <f>F6/7937</f>
        <v>5.8334383268237366E-2</v>
      </c>
      <c r="AB14" s="19">
        <f>G6/7937</f>
        <v>6.0980219226407964E-2</v>
      </c>
      <c r="AC14" s="19">
        <f t="shared" si="22"/>
        <v>63472.574247871591</v>
      </c>
      <c r="AD14" s="19">
        <f t="shared" si="23"/>
        <v>6472.4013039999991</v>
      </c>
      <c r="AE14" s="14"/>
      <c r="AF14" s="14"/>
      <c r="AG14" s="14"/>
      <c r="AH14" s="14"/>
      <c r="AI14" s="14"/>
      <c r="AJ14" s="14"/>
      <c r="AK14" s="14"/>
      <c r="AL14" s="14"/>
      <c r="AM14" s="14"/>
      <c r="AN14" s="14"/>
    </row>
    <row r="15" spans="1:40" x14ac:dyDescent="0.3">
      <c r="A15" s="14" t="s">
        <v>27</v>
      </c>
      <c r="B15" s="14">
        <v>288.14999999999998</v>
      </c>
      <c r="C15" s="18">
        <v>5</v>
      </c>
      <c r="D15" s="19">
        <f>C7*0.3048</f>
        <v>1530.096</v>
      </c>
      <c r="E15" s="19">
        <f>D7*0.51444</f>
        <v>66.877200000000002</v>
      </c>
      <c r="F15" s="19">
        <f t="shared" si="2"/>
        <v>84244.026188793083</v>
      </c>
      <c r="G15" s="14">
        <f t="shared" si="3"/>
        <v>4472.5598798400006</v>
      </c>
      <c r="H15" s="14">
        <f t="shared" si="4"/>
        <v>1.0077246284625907</v>
      </c>
      <c r="I15" s="14">
        <f t="shared" si="5"/>
        <v>1.0272982646175863</v>
      </c>
      <c r="J15" s="14">
        <f t="shared" si="6"/>
        <v>2.7298264617586332E-2</v>
      </c>
      <c r="K15" s="14">
        <f t="shared" si="7"/>
        <v>1.2027559054802059</v>
      </c>
      <c r="L15" s="14">
        <f t="shared" si="8"/>
        <v>3.2833148978163314E-2</v>
      </c>
      <c r="M15" s="14">
        <f t="shared" si="9"/>
        <v>1.0328331489781633</v>
      </c>
      <c r="N15" s="14">
        <f t="shared" si="10"/>
        <v>1.0092729170488064</v>
      </c>
      <c r="O15" s="14">
        <f t="shared" si="11"/>
        <v>9.272917048806395E-3</v>
      </c>
      <c r="P15" s="14">
        <f t="shared" si="12"/>
        <v>4.6364585244031982E-2</v>
      </c>
      <c r="Q15" s="19">
        <f t="shared" si="13"/>
        <v>0.21532437215520212</v>
      </c>
      <c r="R15" s="14">
        <f t="shared" si="14"/>
        <v>9.272917048806395E-3</v>
      </c>
      <c r="S15" s="14">
        <f t="shared" si="15"/>
        <v>1.0092729170488064</v>
      </c>
      <c r="T15" s="19">
        <f>J7/S15</f>
        <v>276.58524793893866</v>
      </c>
      <c r="U15" s="19">
        <f t="shared" si="16"/>
        <v>333.39363159667778</v>
      </c>
      <c r="V15" s="19">
        <f t="shared" si="17"/>
        <v>71.787774404097391</v>
      </c>
      <c r="W15" s="19">
        <f t="shared" si="18"/>
        <v>1.0610908036605291</v>
      </c>
      <c r="X15" s="19">
        <f t="shared" si="19"/>
        <v>66.812653493872673</v>
      </c>
      <c r="Y15" s="19">
        <f t="shared" si="20"/>
        <v>278.20437599999997</v>
      </c>
      <c r="Z15" s="19">
        <f t="shared" si="21"/>
        <v>-1.6191280610613035</v>
      </c>
      <c r="AA15" s="19">
        <f>F7/7937</f>
        <v>5.5814539498551093E-2</v>
      </c>
      <c r="AB15" s="19">
        <f>G7/7937</f>
        <v>5.8838352022174627E-2</v>
      </c>
      <c r="AC15" s="19">
        <f t="shared" si="22"/>
        <v>63232.370476584394</v>
      </c>
      <c r="AD15" s="19">
        <f t="shared" si="23"/>
        <v>6447.9073360000002</v>
      </c>
      <c r="AE15" s="14"/>
      <c r="AF15" s="14"/>
      <c r="AG15" s="14"/>
      <c r="AH15" s="14"/>
      <c r="AI15" s="14"/>
      <c r="AJ15" s="14"/>
      <c r="AK15" s="14"/>
      <c r="AL15" s="14"/>
      <c r="AM15" s="14"/>
      <c r="AN15" s="14"/>
    </row>
    <row r="16" spans="1:40" x14ac:dyDescent="0.3">
      <c r="A16" s="14" t="s">
        <v>28</v>
      </c>
      <c r="B16" s="14">
        <f>(B17-1)/(2*B17)</f>
        <v>0.14285714285714282</v>
      </c>
      <c r="C16" s="18">
        <v>6</v>
      </c>
      <c r="D16" s="19">
        <f>C8*0.3048</f>
        <v>1557.528</v>
      </c>
      <c r="E16" s="19">
        <f>D8*0.51444</f>
        <v>60.703920000000004</v>
      </c>
      <c r="F16" s="19">
        <f t="shared" si="2"/>
        <v>83960.623841597844</v>
      </c>
      <c r="G16" s="14">
        <f t="shared" si="3"/>
        <v>3684.9659033664007</v>
      </c>
      <c r="H16" s="14">
        <f t="shared" si="4"/>
        <v>1.006364362527403</v>
      </c>
      <c r="I16" s="14">
        <f t="shared" si="5"/>
        <v>1.0224530430660477</v>
      </c>
      <c r="J16" s="14">
        <f t="shared" si="6"/>
        <v>2.2453043066047673E-2</v>
      </c>
      <c r="K16" s="14">
        <f t="shared" si="7"/>
        <v>1.2068157115073634</v>
      </c>
      <c r="L16" s="14">
        <f t="shared" si="8"/>
        <v>2.7096685143257797E-2</v>
      </c>
      <c r="M16" s="14">
        <f t="shared" si="9"/>
        <v>1.0270966851432577</v>
      </c>
      <c r="N16" s="14">
        <f t="shared" si="10"/>
        <v>1.0076681277376998</v>
      </c>
      <c r="O16" s="14">
        <f t="shared" si="11"/>
        <v>7.6681277376997592E-3</v>
      </c>
      <c r="P16" s="14">
        <f t="shared" si="12"/>
        <v>3.8340638688498803E-2</v>
      </c>
      <c r="Q16" s="19">
        <f t="shared" si="13"/>
        <v>0.1958076573796306</v>
      </c>
      <c r="R16" s="14">
        <f t="shared" si="14"/>
        <v>7.6681277376997592E-3</v>
      </c>
      <c r="S16" s="14">
        <f t="shared" si="15"/>
        <v>1.0076681277376998</v>
      </c>
      <c r="T16" s="19">
        <f>J8/S16</f>
        <v>276.2318191257267</v>
      </c>
      <c r="U16" s="19">
        <f t="shared" si="16"/>
        <v>333.18055338218016</v>
      </c>
      <c r="V16" s="19">
        <f t="shared" si="17"/>
        <v>65.239303642213656</v>
      </c>
      <c r="W16" s="19">
        <f t="shared" si="18"/>
        <v>1.0588742865313128</v>
      </c>
      <c r="X16" s="19">
        <f t="shared" si="19"/>
        <v>60.654562355985924</v>
      </c>
      <c r="Y16" s="19">
        <f t="shared" si="20"/>
        <v>278.02606799999995</v>
      </c>
      <c r="Z16" s="19">
        <f t="shared" si="21"/>
        <v>-1.7942488742732507</v>
      </c>
      <c r="AA16" s="19">
        <f>F8/7937</f>
        <v>5.9720297341564824E-2</v>
      </c>
      <c r="AB16" s="19">
        <f>G8/7937</f>
        <v>6.2870102053672675E-2</v>
      </c>
      <c r="AC16" s="19">
        <f t="shared" si="22"/>
        <v>63063.33819308599</v>
      </c>
      <c r="AD16" s="19">
        <f t="shared" si="23"/>
        <v>6430.6708399999998</v>
      </c>
      <c r="AE16" s="14"/>
      <c r="AF16" s="14"/>
      <c r="AG16" s="14"/>
      <c r="AH16" s="14"/>
      <c r="AI16" s="14"/>
      <c r="AJ16" s="14"/>
      <c r="AK16" s="14"/>
      <c r="AL16" s="14"/>
      <c r="AM16" s="14"/>
      <c r="AN16" s="14"/>
    </row>
    <row r="17" spans="1:40" x14ac:dyDescent="0.3">
      <c r="A17" s="14" t="s">
        <v>29</v>
      </c>
      <c r="B17" s="14">
        <v>1.4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</row>
    <row r="18" spans="1:40" x14ac:dyDescent="0.3">
      <c r="A18" s="14" t="s">
        <v>30</v>
      </c>
      <c r="B18" s="14">
        <f>B19/B14</f>
        <v>1.2089810017271157E-5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</row>
    <row r="19" spans="1:40" x14ac:dyDescent="0.3">
      <c r="A19" s="14" t="s">
        <v>31</v>
      </c>
      <c r="B19" s="14">
        <v>1.2250000000000001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</row>
    <row r="20" spans="1:40" x14ac:dyDescent="0.3">
      <c r="A20" s="14" t="s">
        <v>34</v>
      </c>
      <c r="B20" s="14">
        <f>(B17/(B17-1))</f>
        <v>3.5000000000000004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</row>
    <row r="21" spans="1:40" x14ac:dyDescent="0.3">
      <c r="A21" s="14" t="s">
        <v>38</v>
      </c>
      <c r="B21" s="14">
        <f>B20^-1</f>
        <v>0.2857142857142857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</row>
    <row r="22" spans="1:40" x14ac:dyDescent="0.3">
      <c r="A22" s="14" t="s">
        <v>39</v>
      </c>
      <c r="B22" s="14">
        <f>2/(B17-1)</f>
        <v>5.0000000000000009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</row>
    <row r="23" spans="1:40" x14ac:dyDescent="0.3">
      <c r="A23" s="14" t="s">
        <v>41</v>
      </c>
      <c r="B23" s="14">
        <f>(B17-1)/2</f>
        <v>0.19999999999999996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</row>
    <row r="24" spans="1:40" x14ac:dyDescent="0.3">
      <c r="A24" s="14" t="s">
        <v>115</v>
      </c>
      <c r="B24" s="16">
        <f>9165</f>
        <v>9165</v>
      </c>
      <c r="C24" s="14">
        <f>B24*$B$11*0.453592</f>
        <v>40767.917849022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</row>
    <row r="25" spans="1:40" x14ac:dyDescent="0.3">
      <c r="A25" s="14" t="s">
        <v>116</v>
      </c>
      <c r="B25" s="20">
        <v>95</v>
      </c>
      <c r="C25" s="14">
        <f>B25*$B$11</f>
        <v>931.6317499999999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</row>
    <row r="26" spans="1:40" x14ac:dyDescent="0.3">
      <c r="A26" s="14" t="s">
        <v>117</v>
      </c>
      <c r="B26" s="20">
        <v>92</v>
      </c>
      <c r="C26" s="14">
        <f t="shared" ref="C26:C33" si="24">B26*$B$11</f>
        <v>902.21179999999993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</row>
    <row r="27" spans="1:40" x14ac:dyDescent="0.3">
      <c r="A27" t="s">
        <v>118</v>
      </c>
      <c r="B27" s="20">
        <v>74</v>
      </c>
      <c r="C27" s="14">
        <f t="shared" si="24"/>
        <v>725.69209999999998</v>
      </c>
    </row>
    <row r="28" spans="1:40" x14ac:dyDescent="0.3">
      <c r="A28" t="s">
        <v>119</v>
      </c>
      <c r="B28" s="20">
        <v>66</v>
      </c>
      <c r="C28" s="14">
        <f t="shared" si="24"/>
        <v>647.23889999999994</v>
      </c>
    </row>
    <row r="29" spans="1:40" x14ac:dyDescent="0.3">
      <c r="A29" t="s">
        <v>120</v>
      </c>
      <c r="B29" s="20">
        <v>61</v>
      </c>
      <c r="C29" s="14">
        <f t="shared" si="24"/>
        <v>598.20564999999999</v>
      </c>
    </row>
    <row r="30" spans="1:40" x14ac:dyDescent="0.3">
      <c r="A30" t="s">
        <v>121</v>
      </c>
      <c r="B30" s="20">
        <v>75</v>
      </c>
      <c r="C30" s="14">
        <f t="shared" si="24"/>
        <v>735.49874999999997</v>
      </c>
    </row>
    <row r="31" spans="1:40" x14ac:dyDescent="0.3">
      <c r="A31" t="s">
        <v>122</v>
      </c>
      <c r="B31" s="20">
        <v>78</v>
      </c>
      <c r="C31" s="14">
        <f t="shared" si="24"/>
        <v>764.91869999999994</v>
      </c>
    </row>
    <row r="32" spans="1:40" x14ac:dyDescent="0.3">
      <c r="A32" t="s">
        <v>123</v>
      </c>
      <c r="B32" s="20">
        <v>86</v>
      </c>
      <c r="C32" s="14">
        <f t="shared" si="24"/>
        <v>843.37189999999998</v>
      </c>
    </row>
    <row r="33" spans="1:3" x14ac:dyDescent="0.3">
      <c r="A33" t="s">
        <v>124</v>
      </c>
      <c r="B33" s="20">
        <v>68</v>
      </c>
      <c r="C33" s="14">
        <f t="shared" si="24"/>
        <v>666.85219999999993</v>
      </c>
    </row>
    <row r="34" spans="1:3" x14ac:dyDescent="0.3">
      <c r="A34" t="s">
        <v>125</v>
      </c>
      <c r="B34" s="20">
        <v>4050</v>
      </c>
      <c r="C34" s="14">
        <f>B34*$B$11*0.453592</f>
        <v>18015.282846539998</v>
      </c>
    </row>
    <row r="35" spans="1:3" x14ac:dyDescent="0.3">
      <c r="A35" t="s">
        <v>127</v>
      </c>
      <c r="C35">
        <f>SUM(C24:C34)</f>
        <v>65598.822445561993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D407-444F-43E9-9C4B-EC246E151DFD}">
  <dimension ref="A1:J17"/>
  <sheetViews>
    <sheetView workbookViewId="0">
      <selection activeCell="L21" sqref="L21"/>
    </sheetView>
  </sheetViews>
  <sheetFormatPr defaultRowHeight="14.4" x14ac:dyDescent="0.3"/>
  <sheetData>
    <row r="1" spans="1:10" x14ac:dyDescent="0.3">
      <c r="A1" s="14" t="s">
        <v>48</v>
      </c>
      <c r="B1" s="14" t="s">
        <v>40</v>
      </c>
      <c r="C1" s="14" t="s">
        <v>43</v>
      </c>
      <c r="D1" s="14" t="s">
        <v>49</v>
      </c>
      <c r="E1" s="14" t="s">
        <v>50</v>
      </c>
      <c r="F1" s="14"/>
      <c r="G1" s="14"/>
      <c r="H1" s="14" t="s">
        <v>92</v>
      </c>
      <c r="I1" s="14" t="s">
        <v>93</v>
      </c>
      <c r="J1" s="14" t="s">
        <v>94</v>
      </c>
    </row>
    <row r="2" spans="1:10" x14ac:dyDescent="0.3">
      <c r="A2" s="14">
        <v>2465.8320000000003</v>
      </c>
      <c r="B2" s="14">
        <v>0.2821767600481806</v>
      </c>
      <c r="C2" s="14">
        <v>-0.10391209118216693</v>
      </c>
      <c r="D2" s="14">
        <v>5.9090336399143253E-2</v>
      </c>
      <c r="E2" s="14">
        <v>8.5674688169333504E-2</v>
      </c>
      <c r="F2" s="14"/>
      <c r="G2" s="14"/>
      <c r="H2" s="14">
        <v>2059.67</v>
      </c>
      <c r="I2" s="14">
        <v>3624.97</v>
      </c>
      <c r="J2" s="14">
        <f>H2+I2</f>
        <v>5684.6399999999994</v>
      </c>
    </row>
    <row r="3" spans="1:10" x14ac:dyDescent="0.3">
      <c r="A3" s="14">
        <v>2569.4639999999999</v>
      </c>
      <c r="B3" s="14">
        <v>0.26467305772454264</v>
      </c>
      <c r="C3" s="14">
        <v>9.7063628625846832E-2</v>
      </c>
      <c r="D3" s="14">
        <v>5.8334383268237366E-2</v>
      </c>
      <c r="E3" s="14">
        <v>9.0588383520221749E-2</v>
      </c>
      <c r="F3" s="14"/>
      <c r="G3" s="14"/>
      <c r="H3" s="14">
        <v>2092.35</v>
      </c>
      <c r="I3" s="14">
        <v>4043.57</v>
      </c>
      <c r="J3" s="14">
        <f t="shared" ref="J3:J17" si="0">H3+I3</f>
        <v>6135.92</v>
      </c>
    </row>
    <row r="4" spans="1:10" x14ac:dyDescent="0.3">
      <c r="A4" s="14">
        <v>2633.4720000000002</v>
      </c>
      <c r="B4" s="14">
        <v>0.24808384067139494</v>
      </c>
      <c r="C4" s="14">
        <v>0.27797606386639018</v>
      </c>
      <c r="D4" s="14">
        <v>5.7704422325815796E-2</v>
      </c>
      <c r="E4" s="14">
        <v>9.2352274159002143E-2</v>
      </c>
      <c r="F4" s="14"/>
      <c r="G4" s="14"/>
      <c r="H4" s="14">
        <v>2123.08</v>
      </c>
      <c r="I4" s="14">
        <v>4257.12</v>
      </c>
      <c r="J4" s="14">
        <f t="shared" si="0"/>
        <v>6380.2</v>
      </c>
    </row>
    <row r="5" spans="1:10" x14ac:dyDescent="0.3">
      <c r="A5" s="14">
        <v>2743.2000000000003</v>
      </c>
      <c r="B5" s="14">
        <v>0.23378683102582454</v>
      </c>
      <c r="C5" s="14">
        <v>0.66856325898299929</v>
      </c>
      <c r="D5" s="14">
        <v>5.7074461383394233E-2</v>
      </c>
      <c r="E5" s="14">
        <v>9.499811011717274E-2</v>
      </c>
      <c r="F5" s="14"/>
      <c r="G5" s="14"/>
      <c r="H5" s="14">
        <v>2152.6799999999998</v>
      </c>
      <c r="I5" s="14">
        <v>4510.22</v>
      </c>
      <c r="J5" s="14">
        <f t="shared" si="0"/>
        <v>6662.9</v>
      </c>
    </row>
    <row r="6" spans="1:10" x14ac:dyDescent="0.3">
      <c r="A6" s="14">
        <v>2532.8879999999999</v>
      </c>
      <c r="B6" s="14">
        <v>0.30259446402555057</v>
      </c>
      <c r="C6" s="14">
        <v>-1.1324103896811266E-2</v>
      </c>
      <c r="D6" s="14">
        <v>5.8838352022174627E-2</v>
      </c>
      <c r="E6" s="14">
        <v>9.7517953886859021E-2</v>
      </c>
      <c r="F6" s="14"/>
      <c r="G6" s="14"/>
      <c r="H6" s="14">
        <v>1994.29</v>
      </c>
      <c r="I6" s="14">
        <v>4268.26</v>
      </c>
      <c r="J6" s="14">
        <f t="shared" si="0"/>
        <v>6262.55</v>
      </c>
    </row>
    <row r="7" spans="1:10" x14ac:dyDescent="0.3">
      <c r="A7" s="14">
        <v>2435.3520000000003</v>
      </c>
      <c r="B7" s="14">
        <v>0.31816986190327051</v>
      </c>
      <c r="C7" s="14">
        <v>-0.47412003417929327</v>
      </c>
      <c r="D7" s="14">
        <v>5.9594305153080507E-2</v>
      </c>
      <c r="E7" s="14">
        <v>0.10003779765654529</v>
      </c>
      <c r="F7" s="14"/>
      <c r="G7" s="14"/>
      <c r="H7" s="14">
        <v>1970.18</v>
      </c>
      <c r="I7" s="14">
        <v>4341.57</v>
      </c>
      <c r="J7" s="14">
        <f t="shared" si="0"/>
        <v>6311.75</v>
      </c>
    </row>
    <row r="8" spans="1:10" x14ac:dyDescent="0.3">
      <c r="A8" s="14">
        <v>2279.904</v>
      </c>
      <c r="B8" s="14">
        <v>0.33065237797763963</v>
      </c>
      <c r="C8" s="14">
        <v>-3.8726457773107654</v>
      </c>
      <c r="D8" s="14">
        <v>6.1484187980345217E-2</v>
      </c>
      <c r="E8" s="14">
        <v>0.10520347738440217</v>
      </c>
      <c r="F8" s="14"/>
      <c r="G8" s="14"/>
      <c r="H8" s="14">
        <v>2026.43</v>
      </c>
      <c r="I8" s="14">
        <v>4587.0600000000004</v>
      </c>
      <c r="J8" s="14">
        <f t="shared" si="0"/>
        <v>6613.4900000000007</v>
      </c>
    </row>
    <row r="9" spans="1:10" x14ac:dyDescent="0.3">
      <c r="A9" s="14"/>
      <c r="B9" s="14"/>
      <c r="C9" s="14"/>
      <c r="D9" s="14"/>
      <c r="E9" s="14"/>
      <c r="F9" s="14"/>
      <c r="G9" s="14"/>
      <c r="H9" s="14"/>
      <c r="I9" s="14"/>
      <c r="J9" s="14"/>
    </row>
    <row r="10" spans="1:10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spans="1:10" x14ac:dyDescent="0.3">
      <c r="A11" s="14">
        <f>A2</f>
        <v>2465.8320000000003</v>
      </c>
      <c r="B11" s="14">
        <f t="shared" ref="B11:C11" si="1">B2</f>
        <v>0.2821767600481806</v>
      </c>
      <c r="C11" s="14">
        <f t="shared" si="1"/>
        <v>-0.10391209118216693</v>
      </c>
      <c r="D11" s="14">
        <v>4.8000000000000001E-2</v>
      </c>
      <c r="E11" s="14">
        <v>4.8000000000000001E-2</v>
      </c>
      <c r="F11" s="14"/>
      <c r="G11" s="14"/>
      <c r="H11" s="14">
        <v>1424.24</v>
      </c>
      <c r="I11" s="14">
        <v>1424.24</v>
      </c>
      <c r="J11" s="14">
        <f t="shared" si="0"/>
        <v>2848.48</v>
      </c>
    </row>
    <row r="12" spans="1:10" x14ac:dyDescent="0.3">
      <c r="A12" s="14">
        <f t="shared" ref="A12:C17" si="2">A3</f>
        <v>2569.4639999999999</v>
      </c>
      <c r="B12" s="14">
        <f t="shared" si="2"/>
        <v>0.26467305772454264</v>
      </c>
      <c r="C12" s="14">
        <f t="shared" si="2"/>
        <v>9.7063628625846832E-2</v>
      </c>
      <c r="D12" s="14">
        <v>4.8000000000000001E-2</v>
      </c>
      <c r="E12" s="14">
        <v>4.8000000000000001E-2</v>
      </c>
      <c r="F12" s="14"/>
      <c r="G12" s="14"/>
      <c r="H12" s="14">
        <v>1488.23</v>
      </c>
      <c r="I12" s="14">
        <v>1488.23</v>
      </c>
      <c r="J12" s="14">
        <f t="shared" si="0"/>
        <v>2976.46</v>
      </c>
    </row>
    <row r="13" spans="1:10" x14ac:dyDescent="0.3">
      <c r="A13" s="14">
        <f t="shared" si="2"/>
        <v>2633.4720000000002</v>
      </c>
      <c r="B13" s="14">
        <f t="shared" si="2"/>
        <v>0.24808384067139494</v>
      </c>
      <c r="C13" s="14">
        <f t="shared" si="2"/>
        <v>0.27797606386639018</v>
      </c>
      <c r="D13" s="14">
        <v>4.8000000000000001E-2</v>
      </c>
      <c r="E13" s="14">
        <v>4.8000000000000001E-2</v>
      </c>
      <c r="F13" s="14"/>
      <c r="G13" s="14"/>
      <c r="H13" s="14">
        <v>1545.66</v>
      </c>
      <c r="I13" s="14">
        <v>1545.66</v>
      </c>
      <c r="J13" s="14">
        <f t="shared" si="0"/>
        <v>3091.32</v>
      </c>
    </row>
    <row r="14" spans="1:10" x14ac:dyDescent="0.3">
      <c r="A14" s="14">
        <f t="shared" si="2"/>
        <v>2743.2000000000003</v>
      </c>
      <c r="B14" s="14">
        <f t="shared" si="2"/>
        <v>0.23378683102582454</v>
      </c>
      <c r="C14" s="14">
        <f t="shared" si="2"/>
        <v>0.66856325898299929</v>
      </c>
      <c r="D14" s="14">
        <v>4.8000000000000001E-2</v>
      </c>
      <c r="E14" s="14">
        <v>4.8000000000000001E-2</v>
      </c>
      <c r="F14" s="14"/>
      <c r="G14" s="14"/>
      <c r="H14" s="14">
        <v>1604.57</v>
      </c>
      <c r="I14" s="14">
        <v>1604.57</v>
      </c>
      <c r="J14" s="14">
        <f t="shared" si="0"/>
        <v>3209.14</v>
      </c>
    </row>
    <row r="15" spans="1:10" x14ac:dyDescent="0.3">
      <c r="A15" s="14">
        <f t="shared" si="2"/>
        <v>2532.8879999999999</v>
      </c>
      <c r="B15" s="14">
        <f t="shared" si="2"/>
        <v>0.30259446402555057</v>
      </c>
      <c r="C15" s="14">
        <f t="shared" si="2"/>
        <v>-1.1324103896811266E-2</v>
      </c>
      <c r="D15" s="14">
        <v>4.8000000000000001E-2</v>
      </c>
      <c r="E15" s="14">
        <v>4.8000000000000001E-2</v>
      </c>
      <c r="F15" s="14"/>
      <c r="G15" s="14"/>
      <c r="H15" s="14">
        <v>1384.08</v>
      </c>
      <c r="I15" s="14">
        <v>1384.08</v>
      </c>
      <c r="J15" s="14">
        <f t="shared" si="0"/>
        <v>2768.16</v>
      </c>
    </row>
    <row r="16" spans="1:10" x14ac:dyDescent="0.3">
      <c r="A16" s="14">
        <f t="shared" si="2"/>
        <v>2435.3520000000003</v>
      </c>
      <c r="B16" s="14">
        <f t="shared" si="2"/>
        <v>0.31816986190327051</v>
      </c>
      <c r="C16" s="14">
        <f t="shared" si="2"/>
        <v>-0.47412003417929327</v>
      </c>
      <c r="D16" s="14">
        <v>4.8000000000000001E-2</v>
      </c>
      <c r="E16" s="14">
        <v>4.8000000000000001E-2</v>
      </c>
      <c r="F16" s="14"/>
      <c r="G16" s="14"/>
      <c r="H16" s="14">
        <v>1329.77</v>
      </c>
      <c r="I16" s="14">
        <v>1329.77</v>
      </c>
      <c r="J16" s="14">
        <f t="shared" si="0"/>
        <v>2659.54</v>
      </c>
    </row>
    <row r="17" spans="1:10" x14ac:dyDescent="0.3">
      <c r="A17" s="14">
        <f t="shared" si="2"/>
        <v>2279.904</v>
      </c>
      <c r="B17" s="14">
        <f t="shared" si="2"/>
        <v>0.33065237797763963</v>
      </c>
      <c r="C17" s="14">
        <f t="shared" si="2"/>
        <v>-3.8726457773107654</v>
      </c>
      <c r="D17" s="14">
        <v>4.8000000000000001E-2</v>
      </c>
      <c r="E17" s="14">
        <v>4.8000000000000001E-2</v>
      </c>
      <c r="F17" s="14"/>
      <c r="G17" s="14"/>
      <c r="H17" s="14">
        <v>1286.1500000000001</v>
      </c>
      <c r="I17" s="14">
        <v>1286.1500000000001</v>
      </c>
      <c r="J17" s="14">
        <f t="shared" si="0"/>
        <v>2572.3000000000002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4F87-31AD-4F4B-85F2-35F332D6BD9A}">
  <dimension ref="A2:AA23"/>
  <sheetViews>
    <sheetView workbookViewId="0">
      <selection sqref="A1:AN26"/>
    </sheetView>
  </sheetViews>
  <sheetFormatPr defaultRowHeight="14.4" x14ac:dyDescent="0.3"/>
  <cols>
    <col min="2" max="2" width="12" bestFit="1" customWidth="1"/>
    <col min="6" max="6" width="15.5546875" bestFit="1" customWidth="1"/>
    <col min="8" max="8" width="11.6640625" bestFit="1" customWidth="1"/>
    <col min="9" max="9" width="12" bestFit="1" customWidth="1"/>
  </cols>
  <sheetData>
    <row r="2" spans="1:27" x14ac:dyDescent="0.3">
      <c r="C2" t="s">
        <v>20</v>
      </c>
      <c r="D2" t="s">
        <v>17</v>
      </c>
      <c r="F2" t="s">
        <v>49</v>
      </c>
      <c r="G2" t="s">
        <v>50</v>
      </c>
      <c r="I2" t="s">
        <v>18</v>
      </c>
    </row>
    <row r="3" spans="1:27" x14ac:dyDescent="0.3">
      <c r="A3" t="s">
        <v>0</v>
      </c>
      <c r="C3">
        <v>5010</v>
      </c>
      <c r="D3">
        <v>249</v>
      </c>
      <c r="E3" t="s">
        <v>1</v>
      </c>
      <c r="F3">
        <v>798</v>
      </c>
      <c r="G3">
        <v>813</v>
      </c>
      <c r="H3">
        <v>360</v>
      </c>
      <c r="I3" t="s">
        <v>2</v>
      </c>
      <c r="J3">
        <f>I3+273.15</f>
        <v>285.64999999999998</v>
      </c>
    </row>
    <row r="4" spans="1:27" x14ac:dyDescent="0.3">
      <c r="A4" t="s">
        <v>3</v>
      </c>
      <c r="C4">
        <v>5020</v>
      </c>
      <c r="D4">
        <v>221</v>
      </c>
      <c r="E4" t="s">
        <v>4</v>
      </c>
      <c r="F4">
        <v>673</v>
      </c>
      <c r="G4">
        <v>682</v>
      </c>
      <c r="H4">
        <v>412</v>
      </c>
      <c r="I4" t="s">
        <v>5</v>
      </c>
      <c r="J4">
        <f t="shared" ref="J4:J8" si="0">I4+273.15</f>
        <v>283.64999999999998</v>
      </c>
    </row>
    <row r="5" spans="1:27" x14ac:dyDescent="0.3">
      <c r="A5" t="s">
        <v>6</v>
      </c>
      <c r="C5">
        <v>5020</v>
      </c>
      <c r="D5">
        <v>192</v>
      </c>
      <c r="E5" t="s">
        <v>7</v>
      </c>
      <c r="F5">
        <v>561</v>
      </c>
      <c r="G5">
        <v>579</v>
      </c>
      <c r="H5">
        <v>447</v>
      </c>
      <c r="I5" t="s">
        <v>8</v>
      </c>
      <c r="J5">
        <f t="shared" si="0"/>
        <v>281.95</v>
      </c>
    </row>
    <row r="6" spans="1:27" x14ac:dyDescent="0.3">
      <c r="A6" t="s">
        <v>9</v>
      </c>
      <c r="C6">
        <v>5030</v>
      </c>
      <c r="D6">
        <v>163</v>
      </c>
      <c r="E6" t="s">
        <v>10</v>
      </c>
      <c r="F6">
        <v>463</v>
      </c>
      <c r="G6">
        <v>484</v>
      </c>
      <c r="H6">
        <v>478</v>
      </c>
      <c r="I6" t="s">
        <v>11</v>
      </c>
      <c r="J6">
        <f t="shared" si="0"/>
        <v>280.34999999999997</v>
      </c>
    </row>
    <row r="7" spans="1:27" x14ac:dyDescent="0.3">
      <c r="A7" t="s">
        <v>12</v>
      </c>
      <c r="C7">
        <v>5020</v>
      </c>
      <c r="D7">
        <v>130</v>
      </c>
      <c r="E7" t="s">
        <v>13</v>
      </c>
      <c r="F7">
        <v>443</v>
      </c>
      <c r="G7">
        <v>467</v>
      </c>
      <c r="H7">
        <v>532</v>
      </c>
      <c r="I7">
        <v>6</v>
      </c>
      <c r="J7">
        <f t="shared" si="0"/>
        <v>279.14999999999998</v>
      </c>
    </row>
    <row r="8" spans="1:27" x14ac:dyDescent="0.3">
      <c r="A8" t="s">
        <v>14</v>
      </c>
      <c r="C8">
        <v>5110</v>
      </c>
      <c r="D8">
        <v>118</v>
      </c>
      <c r="E8" t="s">
        <v>15</v>
      </c>
      <c r="F8">
        <v>474</v>
      </c>
      <c r="G8">
        <v>499</v>
      </c>
      <c r="H8">
        <v>570</v>
      </c>
      <c r="I8" t="s">
        <v>16</v>
      </c>
      <c r="J8">
        <f t="shared" si="0"/>
        <v>278.34999999999997</v>
      </c>
    </row>
    <row r="10" spans="1:27" x14ac:dyDescent="0.3">
      <c r="C10" t="s">
        <v>21</v>
      </c>
      <c r="D10" t="s">
        <v>19</v>
      </c>
      <c r="E10" t="s">
        <v>26</v>
      </c>
      <c r="F10" t="s">
        <v>32</v>
      </c>
      <c r="G10" t="s">
        <v>33</v>
      </c>
      <c r="H10" t="s">
        <v>35</v>
      </c>
      <c r="I10" t="s">
        <v>36</v>
      </c>
      <c r="J10" t="s">
        <v>37</v>
      </c>
      <c r="P10" s="1" t="s">
        <v>40</v>
      </c>
      <c r="Q10" t="s">
        <v>42</v>
      </c>
      <c r="S10" s="3" t="s">
        <v>43</v>
      </c>
      <c r="T10" s="4" t="s">
        <v>44</v>
      </c>
      <c r="U10" s="5" t="s">
        <v>45</v>
      </c>
      <c r="V10" t="s">
        <v>47</v>
      </c>
      <c r="W10" s="2" t="s">
        <v>46</v>
      </c>
      <c r="X10" t="s">
        <v>51</v>
      </c>
      <c r="Y10" s="2" t="s">
        <v>52</v>
      </c>
      <c r="Z10" t="s">
        <v>49</v>
      </c>
      <c r="AA10" s="2" t="s">
        <v>50</v>
      </c>
    </row>
    <row r="11" spans="1:27" x14ac:dyDescent="0.3">
      <c r="A11" t="s">
        <v>22</v>
      </c>
      <c r="B11">
        <v>9.8066499999999994</v>
      </c>
      <c r="C11" s="2">
        <f>C3*0.3048</f>
        <v>1527.048</v>
      </c>
      <c r="D11" s="2">
        <f>D3*0.51444</f>
        <v>128.09556000000001</v>
      </c>
      <c r="E11" s="2">
        <f>$B$14*(1+($B$12*C11)/$B$15)^(-$B$11/($B$12*$B$13))</f>
        <v>84275.563092927754</v>
      </c>
      <c r="F11">
        <f>D11^2</f>
        <v>16408.472491713601</v>
      </c>
      <c r="G11">
        <f>(1+$B$16*$B$18*F11)</f>
        <v>1.0283393307283482</v>
      </c>
      <c r="H11">
        <f>G11^$B$20</f>
        <v>1.1027512603088965</v>
      </c>
      <c r="I11">
        <f>H11-1</f>
        <v>0.10275126030889647</v>
      </c>
      <c r="J11">
        <f>$B$14/E11</f>
        <v>1.2023058201138617</v>
      </c>
      <c r="K11">
        <f>J11*I11</f>
        <v>0.12353843829342066</v>
      </c>
      <c r="L11">
        <f>K11+1</f>
        <v>1.1235384382934206</v>
      </c>
      <c r="M11">
        <f>L11^$B$21</f>
        <v>1.0338408674587174</v>
      </c>
      <c r="N11">
        <f>M11-1</f>
        <v>3.3840867458717394E-2</v>
      </c>
      <c r="O11">
        <f>N11*$B$22</f>
        <v>0.169204337293587</v>
      </c>
      <c r="P11" s="1">
        <f>SQRT(O11)</f>
        <v>0.41134454815104454</v>
      </c>
      <c r="Q11">
        <f>P11^2*$B$23</f>
        <v>3.3840867458717394E-2</v>
      </c>
      <c r="R11">
        <f>Q11+1</f>
        <v>1.0338408674587174</v>
      </c>
      <c r="S11" s="3">
        <f>J3/R11</f>
        <v>276.29977590473453</v>
      </c>
      <c r="T11" s="4">
        <f>SQRT($B$17*$B$13*S11)</f>
        <v>333.22153433239527</v>
      </c>
      <c r="U11" s="5">
        <f>T11*P11</f>
        <v>137.0688614741569</v>
      </c>
      <c r="V11">
        <f>E11/($B$13*S11)</f>
        <v>1.0625847509208994</v>
      </c>
      <c r="W11" s="2">
        <f>U11*SQRT(V11/$B$19)</f>
        <v>127.65932701947774</v>
      </c>
      <c r="X11">
        <f>$B$15+($B$12*C11)</f>
        <v>278.22418799999997</v>
      </c>
      <c r="Y11" s="2">
        <f>S11-X11</f>
        <v>-1.9244120952654384</v>
      </c>
      <c r="Z11">
        <f>F3/7937</f>
        <v>0.10054176641048256</v>
      </c>
      <c r="AA11">
        <f>G3/7937</f>
        <v>0.10243164923774727</v>
      </c>
    </row>
    <row r="12" spans="1:27" x14ac:dyDescent="0.3">
      <c r="A12" t="s">
        <v>23</v>
      </c>
      <c r="B12">
        <v>-6.4999999999999997E-3</v>
      </c>
      <c r="C12" s="2">
        <f t="shared" ref="C12:C16" si="1">C4*0.3048</f>
        <v>1530.096</v>
      </c>
      <c r="D12" s="2">
        <f t="shared" ref="D12:D16" si="2">D4*0.51444</f>
        <v>113.69124000000001</v>
      </c>
      <c r="E12" s="2">
        <f t="shared" ref="E12:E16" si="3">$B$14*(1+($B$12*C12)/$B$15)^(-$B$11/($B$12*$B$13))</f>
        <v>84244.026188793083</v>
      </c>
      <c r="F12">
        <f t="shared" ref="F12:F16" si="4">D12^2</f>
        <v>12925.698052737602</v>
      </c>
      <c r="G12">
        <f t="shared" ref="G12:G16" si="5">(1+$B$16*$B$18*F12)</f>
        <v>1.0223241762568871</v>
      </c>
      <c r="H12">
        <f t="shared" ref="H12:H16" si="6">G12^$B$20</f>
        <v>1.0803393857734538</v>
      </c>
      <c r="I12">
        <f t="shared" ref="I12:I16" si="7">H12-1</f>
        <v>8.0339385773453786E-2</v>
      </c>
      <c r="J12">
        <f t="shared" ref="J12:J16" si="8">$B$14/E12</f>
        <v>1.2027559054802059</v>
      </c>
      <c r="K12">
        <f t="shared" ref="K12:K16" si="9">J12*I12</f>
        <v>9.6628670681673981E-2</v>
      </c>
      <c r="L12">
        <f t="shared" ref="L12:L16" si="10">K12+1</f>
        <v>1.0966286706816739</v>
      </c>
      <c r="M12">
        <f t="shared" ref="M12:M16" si="11">L12^$B$21</f>
        <v>1.0267048152590481</v>
      </c>
      <c r="N12">
        <f t="shared" ref="N12:N16" si="12">M12-1</f>
        <v>2.6704815259048109E-2</v>
      </c>
      <c r="O12">
        <f t="shared" ref="O12:O16" si="13">N12*$B$22</f>
        <v>0.13352407629524057</v>
      </c>
      <c r="P12" s="1">
        <f t="shared" ref="P12:P16" si="14">SQRT(O12)</f>
        <v>0.36540946388297141</v>
      </c>
      <c r="Q12">
        <f t="shared" ref="Q12:Q16" si="15">P12^2*$B$23</f>
        <v>2.6704815259048109E-2</v>
      </c>
      <c r="R12">
        <f t="shared" ref="R12:R16" si="16">Q12+1</f>
        <v>1.0267048152590481</v>
      </c>
      <c r="S12" s="3">
        <f t="shared" ref="S12:S16" si="17">J4/R12</f>
        <v>276.27220188738687</v>
      </c>
      <c r="T12" s="4">
        <f t="shared" ref="T12:T16" si="18">SQRT($B$17*$B$13*S12)</f>
        <v>333.20490658524847</v>
      </c>
      <c r="U12" s="5">
        <f t="shared" ref="U12:U16" si="19">T12*P12</f>
        <v>121.75622627849121</v>
      </c>
      <c r="V12">
        <f t="shared" ref="V12:V16" si="20">E12/($B$13*S12)</f>
        <v>1.0622931334068972</v>
      </c>
      <c r="W12" s="2">
        <f t="shared" ref="W12:W16" si="21">U12*SQRT(V12/$B$19)</f>
        <v>113.38231547795979</v>
      </c>
      <c r="X12">
        <f t="shared" ref="X12:X16" si="22">$B$15+($B$12*C12)</f>
        <v>278.20437599999997</v>
      </c>
      <c r="Y12" s="2">
        <f t="shared" ref="Y12:Y16" si="23">S12-X12</f>
        <v>-1.9321741126130973</v>
      </c>
      <c r="Z12">
        <f t="shared" ref="Z12:AA16" si="24">F4/7937</f>
        <v>8.4792742849943301E-2</v>
      </c>
      <c r="AA12">
        <f t="shared" si="24"/>
        <v>8.5926672546302124E-2</v>
      </c>
    </row>
    <row r="13" spans="1:27" x14ac:dyDescent="0.3">
      <c r="A13" t="s">
        <v>24</v>
      </c>
      <c r="B13">
        <v>287.05</v>
      </c>
      <c r="C13" s="2">
        <f t="shared" si="1"/>
        <v>1530.096</v>
      </c>
      <c r="D13" s="2">
        <f t="shared" si="2"/>
        <v>98.772480000000002</v>
      </c>
      <c r="E13" s="2">
        <f t="shared" si="3"/>
        <v>84244.026188793083</v>
      </c>
      <c r="F13">
        <f t="shared" si="4"/>
        <v>9756.0028053504011</v>
      </c>
      <c r="G13">
        <f t="shared" si="5"/>
        <v>1.0168497457778072</v>
      </c>
      <c r="H13">
        <f t="shared" si="6"/>
        <v>1.0602267204144782</v>
      </c>
      <c r="I13">
        <f t="shared" si="7"/>
        <v>6.0226720414478185E-2</v>
      </c>
      <c r="J13">
        <f t="shared" si="8"/>
        <v>1.2027559054802059</v>
      </c>
      <c r="K13">
        <f t="shared" si="9"/>
        <v>7.2438043646218919E-2</v>
      </c>
      <c r="L13">
        <f t="shared" si="10"/>
        <v>1.0724380436462189</v>
      </c>
      <c r="M13">
        <f t="shared" si="11"/>
        <v>1.0201822775939646</v>
      </c>
      <c r="N13">
        <f t="shared" si="12"/>
        <v>2.0182277593964626E-2</v>
      </c>
      <c r="O13">
        <f t="shared" si="13"/>
        <v>0.10091138796982314</v>
      </c>
      <c r="P13" s="1">
        <f t="shared" si="14"/>
        <v>0.31766552845693402</v>
      </c>
      <c r="Q13">
        <f t="shared" si="15"/>
        <v>2.0182277593964626E-2</v>
      </c>
      <c r="R13">
        <f t="shared" si="16"/>
        <v>1.0201822775939646</v>
      </c>
      <c r="S13" s="3">
        <f t="shared" si="17"/>
        <v>276.37217994509888</v>
      </c>
      <c r="T13" s="4">
        <f t="shared" si="18"/>
        <v>333.2651916335351</v>
      </c>
      <c r="U13" s="5">
        <f t="shared" si="19"/>
        <v>105.86686321656832</v>
      </c>
      <c r="V13">
        <f t="shared" si="20"/>
        <v>1.0619088472453166</v>
      </c>
      <c r="W13" s="2">
        <f t="shared" si="21"/>
        <v>98.567926460471142</v>
      </c>
      <c r="X13">
        <f t="shared" si="22"/>
        <v>278.20437599999997</v>
      </c>
      <c r="Y13" s="2">
        <f t="shared" si="23"/>
        <v>-1.8321960549010896</v>
      </c>
      <c r="Z13">
        <f t="shared" si="24"/>
        <v>7.0681617739700137E-2</v>
      </c>
      <c r="AA13">
        <f t="shared" si="24"/>
        <v>7.2949477132417784E-2</v>
      </c>
    </row>
    <row r="14" spans="1:27" x14ac:dyDescent="0.3">
      <c r="A14" t="s">
        <v>25</v>
      </c>
      <c r="B14">
        <v>101325</v>
      </c>
      <c r="C14" s="2">
        <f t="shared" si="1"/>
        <v>1533.144</v>
      </c>
      <c r="D14" s="2">
        <f t="shared" si="2"/>
        <v>83.853719999999996</v>
      </c>
      <c r="E14" s="2">
        <f t="shared" si="3"/>
        <v>84212.498841454624</v>
      </c>
      <c r="F14">
        <f t="shared" si="4"/>
        <v>7031.4463578383993</v>
      </c>
      <c r="G14">
        <f t="shared" si="5"/>
        <v>1.0121441215161284</v>
      </c>
      <c r="H14">
        <f t="shared" si="6"/>
        <v>1.0431535727160517</v>
      </c>
      <c r="I14">
        <f t="shared" si="7"/>
        <v>4.3153572716051691E-2</v>
      </c>
      <c r="J14">
        <f t="shared" si="8"/>
        <v>1.2032061914082703</v>
      </c>
      <c r="K14">
        <f t="shared" si="9"/>
        <v>5.1922645873340403E-2</v>
      </c>
      <c r="L14">
        <f t="shared" si="10"/>
        <v>1.0519226458733404</v>
      </c>
      <c r="M14">
        <f t="shared" si="11"/>
        <v>1.0145678288621023</v>
      </c>
      <c r="N14">
        <f t="shared" si="12"/>
        <v>1.4567828862102283E-2</v>
      </c>
      <c r="O14">
        <f t="shared" si="13"/>
        <v>7.2839144310511431E-2</v>
      </c>
      <c r="P14" s="1">
        <f t="shared" si="14"/>
        <v>0.26988728074978158</v>
      </c>
      <c r="Q14">
        <f t="shared" si="15"/>
        <v>1.456782886210228E-2</v>
      </c>
      <c r="R14">
        <f t="shared" si="16"/>
        <v>1.0145678288621023</v>
      </c>
      <c r="S14" s="3">
        <f t="shared" si="17"/>
        <v>276.32455122732313</v>
      </c>
      <c r="T14" s="4">
        <f t="shared" si="18"/>
        <v>333.23647369656931</v>
      </c>
      <c r="U14" s="5">
        <f t="shared" si="19"/>
        <v>89.9362857326132</v>
      </c>
      <c r="V14">
        <f t="shared" si="20"/>
        <v>1.0616944077651327</v>
      </c>
      <c r="W14" s="2">
        <f t="shared" si="21"/>
        <v>83.727219372446015</v>
      </c>
      <c r="X14">
        <f t="shared" si="22"/>
        <v>278.18456399999997</v>
      </c>
      <c r="Y14" s="2">
        <f t="shared" si="23"/>
        <v>-1.8600127726768392</v>
      </c>
      <c r="Z14">
        <f t="shared" si="24"/>
        <v>5.8334383268237366E-2</v>
      </c>
      <c r="AA14">
        <f t="shared" si="24"/>
        <v>6.0980219226407964E-2</v>
      </c>
    </row>
    <row r="15" spans="1:27" x14ac:dyDescent="0.3">
      <c r="A15" t="s">
        <v>27</v>
      </c>
      <c r="B15">
        <v>288.14999999999998</v>
      </c>
      <c r="C15" s="2">
        <f t="shared" si="1"/>
        <v>1530.096</v>
      </c>
      <c r="D15" s="2">
        <f t="shared" si="2"/>
        <v>66.877200000000002</v>
      </c>
      <c r="E15" s="2">
        <f t="shared" si="3"/>
        <v>84244.026188793083</v>
      </c>
      <c r="F15">
        <f t="shared" si="4"/>
        <v>4472.5598798400006</v>
      </c>
      <c r="G15">
        <f t="shared" si="5"/>
        <v>1.0077246284625907</v>
      </c>
      <c r="H15">
        <f t="shared" si="6"/>
        <v>1.0272982646175863</v>
      </c>
      <c r="I15">
        <f t="shared" si="7"/>
        <v>2.7298264617586332E-2</v>
      </c>
      <c r="J15">
        <f t="shared" si="8"/>
        <v>1.2027559054802059</v>
      </c>
      <c r="K15">
        <f t="shared" si="9"/>
        <v>3.2833148978163314E-2</v>
      </c>
      <c r="L15">
        <f t="shared" si="10"/>
        <v>1.0328331489781633</v>
      </c>
      <c r="M15">
        <f t="shared" si="11"/>
        <v>1.0092729170488064</v>
      </c>
      <c r="N15">
        <f t="shared" si="12"/>
        <v>9.272917048806395E-3</v>
      </c>
      <c r="O15">
        <f t="shared" si="13"/>
        <v>4.6364585244031982E-2</v>
      </c>
      <c r="P15" s="1">
        <f t="shared" si="14"/>
        <v>0.21532437215520212</v>
      </c>
      <c r="Q15">
        <f t="shared" si="15"/>
        <v>9.272917048806395E-3</v>
      </c>
      <c r="R15">
        <f t="shared" si="16"/>
        <v>1.0092729170488064</v>
      </c>
      <c r="S15" s="3">
        <f t="shared" si="17"/>
        <v>276.58524793893866</v>
      </c>
      <c r="T15" s="4">
        <f t="shared" si="18"/>
        <v>333.39363159667778</v>
      </c>
      <c r="U15" s="5">
        <f t="shared" si="19"/>
        <v>71.787774404097391</v>
      </c>
      <c r="V15">
        <f t="shared" si="20"/>
        <v>1.0610908036605291</v>
      </c>
      <c r="W15" s="2">
        <f t="shared" si="21"/>
        <v>66.812653493872673</v>
      </c>
      <c r="X15">
        <f t="shared" si="22"/>
        <v>278.20437599999997</v>
      </c>
      <c r="Y15" s="2">
        <f t="shared" si="23"/>
        <v>-1.6191280610613035</v>
      </c>
      <c r="Z15">
        <f t="shared" si="24"/>
        <v>5.5814539498551093E-2</v>
      </c>
      <c r="AA15">
        <f t="shared" si="24"/>
        <v>5.8838352022174627E-2</v>
      </c>
    </row>
    <row r="16" spans="1:27" x14ac:dyDescent="0.3">
      <c r="A16" t="s">
        <v>28</v>
      </c>
      <c r="B16">
        <f>(B17-1)/(2*B17)</f>
        <v>0.14285714285714282</v>
      </c>
      <c r="C16" s="2">
        <f t="shared" si="1"/>
        <v>1557.528</v>
      </c>
      <c r="D16" s="2">
        <f t="shared" si="2"/>
        <v>60.703920000000004</v>
      </c>
      <c r="E16" s="2">
        <f t="shared" si="3"/>
        <v>83960.623841597844</v>
      </c>
      <c r="F16">
        <f t="shared" si="4"/>
        <v>3684.9659033664007</v>
      </c>
      <c r="G16">
        <f t="shared" si="5"/>
        <v>1.006364362527403</v>
      </c>
      <c r="H16">
        <f t="shared" si="6"/>
        <v>1.0224530430660477</v>
      </c>
      <c r="I16">
        <f t="shared" si="7"/>
        <v>2.2453043066047673E-2</v>
      </c>
      <c r="J16">
        <f t="shared" si="8"/>
        <v>1.2068157115073634</v>
      </c>
      <c r="K16">
        <f t="shared" si="9"/>
        <v>2.7096685143257797E-2</v>
      </c>
      <c r="L16">
        <f t="shared" si="10"/>
        <v>1.0270966851432577</v>
      </c>
      <c r="M16">
        <f t="shared" si="11"/>
        <v>1.0076681277376998</v>
      </c>
      <c r="N16">
        <f t="shared" si="12"/>
        <v>7.6681277376997592E-3</v>
      </c>
      <c r="O16">
        <f t="shared" si="13"/>
        <v>3.8340638688498803E-2</v>
      </c>
      <c r="P16" s="1">
        <f t="shared" si="14"/>
        <v>0.1958076573796306</v>
      </c>
      <c r="Q16">
        <f t="shared" si="15"/>
        <v>7.6681277376997592E-3</v>
      </c>
      <c r="R16">
        <f t="shared" si="16"/>
        <v>1.0076681277376998</v>
      </c>
      <c r="S16" s="3">
        <f t="shared" si="17"/>
        <v>276.2318191257267</v>
      </c>
      <c r="T16" s="4">
        <f t="shared" si="18"/>
        <v>333.18055338218016</v>
      </c>
      <c r="U16" s="5">
        <f t="shared" si="19"/>
        <v>65.239303642213656</v>
      </c>
      <c r="V16">
        <f t="shared" si="20"/>
        <v>1.0588742865313128</v>
      </c>
      <c r="W16" s="2">
        <f t="shared" si="21"/>
        <v>60.654562355985924</v>
      </c>
      <c r="X16">
        <f t="shared" si="22"/>
        <v>278.02606799999995</v>
      </c>
      <c r="Y16" s="2">
        <f t="shared" si="23"/>
        <v>-1.7942488742732507</v>
      </c>
      <c r="Z16">
        <f t="shared" si="24"/>
        <v>5.9720297341564824E-2</v>
      </c>
      <c r="AA16">
        <f t="shared" si="24"/>
        <v>6.2870102053672675E-2</v>
      </c>
    </row>
    <row r="17" spans="1:2" x14ac:dyDescent="0.3">
      <c r="A17" t="s">
        <v>29</v>
      </c>
      <c r="B17">
        <v>1.4</v>
      </c>
    </row>
    <row r="18" spans="1:2" x14ac:dyDescent="0.3">
      <c r="A18" t="s">
        <v>30</v>
      </c>
      <c r="B18">
        <f>B19/B14</f>
        <v>1.2089810017271157E-5</v>
      </c>
    </row>
    <row r="19" spans="1:2" x14ac:dyDescent="0.3">
      <c r="A19" t="s">
        <v>31</v>
      </c>
      <c r="B19">
        <v>1.2250000000000001</v>
      </c>
    </row>
    <row r="20" spans="1:2" x14ac:dyDescent="0.3">
      <c r="A20" t="s">
        <v>34</v>
      </c>
      <c r="B20">
        <f>(B17/(B17-1))</f>
        <v>3.5000000000000004</v>
      </c>
    </row>
    <row r="21" spans="1:2" x14ac:dyDescent="0.3">
      <c r="A21" t="s">
        <v>38</v>
      </c>
      <c r="B21">
        <f>B20^-1</f>
        <v>0.2857142857142857</v>
      </c>
    </row>
    <row r="22" spans="1:2" x14ac:dyDescent="0.3">
      <c r="A22" t="s">
        <v>39</v>
      </c>
      <c r="B22">
        <f>2/(B17-1)</f>
        <v>5.0000000000000009</v>
      </c>
    </row>
    <row r="23" spans="1:2" x14ac:dyDescent="0.3">
      <c r="A23" t="s">
        <v>41</v>
      </c>
      <c r="B23">
        <f>(B17-1)/2</f>
        <v>0.19999999999999996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249A-4F88-4F88-86DD-D148ED4AC8F6}">
  <dimension ref="A1:I7"/>
  <sheetViews>
    <sheetView workbookViewId="0">
      <selection sqref="A1:I7"/>
    </sheetView>
  </sheetViews>
  <sheetFormatPr defaultRowHeight="14.4" x14ac:dyDescent="0.3"/>
  <sheetData>
    <row r="1" spans="1:9" x14ac:dyDescent="0.3">
      <c r="A1" t="s">
        <v>48</v>
      </c>
      <c r="B1" t="s">
        <v>40</v>
      </c>
      <c r="C1" t="s">
        <v>43</v>
      </c>
      <c r="D1" t="s">
        <v>49</v>
      </c>
      <c r="E1" t="s">
        <v>50</v>
      </c>
      <c r="H1" t="s">
        <v>92</v>
      </c>
      <c r="I1" t="s">
        <v>93</v>
      </c>
    </row>
    <row r="2" spans="1:9" x14ac:dyDescent="0.3">
      <c r="A2">
        <f>'Meas 1'!C11</f>
        <v>1527.048</v>
      </c>
      <c r="B2">
        <f>'Meas 1'!P11</f>
        <v>0.41134454815104454</v>
      </c>
      <c r="C2">
        <f>'Meas 1'!Y11</f>
        <v>-1.9244120952654384</v>
      </c>
      <c r="D2">
        <f>'Meas 1'!Z11</f>
        <v>0.10054176641048256</v>
      </c>
      <c r="E2">
        <f>'Meas 1'!AA11</f>
        <v>0.10243164923774727</v>
      </c>
      <c r="H2">
        <v>3665.03</v>
      </c>
      <c r="I2">
        <v>3770.95</v>
      </c>
    </row>
    <row r="3" spans="1:9" x14ac:dyDescent="0.3">
      <c r="A3">
        <f>'Meas 1'!C12</f>
        <v>1530.096</v>
      </c>
      <c r="B3">
        <f>'Meas 1'!P12</f>
        <v>0.36540946388297141</v>
      </c>
      <c r="C3">
        <f>'Meas 1'!Y12</f>
        <v>-1.9321741126130973</v>
      </c>
      <c r="D3">
        <f>'Meas 1'!Z12</f>
        <v>8.4792742849943301E-2</v>
      </c>
      <c r="E3">
        <f>'Meas 1'!AA12</f>
        <v>8.5926672546302124E-2</v>
      </c>
      <c r="H3">
        <v>2995.38</v>
      </c>
      <c r="I3">
        <v>3057.27</v>
      </c>
    </row>
    <row r="4" spans="1:9" x14ac:dyDescent="0.3">
      <c r="A4">
        <f>'Meas 1'!C13</f>
        <v>1530.096</v>
      </c>
      <c r="B4">
        <f>'Meas 1'!P13</f>
        <v>0.31766552845693402</v>
      </c>
      <c r="C4">
        <f>'Meas 1'!Y13</f>
        <v>-1.8321960549010896</v>
      </c>
      <c r="D4">
        <f>'Meas 1'!Z13</f>
        <v>7.0681617739700137E-2</v>
      </c>
      <c r="E4">
        <f>'Meas 1'!AA13</f>
        <v>7.2949477132417784E-2</v>
      </c>
      <c r="H4">
        <v>2399.67</v>
      </c>
      <c r="I4">
        <v>2526.11</v>
      </c>
    </row>
    <row r="5" spans="1:9" x14ac:dyDescent="0.3">
      <c r="A5">
        <f>'Meas 1'!C14</f>
        <v>1533.144</v>
      </c>
      <c r="B5">
        <f>'Meas 1'!P14</f>
        <v>0.26988728074978158</v>
      </c>
      <c r="C5">
        <f>'Meas 1'!Y14</f>
        <v>-1.8600127726768392</v>
      </c>
      <c r="D5">
        <f>'Meas 1'!Z14</f>
        <v>5.8334383268237366E-2</v>
      </c>
      <c r="E5">
        <f>'Meas 1'!AA14</f>
        <v>6.0980219226407964E-2</v>
      </c>
      <c r="H5">
        <v>1863.38</v>
      </c>
      <c r="I5">
        <v>2015.87</v>
      </c>
    </row>
    <row r="6" spans="1:9" x14ac:dyDescent="0.3">
      <c r="A6">
        <f>'Meas 1'!C15</f>
        <v>1530.096</v>
      </c>
      <c r="B6">
        <f>'Meas 1'!P15</f>
        <v>0.21532437215520212</v>
      </c>
      <c r="C6">
        <f>'Meas 1'!Y15</f>
        <v>-1.6191280610613035</v>
      </c>
      <c r="D6">
        <f>'Meas 1'!Z15</f>
        <v>5.5814539498551093E-2</v>
      </c>
      <c r="E6">
        <f>'Meas 1'!AA15</f>
        <v>5.8838352022174627E-2</v>
      </c>
      <c r="H6">
        <v>1892.21</v>
      </c>
      <c r="I6">
        <v>2070.75</v>
      </c>
    </row>
    <row r="7" spans="1:9" x14ac:dyDescent="0.3">
      <c r="A7">
        <f>'Meas 1'!C16</f>
        <v>1557.528</v>
      </c>
      <c r="B7">
        <f>'Meas 1'!P16</f>
        <v>0.1958076573796306</v>
      </c>
      <c r="C7">
        <f>'Meas 1'!Y16</f>
        <v>-1.7942488742732507</v>
      </c>
      <c r="D7">
        <f>'Meas 1'!Z16</f>
        <v>5.9720297341564824E-2</v>
      </c>
      <c r="E7">
        <f>'Meas 1'!AA16</f>
        <v>6.2870102053672675E-2</v>
      </c>
      <c r="H7">
        <v>2208.8200000000002</v>
      </c>
      <c r="I7">
        <v>2405.27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E12A8-4A11-488B-9DB0-BA0FBB33B19E}">
  <dimension ref="A1:B14"/>
  <sheetViews>
    <sheetView workbookViewId="0">
      <selection activeCell="B12" sqref="B12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53</v>
      </c>
      <c r="B1" t="s">
        <v>54</v>
      </c>
    </row>
    <row r="2" spans="1:2" x14ac:dyDescent="0.3">
      <c r="A2">
        <v>6.07023689990503E-2</v>
      </c>
      <c r="B2">
        <v>2.86271605452652E-2</v>
      </c>
    </row>
    <row r="3" spans="1:2" x14ac:dyDescent="0.3">
      <c r="A3">
        <v>9.6900923932841304E-2</v>
      </c>
      <c r="B3">
        <v>2.9547400862548898E-2</v>
      </c>
    </row>
    <row r="4" spans="1:2" x14ac:dyDescent="0.3">
      <c r="A4">
        <v>0.16894980876388699</v>
      </c>
      <c r="B4">
        <v>3.1729166920610397E-2</v>
      </c>
    </row>
    <row r="5" spans="1:2" x14ac:dyDescent="0.3">
      <c r="A5">
        <v>0.32323915331988901</v>
      </c>
      <c r="B5">
        <v>3.4747506381953501E-2</v>
      </c>
    </row>
    <row r="6" spans="1:2" x14ac:dyDescent="0.3">
      <c r="A6">
        <v>0.79205695357447303</v>
      </c>
      <c r="B6">
        <v>5.5777422134678602E-2</v>
      </c>
    </row>
    <row r="7" spans="1:2" x14ac:dyDescent="0.3">
      <c r="A7">
        <v>1.1647391668348599</v>
      </c>
      <c r="B7">
        <v>7.8962966060618603E-2</v>
      </c>
    </row>
    <row r="9" spans="1:2" x14ac:dyDescent="0.3">
      <c r="A9" t="s">
        <v>55</v>
      </c>
      <c r="B9">
        <f>B7-B2</f>
        <v>5.0335805515353403E-2</v>
      </c>
    </row>
    <row r="10" spans="1:2" x14ac:dyDescent="0.3">
      <c r="A10" t="s">
        <v>56</v>
      </c>
      <c r="B10">
        <f>A7-A2</f>
        <v>1.1040367978358097</v>
      </c>
    </row>
    <row r="12" spans="1:2" x14ac:dyDescent="0.3">
      <c r="A12" t="s">
        <v>57</v>
      </c>
      <c r="B12">
        <f>B9/B10</f>
        <v>4.5592507074061539E-2</v>
      </c>
    </row>
    <row r="13" spans="1:2" x14ac:dyDescent="0.3">
      <c r="A13" t="s">
        <v>58</v>
      </c>
      <c r="B13">
        <v>8.43866403333333</v>
      </c>
    </row>
    <row r="14" spans="1:2" x14ac:dyDescent="0.3">
      <c r="A14" t="s">
        <v>59</v>
      </c>
      <c r="B14">
        <f>(1/PI())*(1/B13)*(1/B12)</f>
        <v>0.82733797002170639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B0238-8C8D-498A-B028-D7FCF6C27CC9}">
  <dimension ref="A2:AA23"/>
  <sheetViews>
    <sheetView workbookViewId="0">
      <selection activeCell="G9" sqref="G9"/>
    </sheetView>
  </sheetViews>
  <sheetFormatPr defaultRowHeight="14.4" x14ac:dyDescent="0.3"/>
  <sheetData>
    <row r="2" spans="1:27" x14ac:dyDescent="0.3">
      <c r="A2" t="s">
        <v>81</v>
      </c>
      <c r="C2" t="s">
        <v>82</v>
      </c>
      <c r="D2" t="s">
        <v>83</v>
      </c>
      <c r="E2" t="s">
        <v>88</v>
      </c>
      <c r="F2" t="s">
        <v>89</v>
      </c>
      <c r="G2" t="s">
        <v>90</v>
      </c>
      <c r="H2" t="s">
        <v>91</v>
      </c>
      <c r="J2" t="s">
        <v>84</v>
      </c>
      <c r="K2" t="s">
        <v>85</v>
      </c>
      <c r="L2" t="s">
        <v>86</v>
      </c>
      <c r="M2" t="s">
        <v>87</v>
      </c>
    </row>
    <row r="3" spans="1:27" x14ac:dyDescent="0.3">
      <c r="A3" s="6" t="s">
        <v>60</v>
      </c>
      <c r="B3" s="7"/>
      <c r="C3" s="7">
        <v>6060</v>
      </c>
      <c r="D3" s="7">
        <v>161</v>
      </c>
      <c r="E3" s="7">
        <v>462</v>
      </c>
      <c r="F3" s="7">
        <v>486</v>
      </c>
      <c r="G3" s="7">
        <v>664</v>
      </c>
      <c r="H3" s="7" t="s">
        <v>63</v>
      </c>
      <c r="I3">
        <f t="shared" ref="I3:I9" si="0">H3+273.15</f>
        <v>278.64999999999998</v>
      </c>
      <c r="J3" s="7" t="s">
        <v>61</v>
      </c>
      <c r="K3" s="7">
        <v>0</v>
      </c>
      <c r="L3" s="7" t="s">
        <v>62</v>
      </c>
      <c r="M3" s="7">
        <v>0</v>
      </c>
    </row>
    <row r="4" spans="1:27" x14ac:dyDescent="0.3">
      <c r="A4" s="6" t="s">
        <v>64</v>
      </c>
      <c r="B4" s="7"/>
      <c r="C4" s="7">
        <v>6350</v>
      </c>
      <c r="D4" s="7">
        <v>150</v>
      </c>
      <c r="E4" s="7">
        <v>458</v>
      </c>
      <c r="F4" s="7">
        <v>482</v>
      </c>
      <c r="G4" s="7">
        <v>694</v>
      </c>
      <c r="H4" s="7" t="s">
        <v>66</v>
      </c>
      <c r="I4">
        <f t="shared" si="0"/>
        <v>277.64999999999998</v>
      </c>
      <c r="J4" s="7" t="s">
        <v>65</v>
      </c>
      <c r="K4" s="7">
        <v>-0.4</v>
      </c>
      <c r="L4" s="7" t="s">
        <v>62</v>
      </c>
      <c r="M4" s="7">
        <v>-23</v>
      </c>
    </row>
    <row r="5" spans="1:27" x14ac:dyDescent="0.3">
      <c r="A5" s="6" t="s">
        <v>67</v>
      </c>
      <c r="B5" s="7"/>
      <c r="C5" s="7">
        <v>6550</v>
      </c>
      <c r="D5" s="7">
        <v>140</v>
      </c>
      <c r="E5" s="7">
        <v>454</v>
      </c>
      <c r="F5" s="7">
        <v>477</v>
      </c>
      <c r="G5" s="7">
        <v>730</v>
      </c>
      <c r="H5" s="7" t="s">
        <v>69</v>
      </c>
      <c r="I5">
        <f t="shared" si="0"/>
        <v>276.64999999999998</v>
      </c>
      <c r="J5" s="7" t="s">
        <v>68</v>
      </c>
      <c r="K5" s="7">
        <v>-0.9</v>
      </c>
      <c r="L5" s="7" t="s">
        <v>62</v>
      </c>
      <c r="M5" s="7">
        <v>-29</v>
      </c>
    </row>
    <row r="6" spans="1:27" x14ac:dyDescent="0.3">
      <c r="A6" s="6" t="s">
        <v>70</v>
      </c>
      <c r="B6" s="7"/>
      <c r="C6" s="7">
        <v>6880</v>
      </c>
      <c r="D6" s="7">
        <v>130</v>
      </c>
      <c r="E6" s="7">
        <v>449</v>
      </c>
      <c r="F6" s="7">
        <v>473</v>
      </c>
      <c r="G6" s="7">
        <v>755</v>
      </c>
      <c r="H6" s="7" t="s">
        <v>72</v>
      </c>
      <c r="I6">
        <f t="shared" si="0"/>
        <v>275.64999999999998</v>
      </c>
      <c r="J6" s="7" t="s">
        <v>71</v>
      </c>
      <c r="K6" s="7">
        <v>-1.5</v>
      </c>
      <c r="L6" s="7" t="s">
        <v>62</v>
      </c>
      <c r="M6" s="7">
        <v>-46</v>
      </c>
    </row>
    <row r="7" spans="1:27" x14ac:dyDescent="0.3">
      <c r="A7" s="6" t="s">
        <v>73</v>
      </c>
      <c r="B7" s="7"/>
      <c r="C7" s="7">
        <v>6160</v>
      </c>
      <c r="D7" s="7">
        <v>173</v>
      </c>
      <c r="E7" s="7">
        <v>465</v>
      </c>
      <c r="F7" s="7">
        <v>489</v>
      </c>
      <c r="G7" s="7">
        <v>798</v>
      </c>
      <c r="H7" s="7" t="s">
        <v>74</v>
      </c>
      <c r="I7">
        <f t="shared" si="0"/>
        <v>278.14999999999998</v>
      </c>
      <c r="J7" s="7" t="s">
        <v>66</v>
      </c>
      <c r="K7" s="7">
        <v>0.4</v>
      </c>
      <c r="L7" s="7" t="s">
        <v>62</v>
      </c>
      <c r="M7" s="7">
        <v>26</v>
      </c>
    </row>
    <row r="8" spans="1:27" x14ac:dyDescent="0.3">
      <c r="A8" s="6" t="s">
        <v>75</v>
      </c>
      <c r="B8" s="7"/>
      <c r="C8" s="7">
        <v>5810</v>
      </c>
      <c r="D8" s="7">
        <v>179</v>
      </c>
      <c r="E8" s="7">
        <v>472</v>
      </c>
      <c r="F8" s="7">
        <v>496</v>
      </c>
      <c r="G8" s="7">
        <v>825</v>
      </c>
      <c r="H8" s="7" t="s">
        <v>77</v>
      </c>
      <c r="I8">
        <f t="shared" si="0"/>
        <v>279.34999999999997</v>
      </c>
      <c r="J8" s="7" t="s">
        <v>76</v>
      </c>
      <c r="K8" s="7">
        <v>0.6</v>
      </c>
      <c r="L8" s="7" t="s">
        <v>62</v>
      </c>
      <c r="M8" s="7">
        <v>40</v>
      </c>
    </row>
    <row r="9" spans="1:27" x14ac:dyDescent="0.3">
      <c r="A9" s="6" t="s">
        <v>78</v>
      </c>
      <c r="B9" s="7"/>
      <c r="C9" s="7">
        <v>5310</v>
      </c>
      <c r="D9" s="7">
        <v>192</v>
      </c>
      <c r="E9" s="7">
        <v>482</v>
      </c>
      <c r="F9" s="7">
        <v>505</v>
      </c>
      <c r="G9" s="7">
        <v>846</v>
      </c>
      <c r="H9" s="7" t="s">
        <v>80</v>
      </c>
      <c r="I9">
        <f t="shared" si="0"/>
        <v>281.34999999999997</v>
      </c>
      <c r="J9" s="7" t="s">
        <v>79</v>
      </c>
      <c r="K9" s="7">
        <v>1</v>
      </c>
      <c r="L9" s="7" t="s">
        <v>62</v>
      </c>
      <c r="M9" s="7">
        <v>83</v>
      </c>
      <c r="P9" s="1"/>
      <c r="S9" s="3"/>
      <c r="T9" s="4"/>
      <c r="U9" s="5"/>
      <c r="W9" s="2"/>
      <c r="Y9" s="2"/>
      <c r="AA9" s="2"/>
    </row>
    <row r="10" spans="1:27" x14ac:dyDescent="0.3">
      <c r="C10" t="s">
        <v>21</v>
      </c>
      <c r="D10" t="s">
        <v>19</v>
      </c>
      <c r="E10" t="s">
        <v>26</v>
      </c>
      <c r="F10" t="s">
        <v>32</v>
      </c>
      <c r="G10" t="s">
        <v>33</v>
      </c>
      <c r="H10" t="s">
        <v>35</v>
      </c>
      <c r="I10" t="s">
        <v>36</v>
      </c>
      <c r="J10" t="s">
        <v>37</v>
      </c>
      <c r="P10" s="1" t="s">
        <v>40</v>
      </c>
      <c r="Q10" t="s">
        <v>42</v>
      </c>
      <c r="S10" s="3" t="s">
        <v>43</v>
      </c>
      <c r="T10" s="4" t="s">
        <v>44</v>
      </c>
      <c r="U10" s="5" t="s">
        <v>45</v>
      </c>
      <c r="V10" t="s">
        <v>47</v>
      </c>
      <c r="W10" s="2" t="s">
        <v>46</v>
      </c>
      <c r="X10" t="s">
        <v>51</v>
      </c>
      <c r="Y10" s="2" t="s">
        <v>52</v>
      </c>
      <c r="Z10" t="s">
        <v>49</v>
      </c>
      <c r="AA10" s="2" t="s">
        <v>50</v>
      </c>
    </row>
    <row r="11" spans="1:27" x14ac:dyDescent="0.3">
      <c r="A11" t="s">
        <v>22</v>
      </c>
      <c r="B11">
        <v>9.8066499999999994</v>
      </c>
      <c r="C11" s="2">
        <f>C3*0.3048</f>
        <v>1847.0880000000002</v>
      </c>
      <c r="D11" s="2">
        <f>D3*0.51444</f>
        <v>82.824839999999995</v>
      </c>
      <c r="E11" s="2">
        <f>$B$14*(1+($B$12*C11)/$B$15)^(-$B$11/($B$12*$B$13))</f>
        <v>81015.954603584483</v>
      </c>
      <c r="F11">
        <f>D11^2</f>
        <v>6859.9541210255993</v>
      </c>
      <c r="G11">
        <f>(1+$B$16*$B$18*F11)</f>
        <v>1.011847934578628</v>
      </c>
      <c r="H11">
        <f>G11^$B$20</f>
        <v>1.0420855488161229</v>
      </c>
      <c r="I11">
        <f>H11-1</f>
        <v>4.208554881612292E-2</v>
      </c>
      <c r="J11">
        <f>$B$14/E11</f>
        <v>1.2506795790506795</v>
      </c>
      <c r="K11">
        <f>J11*I11</f>
        <v>5.2635536477465439E-2</v>
      </c>
      <c r="L11">
        <f>K11+1</f>
        <v>1.0526355364774655</v>
      </c>
      <c r="M11">
        <f>L11^$B$21</f>
        <v>1.014764231375648</v>
      </c>
      <c r="N11">
        <f>M11-1</f>
        <v>1.4764231375647974E-2</v>
      </c>
      <c r="O11">
        <f>N11*$B$22</f>
        <v>7.3821156878239882E-2</v>
      </c>
      <c r="P11" s="1">
        <f>SQRT(O11)</f>
        <v>0.27170049112623973</v>
      </c>
      <c r="Q11">
        <f>P11^2*$B$23</f>
        <v>1.476423137564797E-2</v>
      </c>
      <c r="R11">
        <f>Q11+1</f>
        <v>1.014764231375648</v>
      </c>
      <c r="S11" s="3">
        <f t="shared" ref="S11:S17" si="1">I3/R11</f>
        <v>274.5958040147442</v>
      </c>
      <c r="T11" s="4">
        <f>SQRT($B$17*$B$13*S11)</f>
        <v>332.19243784199131</v>
      </c>
      <c r="U11" s="5">
        <f>T11*P11</f>
        <v>90.256848510091899</v>
      </c>
      <c r="V11">
        <f>E11/($B$13*S11)</f>
        <v>1.0278248315578924</v>
      </c>
      <c r="W11" s="2">
        <f>U11*SQRT(V11/$B$19)</f>
        <v>82.674518405830938</v>
      </c>
      <c r="X11">
        <f>$B$15+($B$12*C11)</f>
        <v>276.14392799999996</v>
      </c>
      <c r="Y11" s="2">
        <f>S11-X11</f>
        <v>-1.5481239852557565</v>
      </c>
      <c r="Z11">
        <f>F3/7937</f>
        <v>6.1232203603376591E-2</v>
      </c>
      <c r="AA11">
        <f>G3/7937</f>
        <v>8.3658813153584477E-2</v>
      </c>
    </row>
    <row r="12" spans="1:27" x14ac:dyDescent="0.3">
      <c r="A12" t="s">
        <v>23</v>
      </c>
      <c r="B12">
        <v>-6.4999999999999997E-3</v>
      </c>
      <c r="C12" s="2">
        <f t="shared" ref="C12:C17" si="2">C4*0.3048</f>
        <v>1935.48</v>
      </c>
      <c r="D12" s="2">
        <f t="shared" ref="D12:D17" si="3">D4*0.51444</f>
        <v>77.165999999999997</v>
      </c>
      <c r="E12" s="2">
        <f t="shared" ref="E12:E16" si="4">$B$14*(1+($B$12*C12)/$B$15)^(-$B$11/($B$12*$B$13))</f>
        <v>80133.914357232294</v>
      </c>
      <c r="F12">
        <f t="shared" ref="F12:F16" si="5">D12^2</f>
        <v>5954.5915559999994</v>
      </c>
      <c r="G12">
        <f t="shared" ref="G12:G16" si="6">(1+$B$16*$B$18*F12)</f>
        <v>1.0102842686632125</v>
      </c>
      <c r="H12">
        <f t="shared" ref="H12:H16" si="7">G12^$B$20</f>
        <v>1.0364600498275149</v>
      </c>
      <c r="I12">
        <f t="shared" ref="I12:I16" si="8">H12-1</f>
        <v>3.646004982751494E-2</v>
      </c>
      <c r="J12">
        <f t="shared" ref="J12:J16" si="9">$B$14/E12</f>
        <v>1.2644459067393001</v>
      </c>
      <c r="K12">
        <f t="shared" ref="K12:K16" si="10">J12*I12</f>
        <v>4.6101760763912189E-2</v>
      </c>
      <c r="L12">
        <f t="shared" ref="L12:L16" si="11">K12+1</f>
        <v>1.0461017607639123</v>
      </c>
      <c r="M12">
        <f t="shared" ref="M12:M16" si="12">L12^$B$21</f>
        <v>1.0129605974115894</v>
      </c>
      <c r="N12">
        <f t="shared" ref="N12:N16" si="13">M12-1</f>
        <v>1.2960597411589392E-2</v>
      </c>
      <c r="O12">
        <f t="shared" ref="O12:O16" si="14">N12*$B$22</f>
        <v>6.4802987057946973E-2</v>
      </c>
      <c r="P12" s="1">
        <f t="shared" ref="P12:P16" si="15">SQRT(O12)</f>
        <v>0.25456430829546189</v>
      </c>
      <c r="Q12">
        <f t="shared" ref="Q12:Q16" si="16">P12^2*$B$23</f>
        <v>1.2960597411589392E-2</v>
      </c>
      <c r="R12">
        <f t="shared" ref="R12:R16" si="17">Q12+1</f>
        <v>1.0129605974115894</v>
      </c>
      <c r="S12" s="3">
        <f t="shared" si="1"/>
        <v>274.09753223321513</v>
      </c>
      <c r="T12" s="4">
        <f t="shared" ref="T12:T16" si="18">SQRT($B$17*$B$13*S12)</f>
        <v>331.89090870128121</v>
      </c>
      <c r="U12" s="5">
        <f t="shared" ref="U12:U16" si="19">T12*P12</f>
        <v>84.487579603093948</v>
      </c>
      <c r="V12">
        <f t="shared" ref="V12:V16" si="20">E12/($B$13*S12)</f>
        <v>1.0184827572044652</v>
      </c>
      <c r="W12" s="2">
        <f t="shared" ref="W12:W16" si="21">U12*SQRT(V12/$B$19)</f>
        <v>77.037408464009815</v>
      </c>
      <c r="X12">
        <f t="shared" ref="X12:X16" si="22">$B$15+($B$12*C12)</f>
        <v>275.56937999999997</v>
      </c>
      <c r="Y12" s="2">
        <f t="shared" ref="Y12:Y16" si="23">S12-X12</f>
        <v>-1.4718477667848333</v>
      </c>
      <c r="Z12">
        <f t="shared" ref="Z12:AA16" si="24">F4/7937</f>
        <v>6.0728234849439337E-2</v>
      </c>
      <c r="AA12">
        <f t="shared" si="24"/>
        <v>8.7438578808113898E-2</v>
      </c>
    </row>
    <row r="13" spans="1:27" x14ac:dyDescent="0.3">
      <c r="A13" t="s">
        <v>24</v>
      </c>
      <c r="B13">
        <v>287.05</v>
      </c>
      <c r="C13" s="2">
        <f t="shared" si="2"/>
        <v>1996.44</v>
      </c>
      <c r="D13" s="2">
        <f t="shared" si="3"/>
        <v>72.021600000000007</v>
      </c>
      <c r="E13" s="2">
        <f t="shared" si="4"/>
        <v>79530.153892747563</v>
      </c>
      <c r="F13">
        <f t="shared" si="5"/>
        <v>5187.1108665600013</v>
      </c>
      <c r="G13">
        <f t="shared" si="6"/>
        <v>1.0089587407021761</v>
      </c>
      <c r="H13">
        <f t="shared" si="7"/>
        <v>1.0317083003513763</v>
      </c>
      <c r="I13">
        <f t="shared" si="8"/>
        <v>3.1708300351376284E-2</v>
      </c>
      <c r="J13">
        <f t="shared" si="9"/>
        <v>1.2740450639218484</v>
      </c>
      <c r="K13">
        <f t="shared" si="10"/>
        <v>4.0397803548022367E-2</v>
      </c>
      <c r="L13">
        <f t="shared" si="11"/>
        <v>1.0403978035480224</v>
      </c>
      <c r="M13">
        <f t="shared" si="12"/>
        <v>1.0113794426676257</v>
      </c>
      <c r="N13">
        <f t="shared" si="13"/>
        <v>1.1379442667625694E-2</v>
      </c>
      <c r="O13">
        <f t="shared" si="14"/>
        <v>5.6897213338128479E-2</v>
      </c>
      <c r="P13" s="1">
        <f t="shared" si="15"/>
        <v>0.23853136761886995</v>
      </c>
      <c r="Q13">
        <f t="shared" si="16"/>
        <v>1.1379442667625693E-2</v>
      </c>
      <c r="R13">
        <f t="shared" si="17"/>
        <v>1.0113794426676257</v>
      </c>
      <c r="S13" s="3">
        <f t="shared" si="1"/>
        <v>273.53729799995227</v>
      </c>
      <c r="T13" s="4">
        <f t="shared" si="18"/>
        <v>331.55155548909858</v>
      </c>
      <c r="U13" s="5">
        <f t="shared" si="19"/>
        <v>79.085445966978327</v>
      </c>
      <c r="V13">
        <f t="shared" si="20"/>
        <v>1.0128793544170209</v>
      </c>
      <c r="W13" s="2">
        <f t="shared" si="21"/>
        <v>71.912996106206364</v>
      </c>
      <c r="X13">
        <f t="shared" si="22"/>
        <v>275.17313999999999</v>
      </c>
      <c r="Y13" s="2">
        <f t="shared" si="23"/>
        <v>-1.6358420000477167</v>
      </c>
      <c r="Z13">
        <f t="shared" si="24"/>
        <v>6.0098273907017767E-2</v>
      </c>
      <c r="AA13">
        <f t="shared" si="24"/>
        <v>9.1974297593549206E-2</v>
      </c>
    </row>
    <row r="14" spans="1:27" x14ac:dyDescent="0.3">
      <c r="A14" t="s">
        <v>25</v>
      </c>
      <c r="B14">
        <v>101325</v>
      </c>
      <c r="C14" s="2">
        <f t="shared" si="2"/>
        <v>2097.0239999999999</v>
      </c>
      <c r="D14" s="2">
        <f t="shared" si="3"/>
        <v>66.877200000000002</v>
      </c>
      <c r="E14" s="2">
        <f t="shared" si="4"/>
        <v>78542.005515422512</v>
      </c>
      <c r="F14">
        <f t="shared" si="5"/>
        <v>4472.5598798400006</v>
      </c>
      <c r="G14">
        <f t="shared" si="6"/>
        <v>1.0077246284625907</v>
      </c>
      <c r="H14">
        <f t="shared" si="7"/>
        <v>1.0272982646175863</v>
      </c>
      <c r="I14">
        <f t="shared" si="8"/>
        <v>2.7298264617586332E-2</v>
      </c>
      <c r="J14">
        <f t="shared" si="9"/>
        <v>1.2900740098889354</v>
      </c>
      <c r="K14">
        <f t="shared" si="10"/>
        <v>3.5216781698218846E-2</v>
      </c>
      <c r="L14">
        <f t="shared" si="11"/>
        <v>1.0352167816982187</v>
      </c>
      <c r="M14">
        <f t="shared" si="12"/>
        <v>1.009937871823146</v>
      </c>
      <c r="N14">
        <f t="shared" si="13"/>
        <v>9.9378718231459828E-3</v>
      </c>
      <c r="O14">
        <f t="shared" si="14"/>
        <v>4.9689359115729921E-2</v>
      </c>
      <c r="P14" s="1">
        <f t="shared" si="15"/>
        <v>0.22291110137391076</v>
      </c>
      <c r="Q14">
        <f t="shared" si="16"/>
        <v>9.9378718231459828E-3</v>
      </c>
      <c r="R14">
        <f t="shared" si="17"/>
        <v>1.009937871823146</v>
      </c>
      <c r="S14" s="3">
        <f t="shared" si="1"/>
        <v>272.93758130130811</v>
      </c>
      <c r="T14" s="4">
        <f t="shared" si="18"/>
        <v>331.18790104343589</v>
      </c>
      <c r="U14" s="5">
        <f t="shared" si="19"/>
        <v>73.825459783306059</v>
      </c>
      <c r="V14">
        <f t="shared" si="20"/>
        <v>1.0024924179493033</v>
      </c>
      <c r="W14" s="2">
        <f t="shared" si="21"/>
        <v>66.784959108431138</v>
      </c>
      <c r="X14">
        <f t="shared" si="22"/>
        <v>274.51934399999999</v>
      </c>
      <c r="Y14" s="2">
        <f t="shared" si="23"/>
        <v>-1.5817626986918754</v>
      </c>
      <c r="Z14">
        <f t="shared" si="24"/>
        <v>5.9594305153080507E-2</v>
      </c>
      <c r="AA14">
        <f t="shared" si="24"/>
        <v>9.5124102305657043E-2</v>
      </c>
    </row>
    <row r="15" spans="1:27" x14ac:dyDescent="0.3">
      <c r="A15" t="s">
        <v>27</v>
      </c>
      <c r="B15">
        <v>288.14999999999998</v>
      </c>
      <c r="C15" s="2">
        <f t="shared" si="2"/>
        <v>1877.568</v>
      </c>
      <c r="D15" s="2">
        <f t="shared" si="3"/>
        <v>88.99812</v>
      </c>
      <c r="E15" s="2">
        <f t="shared" si="4"/>
        <v>80710.919297420813</v>
      </c>
      <c r="F15">
        <f t="shared" si="5"/>
        <v>7920.6653635344001</v>
      </c>
      <c r="G15">
        <f t="shared" si="6"/>
        <v>1.0136799056365016</v>
      </c>
      <c r="H15">
        <f t="shared" si="7"/>
        <v>1.0487040161159991</v>
      </c>
      <c r="I15">
        <f t="shared" si="8"/>
        <v>4.870401611599906E-2</v>
      </c>
      <c r="J15">
        <f t="shared" si="9"/>
        <v>1.2554063425621014</v>
      </c>
      <c r="K15">
        <f t="shared" si="10"/>
        <v>6.114333074027202E-2</v>
      </c>
      <c r="L15">
        <f t="shared" si="11"/>
        <v>1.061143330740272</v>
      </c>
      <c r="M15">
        <f t="shared" si="12"/>
        <v>1.0171008422959975</v>
      </c>
      <c r="N15">
        <f t="shared" si="13"/>
        <v>1.7100842295997509E-2</v>
      </c>
      <c r="O15">
        <f t="shared" si="14"/>
        <v>8.550421147998756E-2</v>
      </c>
      <c r="P15" s="1">
        <f t="shared" si="15"/>
        <v>0.29241103173441929</v>
      </c>
      <c r="Q15">
        <f t="shared" si="16"/>
        <v>1.7100842295997509E-2</v>
      </c>
      <c r="R15">
        <f t="shared" si="17"/>
        <v>1.0171008422959975</v>
      </c>
      <c r="S15" s="3">
        <f t="shared" si="1"/>
        <v>273.47337494294646</v>
      </c>
      <c r="T15" s="4">
        <f t="shared" si="18"/>
        <v>331.51281300776583</v>
      </c>
      <c r="U15" s="5">
        <f t="shared" si="19"/>
        <v>96.938003684780426</v>
      </c>
      <c r="V15">
        <f t="shared" si="20"/>
        <v>1.0281576055081751</v>
      </c>
      <c r="W15" s="2">
        <f t="shared" si="21"/>
        <v>88.808773777310861</v>
      </c>
      <c r="X15">
        <f t="shared" si="22"/>
        <v>275.945808</v>
      </c>
      <c r="Y15" s="2">
        <f t="shared" si="23"/>
        <v>-2.4724330570535358</v>
      </c>
      <c r="Z15">
        <f t="shared" si="24"/>
        <v>6.1610180168829534E-2</v>
      </c>
      <c r="AA15">
        <f t="shared" si="24"/>
        <v>0.10054176641048256</v>
      </c>
    </row>
    <row r="16" spans="1:27" x14ac:dyDescent="0.3">
      <c r="A16" t="s">
        <v>28</v>
      </c>
      <c r="B16">
        <f>(B17-1)/(2*B17)</f>
        <v>0.14285714285714282</v>
      </c>
      <c r="C16" s="2">
        <f t="shared" si="2"/>
        <v>1770.8880000000001</v>
      </c>
      <c r="D16" s="2">
        <f t="shared" si="3"/>
        <v>92.084760000000003</v>
      </c>
      <c r="E16" s="2">
        <f t="shared" si="4"/>
        <v>81782.628755906771</v>
      </c>
      <c r="F16">
        <f t="shared" si="5"/>
        <v>8479.6030242575998</v>
      </c>
      <c r="G16">
        <f t="shared" si="6"/>
        <v>1.0146452556550218</v>
      </c>
      <c r="H16">
        <f t="shared" si="7"/>
        <v>1.0522036440238418</v>
      </c>
      <c r="I16">
        <f t="shared" si="8"/>
        <v>5.2203644023841811E-2</v>
      </c>
      <c r="J16">
        <f t="shared" si="9"/>
        <v>1.2389550390024822</v>
      </c>
      <c r="K16">
        <f t="shared" si="10"/>
        <v>6.4677967817630619E-2</v>
      </c>
      <c r="L16">
        <f t="shared" si="11"/>
        <v>1.0646779678176306</v>
      </c>
      <c r="M16">
        <f t="shared" si="12"/>
        <v>1.0180676737559038</v>
      </c>
      <c r="N16">
        <f t="shared" si="13"/>
        <v>1.806767375590379E-2</v>
      </c>
      <c r="O16">
        <f t="shared" si="14"/>
        <v>9.0338368779518965E-2</v>
      </c>
      <c r="P16" s="1">
        <f t="shared" si="15"/>
        <v>0.30056341889777433</v>
      </c>
      <c r="Q16">
        <f t="shared" si="16"/>
        <v>1.806767375590379E-2</v>
      </c>
      <c r="R16">
        <f t="shared" si="17"/>
        <v>1.0180676737559038</v>
      </c>
      <c r="S16" s="3">
        <f t="shared" si="1"/>
        <v>274.39236821007057</v>
      </c>
      <c r="T16" s="4">
        <f t="shared" si="18"/>
        <v>332.06936174929035</v>
      </c>
      <c r="U16" s="5">
        <f t="shared" si="19"/>
        <v>99.80790267856851</v>
      </c>
      <c r="V16">
        <f t="shared" si="20"/>
        <v>1.0383206394091531</v>
      </c>
      <c r="W16" s="2">
        <f t="shared" si="21"/>
        <v>91.888810301578829</v>
      </c>
      <c r="X16">
        <f t="shared" si="22"/>
        <v>276.639228</v>
      </c>
      <c r="Y16" s="2">
        <f t="shared" si="23"/>
        <v>-2.2468597899294309</v>
      </c>
      <c r="Z16">
        <f t="shared" si="24"/>
        <v>6.2492125488219731E-2</v>
      </c>
      <c r="AA16">
        <f t="shared" si="24"/>
        <v>0.10394355549955903</v>
      </c>
    </row>
    <row r="17" spans="1:27" x14ac:dyDescent="0.3">
      <c r="A17" t="s">
        <v>29</v>
      </c>
      <c r="B17">
        <v>1.4</v>
      </c>
      <c r="C17" s="2">
        <f t="shared" si="2"/>
        <v>1618.4880000000001</v>
      </c>
      <c r="D17" s="2">
        <f t="shared" si="3"/>
        <v>98.772480000000002</v>
      </c>
      <c r="E17" s="2">
        <f t="shared" ref="E17" si="25">$B$14*(1+($B$12*C17)/$B$15)^(-$B$11/($B$12*$B$13))</f>
        <v>83333.604189122838</v>
      </c>
      <c r="F17">
        <f t="shared" ref="F17" si="26">D17^2</f>
        <v>9756.0028053504011</v>
      </c>
      <c r="G17">
        <f t="shared" ref="G17" si="27">(1+$B$16*$B$18*F17)</f>
        <v>1.0168497457778072</v>
      </c>
      <c r="H17">
        <f t="shared" ref="H17" si="28">G17^$B$20</f>
        <v>1.0602267204144782</v>
      </c>
      <c r="I17">
        <f t="shared" ref="I17" si="29">H17-1</f>
        <v>6.0226720414478185E-2</v>
      </c>
      <c r="J17">
        <f t="shared" ref="J17" si="30">$B$14/E17</f>
        <v>1.2158960480101915</v>
      </c>
      <c r="K17">
        <f t="shared" ref="K17" si="31">J17*I17</f>
        <v>7.3229431336578749E-2</v>
      </c>
      <c r="L17">
        <f t="shared" ref="L17" si="32">K17+1</f>
        <v>1.0732294313365787</v>
      </c>
      <c r="M17">
        <f t="shared" ref="M17" si="33">L17^$B$21</f>
        <v>1.0203973141942926</v>
      </c>
      <c r="N17">
        <f t="shared" ref="N17" si="34">M17-1</f>
        <v>2.0397314194292582E-2</v>
      </c>
      <c r="O17">
        <f t="shared" ref="O17" si="35">N17*$B$22</f>
        <v>0.10198657097146292</v>
      </c>
      <c r="P17" s="1">
        <f t="shared" ref="P17" si="36">SQRT(O17)</f>
        <v>0.31935336380170309</v>
      </c>
      <c r="Q17">
        <f t="shared" ref="Q17" si="37">P17^2*$B$23</f>
        <v>2.0397314194292578E-2</v>
      </c>
      <c r="R17">
        <f t="shared" ref="R17" si="38">Q17+1</f>
        <v>1.0203973141942926</v>
      </c>
      <c r="S17" s="3">
        <f t="shared" si="1"/>
        <v>275.7259315428073</v>
      </c>
      <c r="T17" s="4">
        <f t="shared" ref="T17" si="39">SQRT($B$17*$B$13*S17)</f>
        <v>332.87532216898865</v>
      </c>
      <c r="U17" s="5">
        <f t="shared" ref="U17" si="40">T17*P17</f>
        <v>106.30485386124215</v>
      </c>
      <c r="V17">
        <f t="shared" ref="V17" si="41">E17/($B$13*S17)</f>
        <v>1.0528948505296623</v>
      </c>
      <c r="W17" s="2">
        <f t="shared" ref="W17" si="42">U17*SQRT(V17/$B$19)</f>
        <v>98.554747876884733</v>
      </c>
      <c r="X17">
        <f t="shared" ref="X17" si="43">$B$15+($B$12*C17)</f>
        <v>277.62982799999997</v>
      </c>
      <c r="Y17" s="2">
        <f t="shared" ref="Y17" si="44">S17-X17</f>
        <v>-1.9038964571926726</v>
      </c>
      <c r="Z17">
        <f t="shared" ref="Z17" si="45">F9/7937</f>
        <v>6.3626055184578562E-2</v>
      </c>
      <c r="AA17">
        <f t="shared" ref="AA17" si="46">G9/7937</f>
        <v>0.10658939145772962</v>
      </c>
    </row>
    <row r="18" spans="1:27" x14ac:dyDescent="0.3">
      <c r="A18" t="s">
        <v>30</v>
      </c>
      <c r="B18">
        <f>B19/B14</f>
        <v>1.2089810017271157E-5</v>
      </c>
    </row>
    <row r="19" spans="1:27" x14ac:dyDescent="0.3">
      <c r="A19" t="s">
        <v>31</v>
      </c>
      <c r="B19">
        <v>1.2250000000000001</v>
      </c>
    </row>
    <row r="20" spans="1:27" x14ac:dyDescent="0.3">
      <c r="A20" t="s">
        <v>34</v>
      </c>
      <c r="B20">
        <f>(B17/(B17-1))</f>
        <v>3.5000000000000004</v>
      </c>
    </row>
    <row r="21" spans="1:27" x14ac:dyDescent="0.3">
      <c r="A21" t="s">
        <v>38</v>
      </c>
      <c r="B21">
        <f>B20^-1</f>
        <v>0.2857142857142857</v>
      </c>
    </row>
    <row r="22" spans="1:27" x14ac:dyDescent="0.3">
      <c r="A22" t="s">
        <v>39</v>
      </c>
      <c r="B22">
        <f>2/(B17-1)</f>
        <v>5.0000000000000009</v>
      </c>
    </row>
    <row r="23" spans="1:27" x14ac:dyDescent="0.3">
      <c r="A23" t="s">
        <v>41</v>
      </c>
      <c r="B23">
        <f>(B17-1)/2</f>
        <v>0.19999999999999996</v>
      </c>
    </row>
  </sheetData>
  <conditionalFormatting sqref="B3:H9 J3:M9">
    <cfRule type="expression" priority="1">
      <formula>LEN(TRIM(B3))=0</formula>
    </cfRule>
  </conditionalFormatting>
  <conditionalFormatting sqref="A3:A9">
    <cfRule type="expression" priority="2">
      <formula>LEN(TRIM(A3))=0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ED1B2-D729-437E-B2D6-26ECD5EB0957}">
  <dimension ref="A1:J17"/>
  <sheetViews>
    <sheetView workbookViewId="0">
      <selection sqref="A1:J17"/>
    </sheetView>
  </sheetViews>
  <sheetFormatPr defaultRowHeight="14.4" x14ac:dyDescent="0.3"/>
  <sheetData>
    <row r="1" spans="1:10" x14ac:dyDescent="0.3">
      <c r="A1" t="s">
        <v>48</v>
      </c>
      <c r="B1" t="s">
        <v>40</v>
      </c>
      <c r="C1" t="s">
        <v>43</v>
      </c>
      <c r="D1" t="s">
        <v>49</v>
      </c>
      <c r="E1" t="s">
        <v>50</v>
      </c>
      <c r="H1" t="s">
        <v>92</v>
      </c>
      <c r="I1" t="s">
        <v>93</v>
      </c>
      <c r="J1" t="s">
        <v>94</v>
      </c>
    </row>
    <row r="2" spans="1:10" x14ac:dyDescent="0.3">
      <c r="A2">
        <v>1847.0880000000002</v>
      </c>
      <c r="B2">
        <v>0.27170049112623973</v>
      </c>
      <c r="C2">
        <v>-1.5481239852557565</v>
      </c>
      <c r="D2">
        <v>6.1232203603376591E-2</v>
      </c>
      <c r="E2">
        <v>8.3658813153584477E-2</v>
      </c>
      <c r="H2">
        <v>2091.73</v>
      </c>
      <c r="I2">
        <v>3402.95</v>
      </c>
      <c r="J2">
        <f>H2+I2</f>
        <v>5494.68</v>
      </c>
    </row>
    <row r="3" spans="1:10" x14ac:dyDescent="0.3">
      <c r="A3">
        <v>1935.48</v>
      </c>
      <c r="B3">
        <v>0.25456430829546189</v>
      </c>
      <c r="C3">
        <v>-1.4718477667848333</v>
      </c>
      <c r="D3">
        <v>6.0728234849439337E-2</v>
      </c>
      <c r="E3">
        <v>8.7438578808113898E-2</v>
      </c>
      <c r="H3">
        <v>2140.6999999999998</v>
      </c>
      <c r="I3">
        <v>3734.58</v>
      </c>
      <c r="J3">
        <f t="shared" ref="J3:J17" si="0">H3+I3</f>
        <v>5875.28</v>
      </c>
    </row>
    <row r="4" spans="1:10" x14ac:dyDescent="0.3">
      <c r="A4">
        <v>1996.44</v>
      </c>
      <c r="B4">
        <v>0.23853136761886995</v>
      </c>
      <c r="C4">
        <v>-1.6358420000477167</v>
      </c>
      <c r="D4">
        <v>6.0098273907017767E-2</v>
      </c>
      <c r="E4">
        <v>9.1974297593549206E-2</v>
      </c>
      <c r="H4">
        <v>2173.3000000000002</v>
      </c>
      <c r="I4">
        <v>4115.7299999999996</v>
      </c>
      <c r="J4">
        <f t="shared" si="0"/>
        <v>6289.03</v>
      </c>
    </row>
    <row r="5" spans="1:10" x14ac:dyDescent="0.3">
      <c r="A5">
        <v>2097.0239999999999</v>
      </c>
      <c r="B5">
        <v>0.22291110137391076</v>
      </c>
      <c r="C5">
        <v>-1.5817626986918754</v>
      </c>
      <c r="D5">
        <v>5.9594305153080507E-2</v>
      </c>
      <c r="E5">
        <v>9.5124102305657043E-2</v>
      </c>
      <c r="H5">
        <v>2219.31</v>
      </c>
      <c r="I5">
        <v>4434.55</v>
      </c>
      <c r="J5">
        <f t="shared" si="0"/>
        <v>6653.8600000000006</v>
      </c>
    </row>
    <row r="6" spans="1:10" x14ac:dyDescent="0.3">
      <c r="A6">
        <v>1877.568</v>
      </c>
      <c r="B6">
        <v>0.29241103173441929</v>
      </c>
      <c r="C6">
        <v>-2.4724330570535358</v>
      </c>
      <c r="D6">
        <v>6.1610180168829534E-2</v>
      </c>
      <c r="E6">
        <v>0.10054176641048256</v>
      </c>
      <c r="H6">
        <v>2057.34</v>
      </c>
      <c r="I6">
        <v>4353.8999999999996</v>
      </c>
      <c r="J6">
        <f t="shared" si="0"/>
        <v>6411.24</v>
      </c>
    </row>
    <row r="7" spans="1:10" x14ac:dyDescent="0.3">
      <c r="A7">
        <v>1770.8880000000001</v>
      </c>
      <c r="B7">
        <v>0.30056341889777433</v>
      </c>
      <c r="C7">
        <v>-2.2468597899294309</v>
      </c>
      <c r="D7">
        <v>6.2492125488219731E-2</v>
      </c>
      <c r="E7">
        <v>0.10394355549955903</v>
      </c>
      <c r="H7">
        <v>2055.58</v>
      </c>
      <c r="I7">
        <v>4485.4799999999996</v>
      </c>
      <c r="J7">
        <f t="shared" si="0"/>
        <v>6541.0599999999995</v>
      </c>
    </row>
    <row r="8" spans="1:10" x14ac:dyDescent="0.3">
      <c r="A8">
        <v>1618.4880000000001</v>
      </c>
      <c r="B8">
        <v>0.31935336380170309</v>
      </c>
      <c r="C8">
        <v>-1.9038964571926726</v>
      </c>
      <c r="D8">
        <v>6.3626055184578562E-2</v>
      </c>
      <c r="E8">
        <v>0.10658939145772962</v>
      </c>
      <c r="H8">
        <v>2021.39</v>
      </c>
      <c r="I8">
        <v>4495.7</v>
      </c>
      <c r="J8">
        <f t="shared" si="0"/>
        <v>6517.09</v>
      </c>
    </row>
    <row r="11" spans="1:10" x14ac:dyDescent="0.3">
      <c r="A11">
        <v>1847.0880000000002</v>
      </c>
      <c r="B11">
        <v>0.27170049112623973</v>
      </c>
      <c r="C11">
        <v>-1.5481239852557565</v>
      </c>
      <c r="D11">
        <v>4.8000000000000001E-2</v>
      </c>
      <c r="E11">
        <v>4.8000000000000001E-2</v>
      </c>
      <c r="H11">
        <v>1339.06</v>
      </c>
      <c r="I11">
        <v>1339.06</v>
      </c>
      <c r="J11">
        <f t="shared" si="0"/>
        <v>2678.12</v>
      </c>
    </row>
    <row r="12" spans="1:10" x14ac:dyDescent="0.3">
      <c r="A12">
        <v>1935.48</v>
      </c>
      <c r="B12">
        <v>0.25456430829546189</v>
      </c>
      <c r="C12">
        <v>-1.4718477667848333</v>
      </c>
      <c r="D12">
        <v>4.8000000000000001E-2</v>
      </c>
      <c r="E12">
        <v>4.8000000000000001E-2</v>
      </c>
      <c r="H12">
        <v>1400.86</v>
      </c>
      <c r="I12">
        <v>1400.86</v>
      </c>
      <c r="J12">
        <f t="shared" si="0"/>
        <v>2801.72</v>
      </c>
    </row>
    <row r="13" spans="1:10" x14ac:dyDescent="0.3">
      <c r="A13">
        <v>1996.44</v>
      </c>
      <c r="B13">
        <v>0.23853136761886995</v>
      </c>
      <c r="C13">
        <v>-1.6358420000477167</v>
      </c>
      <c r="D13">
        <v>4.8000000000000001E-2</v>
      </c>
      <c r="E13">
        <v>4.8000000000000001E-2</v>
      </c>
      <c r="H13">
        <v>1457.04</v>
      </c>
      <c r="I13">
        <v>1457.04</v>
      </c>
      <c r="J13">
        <f t="shared" si="0"/>
        <v>2914.08</v>
      </c>
    </row>
    <row r="14" spans="1:10" x14ac:dyDescent="0.3">
      <c r="A14">
        <v>2097.0239999999999</v>
      </c>
      <c r="B14">
        <v>0.22291110137391076</v>
      </c>
      <c r="C14">
        <v>-1.5817626986918754</v>
      </c>
      <c r="D14">
        <v>4.8000000000000001E-2</v>
      </c>
      <c r="E14">
        <v>4.8000000000000001E-2</v>
      </c>
      <c r="H14">
        <v>1520.27</v>
      </c>
      <c r="I14">
        <v>1520.27</v>
      </c>
      <c r="J14">
        <f t="shared" si="0"/>
        <v>3040.54</v>
      </c>
    </row>
    <row r="15" spans="1:10" x14ac:dyDescent="0.3">
      <c r="A15">
        <v>1877.568</v>
      </c>
      <c r="B15">
        <v>0.29241103173441929</v>
      </c>
      <c r="C15">
        <v>-2.4724330570535358</v>
      </c>
      <c r="D15">
        <v>4.8000000000000001E-2</v>
      </c>
      <c r="E15">
        <v>4.8000000000000001E-2</v>
      </c>
      <c r="H15">
        <v>1296.5</v>
      </c>
      <c r="I15">
        <v>1296.5</v>
      </c>
      <c r="J15">
        <f t="shared" si="0"/>
        <v>2593</v>
      </c>
    </row>
    <row r="16" spans="1:10" x14ac:dyDescent="0.3">
      <c r="A16">
        <v>1770.8880000000001</v>
      </c>
      <c r="B16">
        <v>0.30056341889777433</v>
      </c>
      <c r="C16">
        <v>-2.2468597899294309</v>
      </c>
      <c r="D16">
        <v>4.8000000000000001E-2</v>
      </c>
      <c r="E16">
        <v>4.8000000000000001E-2</v>
      </c>
      <c r="H16">
        <v>1254.25</v>
      </c>
      <c r="I16">
        <v>1254.25</v>
      </c>
      <c r="J16">
        <f t="shared" si="0"/>
        <v>2508.5</v>
      </c>
    </row>
    <row r="17" spans="1:10" x14ac:dyDescent="0.3">
      <c r="A17">
        <v>1618.4880000000001</v>
      </c>
      <c r="B17">
        <v>0.31935336380170309</v>
      </c>
      <c r="C17">
        <v>-1.9038964571926726</v>
      </c>
      <c r="D17">
        <v>4.8000000000000001E-2</v>
      </c>
      <c r="E17">
        <v>4.8000000000000001E-2</v>
      </c>
      <c r="H17">
        <v>1177.82</v>
      </c>
      <c r="I17">
        <v>1177.82</v>
      </c>
      <c r="J17">
        <f t="shared" si="0"/>
        <v>2355.64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19A5D-4EE0-4E53-874D-9A93FB4196C1}">
  <dimension ref="A2:AA23"/>
  <sheetViews>
    <sheetView topLeftCell="G1" workbookViewId="0">
      <selection activeCell="Z11" sqref="Z11:AA16"/>
    </sheetView>
  </sheetViews>
  <sheetFormatPr defaultRowHeight="14.4" x14ac:dyDescent="0.3"/>
  <cols>
    <col min="2" max="2" width="12" bestFit="1" customWidth="1"/>
    <col min="6" max="6" width="15.5546875" bestFit="1" customWidth="1"/>
    <col min="8" max="8" width="11.6640625" bestFit="1" customWidth="1"/>
    <col min="9" max="9" width="12" bestFit="1" customWidth="1"/>
  </cols>
  <sheetData>
    <row r="2" spans="1:27" x14ac:dyDescent="0.3">
      <c r="C2" t="s">
        <v>20</v>
      </c>
      <c r="D2" t="s">
        <v>17</v>
      </c>
      <c r="F2" t="s">
        <v>49</v>
      </c>
      <c r="G2" t="s">
        <v>50</v>
      </c>
      <c r="I2" t="s">
        <v>18</v>
      </c>
    </row>
    <row r="3" spans="1:27" x14ac:dyDescent="0.3">
      <c r="A3" t="s">
        <v>0</v>
      </c>
      <c r="C3" s="8">
        <v>9000</v>
      </c>
      <c r="D3" s="9">
        <v>250</v>
      </c>
      <c r="E3" s="10" t="s">
        <v>95</v>
      </c>
      <c r="F3" s="11">
        <v>740</v>
      </c>
      <c r="G3" s="11">
        <v>788</v>
      </c>
      <c r="H3" s="11">
        <v>433</v>
      </c>
      <c r="I3" s="11" t="s">
        <v>71</v>
      </c>
      <c r="J3">
        <f>I3+273.15</f>
        <v>281.64999999999998</v>
      </c>
    </row>
    <row r="4" spans="1:27" x14ac:dyDescent="0.3">
      <c r="A4" t="s">
        <v>3</v>
      </c>
      <c r="C4" s="8">
        <v>9000</v>
      </c>
      <c r="D4" s="9">
        <v>225</v>
      </c>
      <c r="E4" s="10" t="s">
        <v>96</v>
      </c>
      <c r="F4" s="11">
        <v>640</v>
      </c>
      <c r="G4" s="11">
        <v>685</v>
      </c>
      <c r="H4" s="11">
        <v>472</v>
      </c>
      <c r="I4" s="11" t="s">
        <v>99</v>
      </c>
      <c r="J4">
        <f t="shared" ref="J4:J8" si="0">I4+273.15</f>
        <v>279.25</v>
      </c>
    </row>
    <row r="5" spans="1:27" x14ac:dyDescent="0.3">
      <c r="A5" t="s">
        <v>6</v>
      </c>
      <c r="C5" s="8">
        <v>9000</v>
      </c>
      <c r="D5" s="9">
        <v>187</v>
      </c>
      <c r="E5" s="10" t="s">
        <v>79</v>
      </c>
      <c r="F5" s="11">
        <v>490</v>
      </c>
      <c r="G5" s="11">
        <v>540</v>
      </c>
      <c r="H5" s="11">
        <v>530</v>
      </c>
      <c r="I5" s="11" t="s">
        <v>100</v>
      </c>
      <c r="J5">
        <f t="shared" si="0"/>
        <v>276.34999999999997</v>
      </c>
    </row>
    <row r="6" spans="1:27" x14ac:dyDescent="0.3">
      <c r="A6" t="s">
        <v>9</v>
      </c>
      <c r="C6" s="8">
        <v>9010</v>
      </c>
      <c r="D6" s="9">
        <v>161</v>
      </c>
      <c r="E6" s="10" t="s">
        <v>97</v>
      </c>
      <c r="F6" s="11">
        <v>446</v>
      </c>
      <c r="G6" s="11">
        <v>482</v>
      </c>
      <c r="H6" s="11">
        <v>553</v>
      </c>
      <c r="I6" s="11" t="s">
        <v>62</v>
      </c>
      <c r="J6">
        <f t="shared" si="0"/>
        <v>275.95</v>
      </c>
    </row>
    <row r="7" spans="1:27" x14ac:dyDescent="0.3">
      <c r="A7" t="s">
        <v>12</v>
      </c>
      <c r="C7" s="8">
        <v>9030</v>
      </c>
      <c r="D7" s="9">
        <v>133</v>
      </c>
      <c r="E7" s="10" t="s">
        <v>98</v>
      </c>
      <c r="F7" s="11">
        <v>370</v>
      </c>
      <c r="G7" s="11">
        <v>425</v>
      </c>
      <c r="H7" s="11">
        <v>582</v>
      </c>
      <c r="I7" s="11" t="s">
        <v>101</v>
      </c>
      <c r="J7">
        <f t="shared" si="0"/>
        <v>274.64999999999998</v>
      </c>
    </row>
    <row r="8" spans="1:27" x14ac:dyDescent="0.3">
      <c r="A8" t="s">
        <v>14</v>
      </c>
      <c r="C8" s="8">
        <v>9080</v>
      </c>
      <c r="D8" s="9">
        <v>114</v>
      </c>
      <c r="E8" s="10" t="s">
        <v>15</v>
      </c>
      <c r="F8" s="11">
        <v>418</v>
      </c>
      <c r="G8" s="11">
        <v>460</v>
      </c>
      <c r="H8" s="11">
        <v>613</v>
      </c>
      <c r="I8" s="11" t="s">
        <v>102</v>
      </c>
      <c r="J8">
        <f t="shared" si="0"/>
        <v>273.64999999999998</v>
      </c>
    </row>
    <row r="10" spans="1:27" x14ac:dyDescent="0.3">
      <c r="C10" t="s">
        <v>21</v>
      </c>
      <c r="D10" t="s">
        <v>19</v>
      </c>
      <c r="E10" t="s">
        <v>26</v>
      </c>
      <c r="F10" t="s">
        <v>32</v>
      </c>
      <c r="G10" t="s">
        <v>33</v>
      </c>
      <c r="H10" t="s">
        <v>35</v>
      </c>
      <c r="I10" t="s">
        <v>36</v>
      </c>
      <c r="J10" t="s">
        <v>37</v>
      </c>
      <c r="P10" s="1" t="s">
        <v>40</v>
      </c>
      <c r="Q10" t="s">
        <v>42</v>
      </c>
      <c r="S10" s="3" t="s">
        <v>43</v>
      </c>
      <c r="T10" s="4" t="s">
        <v>44</v>
      </c>
      <c r="U10" s="5" t="s">
        <v>45</v>
      </c>
      <c r="V10" t="s">
        <v>47</v>
      </c>
      <c r="W10" s="2" t="s">
        <v>46</v>
      </c>
      <c r="X10" t="s">
        <v>51</v>
      </c>
      <c r="Y10" s="2" t="s">
        <v>52</v>
      </c>
      <c r="Z10" t="s">
        <v>49</v>
      </c>
      <c r="AA10" s="2" t="s">
        <v>50</v>
      </c>
    </row>
    <row r="11" spans="1:27" x14ac:dyDescent="0.3">
      <c r="A11" t="s">
        <v>22</v>
      </c>
      <c r="B11">
        <v>9.8066499999999994</v>
      </c>
      <c r="C11" s="2">
        <f>C3*0.3048</f>
        <v>2743.2000000000003</v>
      </c>
      <c r="D11" s="2">
        <f>D3*0.51444</f>
        <v>128.61000000000001</v>
      </c>
      <c r="E11" s="2">
        <f>$B$14*(1+($B$12*C11)/$B$15)^(-$B$11/($B$12*$B$13))</f>
        <v>72428.243612449951</v>
      </c>
      <c r="F11">
        <f>D11^2</f>
        <v>16540.532100000004</v>
      </c>
      <c r="G11">
        <f>(1+$B$16*$B$18*F11)</f>
        <v>1.028567412953368</v>
      </c>
      <c r="H11">
        <f>G11^$B$20</f>
        <v>1.1036075505699492</v>
      </c>
      <c r="I11">
        <f>H11-1</f>
        <v>0.10360755056994919</v>
      </c>
      <c r="J11">
        <f>$B$14/E11</f>
        <v>1.3989708288685172</v>
      </c>
      <c r="K11">
        <f>J11*I11</f>
        <v>0.14494394089787863</v>
      </c>
      <c r="L11">
        <f>K11+1</f>
        <v>1.1449439408978785</v>
      </c>
      <c r="M11">
        <f>L11^$B$21</f>
        <v>1.0394305865235185</v>
      </c>
      <c r="N11">
        <f>M11-1</f>
        <v>3.9430586523518496E-2</v>
      </c>
      <c r="O11">
        <f>N11*$B$22</f>
        <v>0.19715293261759251</v>
      </c>
      <c r="P11" s="1">
        <f>SQRT(O11)</f>
        <v>0.44401906785361428</v>
      </c>
      <c r="Q11">
        <f>P11^2*$B$23</f>
        <v>3.9430586523518496E-2</v>
      </c>
      <c r="R11">
        <f>Q11+1</f>
        <v>1.0394305865235185</v>
      </c>
      <c r="S11" s="3">
        <f>J3/R11</f>
        <v>270.96566490505836</v>
      </c>
      <c r="T11" s="4">
        <f>SQRT($B$17*$B$13*S11)</f>
        <v>329.98935097271823</v>
      </c>
      <c r="U11" s="5">
        <f>T11*P11</f>
        <v>146.52156402052552</v>
      </c>
      <c r="V11">
        <f>E11/($B$13*S11)</f>
        <v>0.93118535955839077</v>
      </c>
      <c r="W11" s="2">
        <f>U11*SQRT(V11/$B$19)</f>
        <v>127.74725328905589</v>
      </c>
      <c r="X11">
        <f>$B$15+($B$12*C11)</f>
        <v>270.31919999999997</v>
      </c>
      <c r="Y11" s="2">
        <f>S11-X11</f>
        <v>0.64646490505839438</v>
      </c>
      <c r="Z11">
        <f>F3/7937</f>
        <v>9.3234219478392333E-2</v>
      </c>
      <c r="AA11">
        <f>G3/7937</f>
        <v>9.9281844525639415E-2</v>
      </c>
    </row>
    <row r="12" spans="1:27" x14ac:dyDescent="0.3">
      <c r="A12" t="s">
        <v>23</v>
      </c>
      <c r="B12">
        <v>-6.4999999999999997E-3</v>
      </c>
      <c r="C12" s="2">
        <f t="shared" ref="C12:C16" si="1">C4*0.3048</f>
        <v>2743.2000000000003</v>
      </c>
      <c r="D12" s="2">
        <f t="shared" ref="D12:D16" si="2">D4*0.51444</f>
        <v>115.749</v>
      </c>
      <c r="E12" s="2">
        <f t="shared" ref="E12:E16" si="3">$B$14*(1+($B$12*C12)/$B$15)^(-$B$11/($B$12*$B$13))</f>
        <v>72428.243612449951</v>
      </c>
      <c r="F12">
        <f t="shared" ref="F12:F16" si="4">D12^2</f>
        <v>13397.831000999999</v>
      </c>
      <c r="G12">
        <f t="shared" ref="G12:G16" si="5">(1+$B$16*$B$18*F12)</f>
        <v>1.0231396044922281</v>
      </c>
      <c r="H12">
        <f t="shared" ref="H12:H16" si="6">G12^$B$20</f>
        <v>1.0833583525123576</v>
      </c>
      <c r="I12">
        <f t="shared" ref="I12:I16" si="7">H12-1</f>
        <v>8.335835251235757E-2</v>
      </c>
      <c r="J12">
        <f t="shared" ref="J12:J16" si="8">$B$14/E12</f>
        <v>1.3989708288685172</v>
      </c>
      <c r="K12">
        <f t="shared" ref="K12:K16" si="9">J12*I12</f>
        <v>0.11661590350732691</v>
      </c>
      <c r="L12">
        <f t="shared" ref="L12:L16" si="10">K12+1</f>
        <v>1.1166159035073269</v>
      </c>
      <c r="M12">
        <f t="shared" ref="M12:M16" si="11">L12^$B$21</f>
        <v>1.0320168842130597</v>
      </c>
      <c r="N12">
        <f t="shared" ref="N12:N16" si="12">M12-1</f>
        <v>3.2016884213059704E-2</v>
      </c>
      <c r="O12">
        <f t="shared" ref="O12:O16" si="13">N12*$B$22</f>
        <v>0.16008442106529855</v>
      </c>
      <c r="P12" s="1">
        <f t="shared" ref="P12:P16" si="14">SQRT(O12)</f>
        <v>0.40010551241553588</v>
      </c>
      <c r="Q12">
        <f t="shared" ref="Q12:Q16" si="15">P12^2*$B$23</f>
        <v>3.2016884213059704E-2</v>
      </c>
      <c r="R12">
        <f t="shared" ref="R12:R16" si="16">Q12+1</f>
        <v>1.0320168842130597</v>
      </c>
      <c r="S12" s="3">
        <f t="shared" ref="S12:S16" si="17">J4/R12</f>
        <v>270.58665829187044</v>
      </c>
      <c r="T12" s="4">
        <f t="shared" ref="T12:T16" si="18">SQRT($B$17*$B$13*S12)</f>
        <v>329.75848793890651</v>
      </c>
      <c r="U12" s="5">
        <f t="shared" ref="U12:U16" si="19">T12*P12</f>
        <v>131.93818879016851</v>
      </c>
      <c r="V12">
        <f t="shared" ref="V12:V16" si="20">E12/($B$13*S12)</f>
        <v>0.93248965671629314</v>
      </c>
      <c r="W12" s="2">
        <f t="shared" ref="W12:W16" si="21">U12*SQRT(V12/$B$19)</f>
        <v>115.11302990651259</v>
      </c>
      <c r="X12">
        <f t="shared" ref="X12:X16" si="22">$B$15+($B$12*C12)</f>
        <v>270.31919999999997</v>
      </c>
      <c r="Y12" s="2">
        <f t="shared" ref="Y12:Y16" si="23">S12-X12</f>
        <v>0.26745829187046866</v>
      </c>
      <c r="Z12">
        <f t="shared" ref="Z12:AA16" si="24">F4/7937</f>
        <v>8.0635000629960943E-2</v>
      </c>
      <c r="AA12">
        <f t="shared" si="24"/>
        <v>8.6304649111755075E-2</v>
      </c>
    </row>
    <row r="13" spans="1:27" x14ac:dyDescent="0.3">
      <c r="A13" t="s">
        <v>24</v>
      </c>
      <c r="B13">
        <v>287.05</v>
      </c>
      <c r="C13" s="2">
        <f t="shared" si="1"/>
        <v>2743.2000000000003</v>
      </c>
      <c r="D13" s="2">
        <f t="shared" si="2"/>
        <v>96.200280000000006</v>
      </c>
      <c r="E13" s="2">
        <f t="shared" si="3"/>
        <v>72428.243612449951</v>
      </c>
      <c r="F13">
        <f t="shared" si="4"/>
        <v>9254.4938720784012</v>
      </c>
      <c r="G13">
        <f t="shared" si="5"/>
        <v>1.0159835818170611</v>
      </c>
      <c r="H13">
        <f t="shared" si="6"/>
        <v>1.0570691892573072</v>
      </c>
      <c r="I13">
        <f t="shared" si="7"/>
        <v>5.7069189257307196E-2</v>
      </c>
      <c r="J13">
        <f t="shared" si="8"/>
        <v>1.3989708288685172</v>
      </c>
      <c r="K13">
        <f t="shared" si="9"/>
        <v>7.983813099814932E-2</v>
      </c>
      <c r="L13">
        <f t="shared" si="10"/>
        <v>1.0798381309981493</v>
      </c>
      <c r="M13">
        <f t="shared" si="11"/>
        <v>1.0221886289543796</v>
      </c>
      <c r="N13">
        <f t="shared" si="12"/>
        <v>2.2188628954379563E-2</v>
      </c>
      <c r="O13">
        <f t="shared" si="13"/>
        <v>0.11094314477189783</v>
      </c>
      <c r="P13" s="1">
        <f t="shared" si="14"/>
        <v>0.33308128853464258</v>
      </c>
      <c r="Q13">
        <f t="shared" si="15"/>
        <v>2.218862895437956E-2</v>
      </c>
      <c r="R13">
        <f t="shared" si="16"/>
        <v>1.0221886289543796</v>
      </c>
      <c r="S13" s="3">
        <f t="shared" si="17"/>
        <v>270.35127585275995</v>
      </c>
      <c r="T13" s="4">
        <f t="shared" si="18"/>
        <v>329.61502882445853</v>
      </c>
      <c r="U13" s="5">
        <f t="shared" si="19"/>
        <v>109.78859852123401</v>
      </c>
      <c r="V13">
        <f t="shared" si="20"/>
        <v>0.9333015326327313</v>
      </c>
      <c r="W13" s="2">
        <f t="shared" si="21"/>
        <v>95.829712759786673</v>
      </c>
      <c r="X13">
        <f t="shared" si="22"/>
        <v>270.31919999999997</v>
      </c>
      <c r="Y13" s="2">
        <f t="shared" si="23"/>
        <v>3.2075852759987811E-2</v>
      </c>
      <c r="Z13">
        <f t="shared" si="24"/>
        <v>6.1736172357313844E-2</v>
      </c>
      <c r="AA13">
        <f t="shared" si="24"/>
        <v>6.8035781781529539E-2</v>
      </c>
    </row>
    <row r="14" spans="1:27" x14ac:dyDescent="0.3">
      <c r="A14" t="s">
        <v>25</v>
      </c>
      <c r="B14">
        <v>101325</v>
      </c>
      <c r="C14" s="2">
        <f t="shared" si="1"/>
        <v>2746.248</v>
      </c>
      <c r="D14" s="2">
        <f t="shared" si="2"/>
        <v>82.824839999999995</v>
      </c>
      <c r="E14" s="2">
        <f t="shared" si="3"/>
        <v>72400.347645855043</v>
      </c>
      <c r="F14">
        <f t="shared" si="4"/>
        <v>6859.9541210255993</v>
      </c>
      <c r="G14">
        <f t="shared" si="5"/>
        <v>1.011847934578628</v>
      </c>
      <c r="H14">
        <f t="shared" si="6"/>
        <v>1.0420855488161229</v>
      </c>
      <c r="I14">
        <f t="shared" si="7"/>
        <v>4.208554881612292E-2</v>
      </c>
      <c r="J14">
        <f t="shared" si="8"/>
        <v>1.3995098545055247</v>
      </c>
      <c r="K14">
        <f t="shared" si="9"/>
        <v>5.8899140300437344E-2</v>
      </c>
      <c r="L14">
        <f t="shared" si="10"/>
        <v>1.0588991403004373</v>
      </c>
      <c r="M14">
        <f t="shared" si="11"/>
        <v>1.0164857929934732</v>
      </c>
      <c r="N14">
        <f t="shared" si="12"/>
        <v>1.6485792993473192E-2</v>
      </c>
      <c r="O14">
        <f t="shared" si="13"/>
        <v>8.2428964967365972E-2</v>
      </c>
      <c r="P14" s="1">
        <f t="shared" si="14"/>
        <v>0.28710444957779035</v>
      </c>
      <c r="Q14">
        <f t="shared" si="15"/>
        <v>1.6485792993473188E-2</v>
      </c>
      <c r="R14">
        <f t="shared" si="16"/>
        <v>1.0164857929934732</v>
      </c>
      <c r="S14" s="3">
        <f t="shared" si="17"/>
        <v>271.47452714252728</v>
      </c>
      <c r="T14" s="4">
        <f t="shared" si="18"/>
        <v>330.29905876760751</v>
      </c>
      <c r="U14" s="5">
        <f t="shared" si="19"/>
        <v>94.830329463536188</v>
      </c>
      <c r="V14">
        <f t="shared" si="20"/>
        <v>0.92908193338848033</v>
      </c>
      <c r="W14" s="2">
        <f t="shared" si="21"/>
        <v>82.585960202344353</v>
      </c>
      <c r="X14">
        <f t="shared" si="22"/>
        <v>270.29938799999996</v>
      </c>
      <c r="Y14" s="2">
        <f t="shared" si="23"/>
        <v>1.1751391425273141</v>
      </c>
      <c r="Z14">
        <f t="shared" si="24"/>
        <v>5.6192516064004029E-2</v>
      </c>
      <c r="AA14">
        <f t="shared" si="24"/>
        <v>6.0728234849439337E-2</v>
      </c>
    </row>
    <row r="15" spans="1:27" x14ac:dyDescent="0.3">
      <c r="A15" t="s">
        <v>27</v>
      </c>
      <c r="B15">
        <v>288.14999999999998</v>
      </c>
      <c r="C15" s="2">
        <f t="shared" si="1"/>
        <v>2752.3440000000001</v>
      </c>
      <c r="D15" s="2">
        <f t="shared" si="2"/>
        <v>68.420519999999996</v>
      </c>
      <c r="E15" s="2">
        <f t="shared" si="3"/>
        <v>72344.58181253614</v>
      </c>
      <c r="F15">
        <f t="shared" si="4"/>
        <v>4681.3675570703999</v>
      </c>
      <c r="G15">
        <f t="shared" si="5"/>
        <v>1.0080852634837141</v>
      </c>
      <c r="H15">
        <f t="shared" si="6"/>
        <v>1.0285855798037642</v>
      </c>
      <c r="I15">
        <f t="shared" si="7"/>
        <v>2.8585579803764194E-2</v>
      </c>
      <c r="J15">
        <f t="shared" si="8"/>
        <v>1.4005886475722502</v>
      </c>
      <c r="K15">
        <f t="shared" si="9"/>
        <v>4.0036638557422725E-2</v>
      </c>
      <c r="L15">
        <f t="shared" si="10"/>
        <v>1.0400366385574227</v>
      </c>
      <c r="M15">
        <f t="shared" si="11"/>
        <v>1.0112791183655558</v>
      </c>
      <c r="N15">
        <f t="shared" si="12"/>
        <v>1.127911836555584E-2</v>
      </c>
      <c r="O15">
        <f t="shared" si="13"/>
        <v>5.6395591827779208E-2</v>
      </c>
      <c r="P15" s="1">
        <f t="shared" si="14"/>
        <v>0.23747756068264472</v>
      </c>
      <c r="Q15">
        <f t="shared" si="15"/>
        <v>1.1279118365555839E-2</v>
      </c>
      <c r="R15">
        <f t="shared" si="16"/>
        <v>1.0112791183655558</v>
      </c>
      <c r="S15" s="3">
        <f t="shared" si="17"/>
        <v>271.58674100172595</v>
      </c>
      <c r="T15" s="4">
        <f t="shared" si="18"/>
        <v>330.36731618966729</v>
      </c>
      <c r="U15" s="5">
        <f t="shared" si="19"/>
        <v>78.454824377994186</v>
      </c>
      <c r="V15">
        <f t="shared" si="20"/>
        <v>0.92798273369167295</v>
      </c>
      <c r="W15" s="2">
        <f t="shared" si="21"/>
        <v>68.284409488978341</v>
      </c>
      <c r="X15">
        <f t="shared" si="22"/>
        <v>270.25976399999996</v>
      </c>
      <c r="Y15" s="2">
        <f t="shared" si="23"/>
        <v>1.326977001725993</v>
      </c>
      <c r="Z15">
        <f t="shared" si="24"/>
        <v>4.6617109739196166E-2</v>
      </c>
      <c r="AA15">
        <f t="shared" si="24"/>
        <v>5.3546680105833439E-2</v>
      </c>
    </row>
    <row r="16" spans="1:27" x14ac:dyDescent="0.3">
      <c r="A16" t="s">
        <v>28</v>
      </c>
      <c r="B16">
        <f>(B17-1)/(2*B17)</f>
        <v>0.14285714285714282</v>
      </c>
      <c r="C16" s="2">
        <f t="shared" si="1"/>
        <v>2767.5840000000003</v>
      </c>
      <c r="D16" s="2">
        <f t="shared" si="2"/>
        <v>58.646160000000002</v>
      </c>
      <c r="E16" s="2">
        <f t="shared" si="3"/>
        <v>72205.319381619775</v>
      </c>
      <c r="F16">
        <f t="shared" si="4"/>
        <v>3439.3720827456004</v>
      </c>
      <c r="G16">
        <f t="shared" si="5"/>
        <v>1.0059401935798715</v>
      </c>
      <c r="H16">
        <f t="shared" si="6"/>
        <v>1.0209455121923838</v>
      </c>
      <c r="I16">
        <f t="shared" si="7"/>
        <v>2.0945512192383831E-2</v>
      </c>
      <c r="J16">
        <f t="shared" si="8"/>
        <v>1.4032899635063838</v>
      </c>
      <c r="K16">
        <f t="shared" si="9"/>
        <v>2.9392627040072821E-2</v>
      </c>
      <c r="L16">
        <f t="shared" si="10"/>
        <v>1.0293926270400728</v>
      </c>
      <c r="M16">
        <f t="shared" si="11"/>
        <v>1.0083111894165147</v>
      </c>
      <c r="N16">
        <f t="shared" si="12"/>
        <v>8.3111894165146527E-3</v>
      </c>
      <c r="O16">
        <f t="shared" si="13"/>
        <v>4.155594708257327E-2</v>
      </c>
      <c r="P16" s="1">
        <f t="shared" si="14"/>
        <v>0.20385275833937905</v>
      </c>
      <c r="Q16">
        <f t="shared" si="15"/>
        <v>8.3111894165146527E-3</v>
      </c>
      <c r="R16">
        <f t="shared" si="16"/>
        <v>1.0083111894165147</v>
      </c>
      <c r="S16" s="3">
        <f t="shared" si="17"/>
        <v>271.39438981962962</v>
      </c>
      <c r="T16" s="4">
        <f t="shared" si="18"/>
        <v>330.25030421910975</v>
      </c>
      <c r="U16" s="5">
        <f t="shared" si="19"/>
        <v>67.322435457484588</v>
      </c>
      <c r="V16">
        <f t="shared" si="20"/>
        <v>0.92685282141028613</v>
      </c>
      <c r="W16" s="2">
        <f t="shared" si="21"/>
        <v>58.559473371001388</v>
      </c>
      <c r="X16">
        <f t="shared" si="22"/>
        <v>270.16070399999995</v>
      </c>
      <c r="Y16" s="2">
        <f t="shared" si="23"/>
        <v>1.2336858196296703</v>
      </c>
      <c r="Z16">
        <f t="shared" si="24"/>
        <v>5.2664734786443242E-2</v>
      </c>
      <c r="AA16">
        <f t="shared" si="24"/>
        <v>5.795640670278443E-2</v>
      </c>
    </row>
    <row r="17" spans="1:2" x14ac:dyDescent="0.3">
      <c r="A17" t="s">
        <v>29</v>
      </c>
      <c r="B17">
        <v>1.4</v>
      </c>
    </row>
    <row r="18" spans="1:2" x14ac:dyDescent="0.3">
      <c r="A18" t="s">
        <v>30</v>
      </c>
      <c r="B18">
        <f>B19/B14</f>
        <v>1.2089810017271157E-5</v>
      </c>
    </row>
    <row r="19" spans="1:2" x14ac:dyDescent="0.3">
      <c r="A19" t="s">
        <v>31</v>
      </c>
      <c r="B19">
        <v>1.2250000000000001</v>
      </c>
    </row>
    <row r="20" spans="1:2" x14ac:dyDescent="0.3">
      <c r="A20" t="s">
        <v>34</v>
      </c>
      <c r="B20">
        <f>(B17/(B17-1))</f>
        <v>3.5000000000000004</v>
      </c>
    </row>
    <row r="21" spans="1:2" x14ac:dyDescent="0.3">
      <c r="A21" t="s">
        <v>38</v>
      </c>
      <c r="B21">
        <f>B20^-1</f>
        <v>0.2857142857142857</v>
      </c>
    </row>
    <row r="22" spans="1:2" x14ac:dyDescent="0.3">
      <c r="A22" t="s">
        <v>39</v>
      </c>
      <c r="B22">
        <f>2/(B17-1)</f>
        <v>5.0000000000000009</v>
      </c>
    </row>
    <row r="23" spans="1:2" x14ac:dyDescent="0.3">
      <c r="A23" t="s">
        <v>41</v>
      </c>
      <c r="B23">
        <f>(B17-1)/2</f>
        <v>0.19999999999999996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08C7-22DA-434E-B179-1370BC151D02}">
  <dimension ref="A1:J7"/>
  <sheetViews>
    <sheetView workbookViewId="0">
      <selection activeCell="J19" sqref="J19"/>
    </sheetView>
  </sheetViews>
  <sheetFormatPr defaultRowHeight="14.4" x14ac:dyDescent="0.3"/>
  <sheetData>
    <row r="1" spans="1:10" x14ac:dyDescent="0.3">
      <c r="A1" s="14" t="s">
        <v>48</v>
      </c>
      <c r="B1" s="14" t="s">
        <v>40</v>
      </c>
      <c r="C1" s="14" t="s">
        <v>43</v>
      </c>
      <c r="D1" s="14" t="s">
        <v>49</v>
      </c>
      <c r="E1" s="14" t="s">
        <v>50</v>
      </c>
      <c r="F1" s="14"/>
      <c r="G1" s="14"/>
      <c r="H1" s="14" t="s">
        <v>92</v>
      </c>
      <c r="I1" s="14" t="s">
        <v>93</v>
      </c>
      <c r="J1" t="s">
        <v>94</v>
      </c>
    </row>
    <row r="2" spans="1:10" x14ac:dyDescent="0.3">
      <c r="A2" s="2">
        <v>2743.2000000000003</v>
      </c>
      <c r="B2" s="14">
        <v>0.44401906785361428</v>
      </c>
      <c r="C2" s="14">
        <v>0.64646490505839438</v>
      </c>
      <c r="D2" s="14">
        <v>9.3234219478392333E-2</v>
      </c>
      <c r="E2" s="14">
        <v>9.9281844525639415E-2</v>
      </c>
      <c r="F2" s="14"/>
      <c r="G2" s="14"/>
      <c r="H2" s="14">
        <v>3440.3</v>
      </c>
      <c r="I2" s="14">
        <v>3780.36</v>
      </c>
      <c r="J2">
        <f>H2+I2</f>
        <v>7220.66</v>
      </c>
    </row>
    <row r="3" spans="1:10" x14ac:dyDescent="0.3">
      <c r="A3" s="2">
        <v>2743.2000000000003</v>
      </c>
      <c r="B3" s="14">
        <v>0.40010551241553588</v>
      </c>
      <c r="C3" s="14">
        <v>0.26745829187046866</v>
      </c>
      <c r="D3" s="14">
        <v>8.0635000629960943E-2</v>
      </c>
      <c r="E3" s="14">
        <v>8.6304649111755075E-2</v>
      </c>
      <c r="F3" s="14"/>
      <c r="G3" s="14"/>
      <c r="H3" s="14">
        <v>2920.46</v>
      </c>
      <c r="I3" s="14">
        <v>3241.28</v>
      </c>
      <c r="J3" s="14">
        <f t="shared" ref="J3:J7" si="0">H3+I3</f>
        <v>6161.74</v>
      </c>
    </row>
    <row r="4" spans="1:10" x14ac:dyDescent="0.3">
      <c r="A4" s="2">
        <v>2743.2000000000003</v>
      </c>
      <c r="B4" s="14">
        <v>0.33308128853464258</v>
      </c>
      <c r="C4" s="14">
        <v>3.2075852759987811E-2</v>
      </c>
      <c r="D4" s="14">
        <v>6.1736172357313844E-2</v>
      </c>
      <c r="E4" s="14">
        <v>6.8035781781529539E-2</v>
      </c>
      <c r="F4" s="14"/>
      <c r="G4" s="14"/>
      <c r="H4" s="14">
        <v>2106.2399999999998</v>
      </c>
      <c r="I4" s="14">
        <v>2458.8000000000002</v>
      </c>
      <c r="J4" s="14">
        <f t="shared" si="0"/>
        <v>4565.04</v>
      </c>
    </row>
    <row r="5" spans="1:10" x14ac:dyDescent="0.3">
      <c r="A5" s="2">
        <v>2746.248</v>
      </c>
      <c r="B5" s="14">
        <v>0.28710444957779035</v>
      </c>
      <c r="C5" s="14">
        <v>1.1751391425273141</v>
      </c>
      <c r="D5" s="14">
        <v>5.6192516064004029E-2</v>
      </c>
      <c r="E5" s="14">
        <v>6.0728234849439337E-2</v>
      </c>
      <c r="F5" s="14"/>
      <c r="G5" s="14"/>
      <c r="H5" s="14">
        <v>1926.26</v>
      </c>
      <c r="I5" s="14">
        <v>2189.41</v>
      </c>
      <c r="J5" s="14">
        <f t="shared" si="0"/>
        <v>4115.67</v>
      </c>
    </row>
    <row r="6" spans="1:10" x14ac:dyDescent="0.3">
      <c r="A6" s="2">
        <v>2752.3440000000001</v>
      </c>
      <c r="B6" s="14">
        <v>0.23747756068264472</v>
      </c>
      <c r="C6" s="14">
        <v>1.326977001725993</v>
      </c>
      <c r="D6" s="14">
        <v>4.6617109739196166E-2</v>
      </c>
      <c r="E6" s="14">
        <v>5.3546680105833439E-2</v>
      </c>
      <c r="F6" s="14"/>
      <c r="G6" s="14"/>
      <c r="H6" s="14">
        <v>1510.33</v>
      </c>
      <c r="I6" s="14">
        <v>1923.65</v>
      </c>
      <c r="J6" s="14">
        <f t="shared" si="0"/>
        <v>3433.98</v>
      </c>
    </row>
    <row r="7" spans="1:10" x14ac:dyDescent="0.3">
      <c r="A7" s="2">
        <v>2767.5840000000003</v>
      </c>
      <c r="B7" s="14">
        <v>0.20385275833937905</v>
      </c>
      <c r="C7" s="14">
        <v>1.2336858196296703</v>
      </c>
      <c r="D7" s="14">
        <v>5.2664734786443242E-2</v>
      </c>
      <c r="E7" s="14">
        <v>5.795640670278443E-2</v>
      </c>
      <c r="F7" s="14"/>
      <c r="G7" s="14"/>
      <c r="H7" s="14">
        <v>1983.92</v>
      </c>
      <c r="I7" s="14">
        <v>2312.0500000000002</v>
      </c>
      <c r="J7" s="14">
        <f t="shared" si="0"/>
        <v>4295.97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E9F5-C9D0-4CED-BA5F-5F18DBC08182}">
  <dimension ref="A2:AA23"/>
  <sheetViews>
    <sheetView topLeftCell="H1" workbookViewId="0">
      <selection activeCell="Z11" sqref="Z11:AA17"/>
    </sheetView>
  </sheetViews>
  <sheetFormatPr defaultRowHeight="14.4" x14ac:dyDescent="0.3"/>
  <sheetData>
    <row r="2" spans="1:27" x14ac:dyDescent="0.3">
      <c r="A2" t="s">
        <v>81</v>
      </c>
      <c r="C2" t="s">
        <v>82</v>
      </c>
      <c r="D2" t="s">
        <v>83</v>
      </c>
      <c r="E2" t="s">
        <v>88</v>
      </c>
      <c r="F2" t="s">
        <v>89</v>
      </c>
      <c r="G2" t="s">
        <v>90</v>
      </c>
      <c r="H2" t="s">
        <v>91</v>
      </c>
      <c r="J2" t="s">
        <v>84</v>
      </c>
      <c r="K2" t="s">
        <v>85</v>
      </c>
      <c r="L2" t="s">
        <v>86</v>
      </c>
      <c r="M2" t="s">
        <v>87</v>
      </c>
    </row>
    <row r="3" spans="1:27" x14ac:dyDescent="0.3">
      <c r="A3" s="6" t="s">
        <v>60</v>
      </c>
      <c r="B3" s="7"/>
      <c r="C3" s="12">
        <v>8090</v>
      </c>
      <c r="D3" s="13">
        <v>161</v>
      </c>
      <c r="E3" s="15">
        <v>430</v>
      </c>
      <c r="F3" s="15">
        <v>469</v>
      </c>
      <c r="G3" s="15">
        <v>680</v>
      </c>
      <c r="H3" s="15" t="s">
        <v>100</v>
      </c>
      <c r="I3">
        <f t="shared" ref="I3:I9" si="0">H3+273.15</f>
        <v>276.34999999999997</v>
      </c>
      <c r="J3" s="7" t="s">
        <v>61</v>
      </c>
      <c r="K3" s="7">
        <v>0</v>
      </c>
      <c r="L3" s="7" t="s">
        <v>62</v>
      </c>
      <c r="M3" s="7">
        <v>0</v>
      </c>
    </row>
    <row r="4" spans="1:27" x14ac:dyDescent="0.3">
      <c r="A4" s="6" t="s">
        <v>64</v>
      </c>
      <c r="B4" s="7"/>
      <c r="C4" s="12">
        <v>8430</v>
      </c>
      <c r="D4" s="13">
        <v>150</v>
      </c>
      <c r="E4" s="15">
        <v>420</v>
      </c>
      <c r="F4" s="15">
        <v>463</v>
      </c>
      <c r="G4" s="15">
        <v>719</v>
      </c>
      <c r="H4" s="15" t="s">
        <v>103</v>
      </c>
      <c r="I4">
        <f t="shared" si="0"/>
        <v>275.34999999999997</v>
      </c>
      <c r="J4" s="7" t="s">
        <v>65</v>
      </c>
      <c r="K4" s="7">
        <v>-0.4</v>
      </c>
      <c r="L4" s="7" t="s">
        <v>62</v>
      </c>
      <c r="M4" s="7">
        <v>-23</v>
      </c>
    </row>
    <row r="5" spans="1:27" x14ac:dyDescent="0.3">
      <c r="A5" s="6" t="s">
        <v>67</v>
      </c>
      <c r="B5" s="7"/>
      <c r="C5" s="12">
        <v>8640</v>
      </c>
      <c r="D5" s="13">
        <v>140</v>
      </c>
      <c r="E5" s="15">
        <v>420</v>
      </c>
      <c r="F5" s="15">
        <v>458</v>
      </c>
      <c r="G5" s="15">
        <v>733</v>
      </c>
      <c r="H5" s="15" t="s">
        <v>101</v>
      </c>
      <c r="I5">
        <f t="shared" si="0"/>
        <v>274.64999999999998</v>
      </c>
      <c r="J5" s="7" t="s">
        <v>68</v>
      </c>
      <c r="K5" s="7">
        <v>-0.9</v>
      </c>
      <c r="L5" s="7" t="s">
        <v>62</v>
      </c>
      <c r="M5" s="7">
        <v>-29</v>
      </c>
    </row>
    <row r="6" spans="1:27" x14ac:dyDescent="0.3">
      <c r="A6" s="6" t="s">
        <v>70</v>
      </c>
      <c r="B6" s="7"/>
      <c r="C6" s="12">
        <v>9000</v>
      </c>
      <c r="D6" s="13">
        <v>131</v>
      </c>
      <c r="E6" s="15">
        <v>415</v>
      </c>
      <c r="F6" s="15">
        <v>453</v>
      </c>
      <c r="G6" s="15">
        <v>754</v>
      </c>
      <c r="H6" s="15" t="s">
        <v>104</v>
      </c>
      <c r="I6">
        <f t="shared" si="0"/>
        <v>273.95</v>
      </c>
      <c r="J6" s="7" t="s">
        <v>71</v>
      </c>
      <c r="K6" s="7">
        <v>-1.5</v>
      </c>
      <c r="L6" s="7" t="s">
        <v>62</v>
      </c>
      <c r="M6" s="7">
        <v>-46</v>
      </c>
    </row>
    <row r="7" spans="1:27" x14ac:dyDescent="0.3">
      <c r="A7" s="6" t="s">
        <v>73</v>
      </c>
      <c r="B7" s="7"/>
      <c r="C7" s="12">
        <v>8310</v>
      </c>
      <c r="D7" s="13">
        <v>172</v>
      </c>
      <c r="E7" s="15">
        <v>430</v>
      </c>
      <c r="F7" s="15">
        <v>467</v>
      </c>
      <c r="G7" s="15">
        <v>774</v>
      </c>
      <c r="H7" s="15" t="s">
        <v>69</v>
      </c>
      <c r="I7">
        <f t="shared" si="0"/>
        <v>276.64999999999998</v>
      </c>
      <c r="J7" s="7" t="s">
        <v>66</v>
      </c>
      <c r="K7" s="7">
        <v>0.4</v>
      </c>
      <c r="L7" s="7" t="s">
        <v>62</v>
      </c>
      <c r="M7" s="7">
        <v>26</v>
      </c>
    </row>
    <row r="8" spans="1:27" x14ac:dyDescent="0.3">
      <c r="A8" s="6" t="s">
        <v>75</v>
      </c>
      <c r="B8" s="7"/>
      <c r="C8" s="12">
        <v>7990</v>
      </c>
      <c r="D8" s="13">
        <v>182</v>
      </c>
      <c r="E8" s="15">
        <v>435</v>
      </c>
      <c r="F8" s="15">
        <v>473</v>
      </c>
      <c r="G8" s="15">
        <v>794</v>
      </c>
      <c r="H8" s="15" t="s">
        <v>105</v>
      </c>
      <c r="I8">
        <f t="shared" si="0"/>
        <v>277.34999999999997</v>
      </c>
      <c r="J8" s="7" t="s">
        <v>76</v>
      </c>
      <c r="K8" s="7">
        <v>0.6</v>
      </c>
      <c r="L8" s="7" t="s">
        <v>62</v>
      </c>
      <c r="M8" s="7">
        <v>40</v>
      </c>
    </row>
    <row r="9" spans="1:27" x14ac:dyDescent="0.3">
      <c r="A9" s="6" t="s">
        <v>78</v>
      </c>
      <c r="B9" s="7"/>
      <c r="C9" s="12">
        <v>7480</v>
      </c>
      <c r="D9" s="13">
        <v>191</v>
      </c>
      <c r="E9" s="15">
        <v>450</v>
      </c>
      <c r="F9" s="15">
        <v>488</v>
      </c>
      <c r="G9" s="15">
        <v>835</v>
      </c>
      <c r="H9" s="15" t="s">
        <v>103</v>
      </c>
      <c r="I9">
        <f t="shared" si="0"/>
        <v>275.34999999999997</v>
      </c>
      <c r="J9" s="7" t="s">
        <v>79</v>
      </c>
      <c r="K9" s="7">
        <v>1</v>
      </c>
      <c r="L9" s="7" t="s">
        <v>62</v>
      </c>
      <c r="M9" s="7">
        <v>83</v>
      </c>
      <c r="P9" s="1"/>
      <c r="S9" s="3"/>
      <c r="T9" s="4"/>
      <c r="U9" s="5"/>
      <c r="W9" s="2"/>
      <c r="Y9" s="2"/>
      <c r="AA9" s="2"/>
    </row>
    <row r="10" spans="1:27" x14ac:dyDescent="0.3">
      <c r="C10" t="s">
        <v>21</v>
      </c>
      <c r="D10" t="s">
        <v>19</v>
      </c>
      <c r="E10" t="s">
        <v>26</v>
      </c>
      <c r="F10" t="s">
        <v>32</v>
      </c>
      <c r="G10" t="s">
        <v>33</v>
      </c>
      <c r="H10" t="s">
        <v>35</v>
      </c>
      <c r="I10" t="s">
        <v>36</v>
      </c>
      <c r="J10" t="s">
        <v>37</v>
      </c>
      <c r="P10" s="1" t="s">
        <v>40</v>
      </c>
      <c r="Q10" t="s">
        <v>42</v>
      </c>
      <c r="S10" s="3" t="s">
        <v>43</v>
      </c>
      <c r="T10" s="4" t="s">
        <v>44</v>
      </c>
      <c r="U10" s="5" t="s">
        <v>45</v>
      </c>
      <c r="V10" t="s">
        <v>47</v>
      </c>
      <c r="W10" s="2" t="s">
        <v>46</v>
      </c>
      <c r="X10" t="s">
        <v>51</v>
      </c>
      <c r="Y10" s="2" t="s">
        <v>52</v>
      </c>
      <c r="Z10" t="s">
        <v>49</v>
      </c>
      <c r="AA10" s="2" t="s">
        <v>50</v>
      </c>
    </row>
    <row r="11" spans="1:27" x14ac:dyDescent="0.3">
      <c r="A11" t="s">
        <v>22</v>
      </c>
      <c r="B11">
        <v>9.8066499999999994</v>
      </c>
      <c r="C11" s="2">
        <f>C3*0.3048</f>
        <v>2465.8320000000003</v>
      </c>
      <c r="D11" s="2">
        <f>D3*0.51444</f>
        <v>82.824839999999995</v>
      </c>
      <c r="E11" s="2">
        <f>$B$14*(1+($B$12*C11)/$B$15)^(-$B$11/($B$12*$B$13))</f>
        <v>75003.467961687114</v>
      </c>
      <c r="F11">
        <f>D11^2</f>
        <v>6859.9541210255993</v>
      </c>
      <c r="G11">
        <f>(1+$B$16*$B$18*F11)</f>
        <v>1.011847934578628</v>
      </c>
      <c r="H11">
        <f>G11^$B$20</f>
        <v>1.0420855488161229</v>
      </c>
      <c r="I11">
        <f>H11-1</f>
        <v>4.208554881612292E-2</v>
      </c>
      <c r="J11">
        <f>$B$14/E11</f>
        <v>1.3509375333385694</v>
      </c>
      <c r="K11">
        <f>J11*I11</f>
        <v>5.6854947506853049E-2</v>
      </c>
      <c r="L11">
        <f>K11+1</f>
        <v>1.0568549475068529</v>
      </c>
      <c r="M11">
        <f>L11^$B$21</f>
        <v>1.0159247447822577</v>
      </c>
      <c r="N11">
        <f>M11-1</f>
        <v>1.5924744782257694E-2</v>
      </c>
      <c r="O11">
        <f>N11*$B$22</f>
        <v>7.9623723911288483E-2</v>
      </c>
      <c r="P11" s="1">
        <f>SQRT(O11)</f>
        <v>0.2821767600481806</v>
      </c>
      <c r="Q11">
        <f>P11^2*$B$23</f>
        <v>1.5924744782257697E-2</v>
      </c>
      <c r="R11">
        <f>Q11+1</f>
        <v>1.0159247447822577</v>
      </c>
      <c r="S11" s="3">
        <f t="shared" ref="S11:S17" si="1">I3/R11</f>
        <v>272.01817990881779</v>
      </c>
      <c r="T11" s="4">
        <f>SQRT($B$17*$B$13*S11)</f>
        <v>330.62962051207177</v>
      </c>
      <c r="U11" s="5">
        <f>T11*P11</f>
        <v>93.29599509205589</v>
      </c>
      <c r="V11">
        <f>E11/($B$13*S11)</f>
        <v>0.96056301964240565</v>
      </c>
      <c r="W11" s="2">
        <f>U11*SQRT(V11/$B$19)</f>
        <v>82.614806181600883</v>
      </c>
      <c r="X11">
        <f>$B$15+($B$12*C11)</f>
        <v>272.12209199999995</v>
      </c>
      <c r="Y11" s="2">
        <f>S11-X11</f>
        <v>-0.10391209118216693</v>
      </c>
      <c r="Z11">
        <f>F3/7937</f>
        <v>5.9090336399143253E-2</v>
      </c>
      <c r="AA11">
        <f>G3/7937</f>
        <v>8.5674688169333504E-2</v>
      </c>
    </row>
    <row r="12" spans="1:27" x14ac:dyDescent="0.3">
      <c r="A12" t="s">
        <v>23</v>
      </c>
      <c r="B12">
        <v>-6.4999999999999997E-3</v>
      </c>
      <c r="C12" s="2">
        <f t="shared" ref="C12:C17" si="2">C4*0.3048</f>
        <v>2569.4639999999999</v>
      </c>
      <c r="D12" s="2">
        <f t="shared" ref="D12:D17" si="3">D4*0.51444</f>
        <v>77.165999999999997</v>
      </c>
      <c r="E12" s="2">
        <f t="shared" ref="E12:E17" si="4">$B$14*(1+($B$12*C12)/$B$15)^(-$B$11/($B$12*$B$13))</f>
        <v>74032.763544846617</v>
      </c>
      <c r="F12">
        <f t="shared" ref="F12:F17" si="5">D12^2</f>
        <v>5954.5915559999994</v>
      </c>
      <c r="G12">
        <f t="shared" ref="G12:G17" si="6">(1+$B$16*$B$18*F12)</f>
        <v>1.0102842686632125</v>
      </c>
      <c r="H12">
        <f t="shared" ref="H12:H17" si="7">G12^$B$20</f>
        <v>1.0364600498275149</v>
      </c>
      <c r="I12">
        <f t="shared" ref="I12:I17" si="8">H12-1</f>
        <v>3.646004982751494E-2</v>
      </c>
      <c r="J12">
        <f t="shared" ref="J12:J17" si="9">$B$14/E12</f>
        <v>1.3686507857918966</v>
      </c>
      <c r="K12">
        <f t="shared" ref="K12:K17" si="10">J12*I12</f>
        <v>4.9901075846440025E-2</v>
      </c>
      <c r="L12">
        <f t="shared" ref="L12:L17" si="11">K12+1</f>
        <v>1.04990107584644</v>
      </c>
      <c r="M12">
        <f t="shared" ref="M12:M17" si="12">L12^$B$21</f>
        <v>1.0140103654970518</v>
      </c>
      <c r="N12">
        <f t="shared" ref="N12:N17" si="13">M12-1</f>
        <v>1.4010365497051813E-2</v>
      </c>
      <c r="O12">
        <f t="shared" ref="O12:O17" si="14">N12*$B$22</f>
        <v>7.005182748525908E-2</v>
      </c>
      <c r="P12" s="1">
        <f t="shared" ref="P12:P17" si="15">SQRT(O12)</f>
        <v>0.26467305772454264</v>
      </c>
      <c r="Q12">
        <f t="shared" ref="Q12:Q17" si="16">P12^2*$B$23</f>
        <v>1.4010365497051813E-2</v>
      </c>
      <c r="R12">
        <f t="shared" ref="R12:R17" si="17">Q12+1</f>
        <v>1.0140103654970518</v>
      </c>
      <c r="S12" s="3">
        <f t="shared" si="1"/>
        <v>271.54554762862585</v>
      </c>
      <c r="T12" s="4">
        <f t="shared" ref="T12:T17" si="18">SQRT($B$17*$B$13*S12)</f>
        <v>330.34226073198062</v>
      </c>
      <c r="U12" s="5">
        <f t="shared" ref="U12:U17" si="19">T12*P12</f>
        <v>87.432696243571414</v>
      </c>
      <c r="V12">
        <f t="shared" ref="V12:V17" si="20">E12/($B$13*S12)</f>
        <v>0.94978153877683236</v>
      </c>
      <c r="W12" s="2">
        <f t="shared" ref="W12:W17" si="21">U12*SQRT(V12/$B$19)</f>
        <v>76.987051824877454</v>
      </c>
      <c r="X12">
        <f t="shared" ref="X12:X17" si="22">$B$15+($B$12*C12)</f>
        <v>271.44848400000001</v>
      </c>
      <c r="Y12" s="2">
        <f t="shared" ref="Y12:Y17" si="23">S12-X12</f>
        <v>9.7063628625846832E-2</v>
      </c>
      <c r="Z12">
        <f t="shared" ref="Z12:AA17" si="24">F4/7937</f>
        <v>5.8334383268237366E-2</v>
      </c>
      <c r="AA12">
        <f t="shared" si="24"/>
        <v>9.0588383520221749E-2</v>
      </c>
    </row>
    <row r="13" spans="1:27" x14ac:dyDescent="0.3">
      <c r="A13" t="s">
        <v>24</v>
      </c>
      <c r="B13">
        <v>287.05</v>
      </c>
      <c r="C13" s="2">
        <f t="shared" si="2"/>
        <v>2633.4720000000002</v>
      </c>
      <c r="D13" s="2">
        <f t="shared" si="3"/>
        <v>72.021600000000007</v>
      </c>
      <c r="E13" s="2">
        <f t="shared" si="4"/>
        <v>73438.310585432322</v>
      </c>
      <c r="F13">
        <f t="shared" si="5"/>
        <v>5187.1108665600013</v>
      </c>
      <c r="G13">
        <f t="shared" si="6"/>
        <v>1.0089587407021761</v>
      </c>
      <c r="H13">
        <f t="shared" si="7"/>
        <v>1.0317083003513763</v>
      </c>
      <c r="I13">
        <f t="shared" si="8"/>
        <v>3.1708300351376284E-2</v>
      </c>
      <c r="J13">
        <f t="shared" si="9"/>
        <v>1.3797294517297822</v>
      </c>
      <c r="K13">
        <f t="shared" si="10"/>
        <v>4.3748875859087662E-2</v>
      </c>
      <c r="L13">
        <f t="shared" si="11"/>
        <v>1.0437488758590876</v>
      </c>
      <c r="M13">
        <f t="shared" si="12"/>
        <v>1.012309118400454</v>
      </c>
      <c r="N13">
        <f t="shared" si="13"/>
        <v>1.2309118400454011E-2</v>
      </c>
      <c r="O13">
        <f t="shared" si="14"/>
        <v>6.1545592002270069E-2</v>
      </c>
      <c r="P13" s="1">
        <f t="shared" si="15"/>
        <v>0.24808384067139494</v>
      </c>
      <c r="Q13">
        <f t="shared" si="16"/>
        <v>1.2309118400454011E-2</v>
      </c>
      <c r="R13">
        <f t="shared" si="17"/>
        <v>1.012309118400454</v>
      </c>
      <c r="S13" s="3">
        <f t="shared" si="1"/>
        <v>271.31040806386636</v>
      </c>
      <c r="T13" s="4">
        <f t="shared" si="18"/>
        <v>330.19920304056757</v>
      </c>
      <c r="U13" s="5">
        <f t="shared" si="19"/>
        <v>81.917086476937754</v>
      </c>
      <c r="V13">
        <f t="shared" si="20"/>
        <v>0.94297172754312242</v>
      </c>
      <c r="W13" s="2">
        <f t="shared" si="21"/>
        <v>71.871347763124689</v>
      </c>
      <c r="X13">
        <f t="shared" si="22"/>
        <v>271.03243199999997</v>
      </c>
      <c r="Y13" s="2">
        <f t="shared" si="23"/>
        <v>0.27797606386639018</v>
      </c>
      <c r="Z13">
        <f t="shared" si="24"/>
        <v>5.7704422325815796E-2</v>
      </c>
      <c r="AA13">
        <f t="shared" si="24"/>
        <v>9.2352274159002143E-2</v>
      </c>
    </row>
    <row r="14" spans="1:27" x14ac:dyDescent="0.3">
      <c r="A14" t="s">
        <v>25</v>
      </c>
      <c r="B14">
        <v>101325</v>
      </c>
      <c r="C14" s="2">
        <f t="shared" si="2"/>
        <v>2743.2000000000003</v>
      </c>
      <c r="D14" s="2">
        <f t="shared" si="3"/>
        <v>67.391639999999995</v>
      </c>
      <c r="E14" s="2">
        <f t="shared" si="4"/>
        <v>72428.243612449951</v>
      </c>
      <c r="F14">
        <f t="shared" si="5"/>
        <v>4541.6331418895998</v>
      </c>
      <c r="G14">
        <f t="shared" si="6"/>
        <v>1.0078439259790839</v>
      </c>
      <c r="H14">
        <f t="shared" si="7"/>
        <v>1.0277239790701522</v>
      </c>
      <c r="I14">
        <f t="shared" si="8"/>
        <v>2.7723979070152227E-2</v>
      </c>
      <c r="J14">
        <f t="shared" si="9"/>
        <v>1.3989708288685172</v>
      </c>
      <c r="K14">
        <f t="shared" si="10"/>
        <v>3.8785037979304285E-2</v>
      </c>
      <c r="L14">
        <f t="shared" si="11"/>
        <v>1.0387850379793042</v>
      </c>
      <c r="M14">
        <f t="shared" si="12"/>
        <v>1.0109312564722195</v>
      </c>
      <c r="N14">
        <f t="shared" si="13"/>
        <v>1.0931256472219486E-2</v>
      </c>
      <c r="O14">
        <f t="shared" si="14"/>
        <v>5.4656282361097437E-2</v>
      </c>
      <c r="P14" s="1">
        <f t="shared" si="15"/>
        <v>0.23378683102582454</v>
      </c>
      <c r="Q14">
        <f t="shared" si="16"/>
        <v>1.0931256472219484E-2</v>
      </c>
      <c r="R14">
        <f t="shared" si="17"/>
        <v>1.0109312564722195</v>
      </c>
      <c r="S14" s="3">
        <f t="shared" si="1"/>
        <v>270.98776325898297</v>
      </c>
      <c r="T14" s="4">
        <f t="shared" si="18"/>
        <v>330.00280668637879</v>
      </c>
      <c r="U14" s="5">
        <f t="shared" si="19"/>
        <v>77.150310404836276</v>
      </c>
      <c r="V14">
        <f t="shared" si="20"/>
        <v>0.93110942379141193</v>
      </c>
      <c r="W14" s="2">
        <f t="shared" si="21"/>
        <v>67.262033729929612</v>
      </c>
      <c r="X14">
        <f t="shared" si="22"/>
        <v>270.31919999999997</v>
      </c>
      <c r="Y14" s="2">
        <f t="shared" si="23"/>
        <v>0.66856325898299929</v>
      </c>
      <c r="Z14">
        <f t="shared" si="24"/>
        <v>5.7074461383394233E-2</v>
      </c>
      <c r="AA14">
        <f t="shared" si="24"/>
        <v>9.499811011717274E-2</v>
      </c>
    </row>
    <row r="15" spans="1:27" x14ac:dyDescent="0.3">
      <c r="A15" t="s">
        <v>27</v>
      </c>
      <c r="B15">
        <v>288.14999999999998</v>
      </c>
      <c r="C15" s="2">
        <f t="shared" si="2"/>
        <v>2532.8879999999999</v>
      </c>
      <c r="D15" s="2">
        <f t="shared" si="3"/>
        <v>88.483680000000007</v>
      </c>
      <c r="E15" s="2">
        <f t="shared" si="4"/>
        <v>74374.19639527495</v>
      </c>
      <c r="F15">
        <f t="shared" si="5"/>
        <v>7829.361626342401</v>
      </c>
      <c r="G15">
        <f t="shared" si="6"/>
        <v>1.013522213516999</v>
      </c>
      <c r="H15">
        <f t="shared" si="7"/>
        <v>1.0481331350016072</v>
      </c>
      <c r="I15">
        <f t="shared" si="8"/>
        <v>4.8133135001607208E-2</v>
      </c>
      <c r="J15">
        <f t="shared" si="9"/>
        <v>1.3623676612449054</v>
      </c>
      <c r="K15">
        <f t="shared" si="10"/>
        <v>6.5575026560524913E-2</v>
      </c>
      <c r="L15">
        <f t="shared" si="11"/>
        <v>1.0655750265605248</v>
      </c>
      <c r="M15">
        <f t="shared" si="12"/>
        <v>1.018312681931782</v>
      </c>
      <c r="N15">
        <f t="shared" si="13"/>
        <v>1.8312681931782038E-2</v>
      </c>
      <c r="O15">
        <f t="shared" si="14"/>
        <v>9.1563409658910203E-2</v>
      </c>
      <c r="P15" s="1">
        <f t="shared" si="15"/>
        <v>0.30259446402555057</v>
      </c>
      <c r="Q15">
        <f t="shared" si="16"/>
        <v>1.8312681931782038E-2</v>
      </c>
      <c r="R15">
        <f t="shared" si="17"/>
        <v>1.018312681931782</v>
      </c>
      <c r="S15" s="3">
        <f t="shared" si="1"/>
        <v>271.67490389610316</v>
      </c>
      <c r="T15" s="4">
        <f t="shared" si="18"/>
        <v>330.4209340049855</v>
      </c>
      <c r="U15" s="5">
        <f t="shared" si="19"/>
        <v>99.98354542806041</v>
      </c>
      <c r="V15">
        <f t="shared" si="20"/>
        <v>0.95370753292527799</v>
      </c>
      <c r="W15" s="2">
        <f t="shared" si="21"/>
        <v>88.220211565590176</v>
      </c>
      <c r="X15">
        <f t="shared" si="22"/>
        <v>271.68622799999997</v>
      </c>
      <c r="Y15" s="2">
        <f t="shared" si="23"/>
        <v>-1.1324103896811266E-2</v>
      </c>
      <c r="Z15">
        <f t="shared" si="24"/>
        <v>5.8838352022174627E-2</v>
      </c>
      <c r="AA15">
        <f t="shared" si="24"/>
        <v>9.7517953886859021E-2</v>
      </c>
    </row>
    <row r="16" spans="1:27" x14ac:dyDescent="0.3">
      <c r="A16" t="s">
        <v>28</v>
      </c>
      <c r="B16">
        <f>(B17-1)/(2*B17)</f>
        <v>0.14285714285714282</v>
      </c>
      <c r="C16" s="2">
        <f t="shared" si="2"/>
        <v>2435.3520000000003</v>
      </c>
      <c r="D16" s="2">
        <f t="shared" si="3"/>
        <v>93.628079999999997</v>
      </c>
      <c r="E16" s="2">
        <f t="shared" si="4"/>
        <v>75290.922045896994</v>
      </c>
      <c r="F16">
        <f t="shared" si="5"/>
        <v>8766.2173644863997</v>
      </c>
      <c r="G16">
        <f t="shared" si="6"/>
        <v>1.0151402717866778</v>
      </c>
      <c r="H16">
        <f t="shared" si="7"/>
        <v>1.0540014292303173</v>
      </c>
      <c r="I16">
        <f t="shared" si="8"/>
        <v>5.4001429230317255E-2</v>
      </c>
      <c r="J16">
        <f t="shared" si="9"/>
        <v>1.3457797732671244</v>
      </c>
      <c r="K16">
        <f t="shared" si="10"/>
        <v>7.2674031185677015E-2</v>
      </c>
      <c r="L16">
        <f t="shared" si="11"/>
        <v>1.0726740311856771</v>
      </c>
      <c r="M16">
        <f t="shared" si="12"/>
        <v>1.0202464122047092</v>
      </c>
      <c r="N16">
        <f t="shared" si="13"/>
        <v>2.0246412204709241E-2</v>
      </c>
      <c r="O16">
        <f t="shared" si="14"/>
        <v>0.10123206102354622</v>
      </c>
      <c r="P16" s="1">
        <f t="shared" si="15"/>
        <v>0.31816986190327051</v>
      </c>
      <c r="Q16">
        <f t="shared" si="16"/>
        <v>2.0246412204709241E-2</v>
      </c>
      <c r="R16">
        <f t="shared" si="17"/>
        <v>1.0202464122047092</v>
      </c>
      <c r="S16" s="3">
        <f t="shared" si="1"/>
        <v>271.84609196582068</v>
      </c>
      <c r="T16" s="4">
        <f t="shared" si="18"/>
        <v>330.52502020014214</v>
      </c>
      <c r="U16" s="5">
        <f t="shared" si="19"/>
        <v>105.16310003265492</v>
      </c>
      <c r="V16">
        <f t="shared" si="20"/>
        <v>0.96485481953331309</v>
      </c>
      <c r="W16" s="2">
        <f t="shared" si="21"/>
        <v>93.331086323715979</v>
      </c>
      <c r="X16">
        <f t="shared" si="22"/>
        <v>272.32021199999997</v>
      </c>
      <c r="Y16" s="2">
        <f t="shared" si="23"/>
        <v>-0.47412003417929327</v>
      </c>
      <c r="Z16">
        <f t="shared" si="24"/>
        <v>5.9594305153080507E-2</v>
      </c>
      <c r="AA16">
        <f t="shared" si="24"/>
        <v>0.10003779765654529</v>
      </c>
    </row>
    <row r="17" spans="1:27" x14ac:dyDescent="0.3">
      <c r="A17" t="s">
        <v>29</v>
      </c>
      <c r="B17">
        <v>1.4</v>
      </c>
      <c r="C17" s="2">
        <f t="shared" si="2"/>
        <v>2279.904</v>
      </c>
      <c r="D17" s="2">
        <f t="shared" si="3"/>
        <v>98.258040000000008</v>
      </c>
      <c r="E17" s="2">
        <f t="shared" si="4"/>
        <v>76770.848952523811</v>
      </c>
      <c r="F17">
        <f t="shared" si="5"/>
        <v>9654.6424246416009</v>
      </c>
      <c r="G17">
        <f t="shared" si="6"/>
        <v>1.0166746846712291</v>
      </c>
      <c r="H17">
        <f t="shared" si="7"/>
        <v>1.0595880067427745</v>
      </c>
      <c r="I17">
        <f t="shared" si="8"/>
        <v>5.9588006742774535E-2</v>
      </c>
      <c r="J17">
        <f t="shared" si="9"/>
        <v>1.3198369092239794</v>
      </c>
      <c r="K17">
        <f t="shared" si="10"/>
        <v>7.8646450646201196E-2</v>
      </c>
      <c r="L17">
        <f t="shared" si="11"/>
        <v>1.0786464506462012</v>
      </c>
      <c r="M17">
        <f t="shared" si="12"/>
        <v>1.0218661990124536</v>
      </c>
      <c r="N17">
        <f t="shared" si="13"/>
        <v>2.1866199012453569E-2</v>
      </c>
      <c r="O17">
        <f t="shared" si="14"/>
        <v>0.10933099506226786</v>
      </c>
      <c r="P17" s="1">
        <f t="shared" si="15"/>
        <v>0.33065237797763963</v>
      </c>
      <c r="Q17">
        <f t="shared" si="16"/>
        <v>2.1866199012453569E-2</v>
      </c>
      <c r="R17">
        <f t="shared" si="17"/>
        <v>1.0218661990124536</v>
      </c>
      <c r="S17" s="3">
        <f t="shared" si="1"/>
        <v>269.45797822268923</v>
      </c>
      <c r="T17" s="4">
        <f t="shared" si="18"/>
        <v>329.07001946143941</v>
      </c>
      <c r="U17" s="5">
        <f t="shared" si="19"/>
        <v>108.80778445607309</v>
      </c>
      <c r="V17">
        <f t="shared" si="20"/>
        <v>0.99253937596326436</v>
      </c>
      <c r="W17" s="2">
        <f t="shared" si="21"/>
        <v>97.941284496693612</v>
      </c>
      <c r="X17">
        <f t="shared" si="22"/>
        <v>273.330624</v>
      </c>
      <c r="Y17" s="2">
        <f t="shared" si="23"/>
        <v>-3.8726457773107654</v>
      </c>
      <c r="Z17">
        <f t="shared" si="24"/>
        <v>6.1484187980345217E-2</v>
      </c>
      <c r="AA17">
        <f t="shared" si="24"/>
        <v>0.10520347738440217</v>
      </c>
    </row>
    <row r="18" spans="1:27" x14ac:dyDescent="0.3">
      <c r="A18" t="s">
        <v>30</v>
      </c>
      <c r="B18">
        <f>B19/B14</f>
        <v>1.2089810017271157E-5</v>
      </c>
    </row>
    <row r="19" spans="1:27" x14ac:dyDescent="0.3">
      <c r="A19" t="s">
        <v>31</v>
      </c>
      <c r="B19">
        <v>1.2250000000000001</v>
      </c>
    </row>
    <row r="20" spans="1:27" x14ac:dyDescent="0.3">
      <c r="A20" t="s">
        <v>34</v>
      </c>
      <c r="B20">
        <f>(B17/(B17-1))</f>
        <v>3.5000000000000004</v>
      </c>
    </row>
    <row r="21" spans="1:27" x14ac:dyDescent="0.3">
      <c r="A21" t="s">
        <v>38</v>
      </c>
      <c r="B21">
        <f>B20^-1</f>
        <v>0.2857142857142857</v>
      </c>
    </row>
    <row r="22" spans="1:27" x14ac:dyDescent="0.3">
      <c r="A22" t="s">
        <v>39</v>
      </c>
      <c r="B22">
        <f>2/(B17-1)</f>
        <v>5.0000000000000009</v>
      </c>
    </row>
    <row r="23" spans="1:27" x14ac:dyDescent="0.3">
      <c r="A23" t="s">
        <v>41</v>
      </c>
      <c r="B23">
        <f>(B17-1)/2</f>
        <v>0.19999999999999996</v>
      </c>
    </row>
  </sheetData>
  <conditionalFormatting sqref="B3:H9 J3:M9">
    <cfRule type="expression" priority="1">
      <formula>LEN(TRIM(B3))=0</formula>
    </cfRule>
  </conditionalFormatting>
  <conditionalFormatting sqref="A3:A9">
    <cfRule type="expression" priority="2">
      <formula>LEN(TRIM(A3))=0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 THIS ONE</vt:lpstr>
      <vt:lpstr>Meas 1</vt:lpstr>
      <vt:lpstr>Meas 1 Thurst data</vt:lpstr>
      <vt:lpstr>Meas 1 curves</vt:lpstr>
      <vt:lpstr>Meas 2</vt:lpstr>
      <vt:lpstr>Meas 2 Trhurst</vt:lpstr>
      <vt:lpstr>Meas 1 (2)</vt:lpstr>
      <vt:lpstr>Meas real1 Thurst</vt:lpstr>
      <vt:lpstr>Meas 2 (2)</vt:lpstr>
      <vt:lpstr>Meas real2 Thrust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Pires</dc:creator>
  <cp:lastModifiedBy>Daniel Pires</cp:lastModifiedBy>
  <cp:lastPrinted>2020-03-22T16:08:45Z</cp:lastPrinted>
  <dcterms:created xsi:type="dcterms:W3CDTF">2020-03-12T13:13:00Z</dcterms:created>
  <dcterms:modified xsi:type="dcterms:W3CDTF">2020-03-22T16:15:56Z</dcterms:modified>
</cp:coreProperties>
</file>