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dpolo\Documents\Documentos-Academicos\3-Universidad\Universidad-6-2020-2022\TFG-Aeroespacial\Documentación-Empresa\"/>
    </mc:Choice>
  </mc:AlternateContent>
  <xr:revisionPtr revIDLastSave="0" documentId="13_ncr:1_{57C209BD-4DC7-4117-952B-BB3C64BC40A0}" xr6:coauthVersionLast="47" xr6:coauthVersionMax="47" xr10:uidLastSave="{00000000-0000-0000-0000-000000000000}"/>
  <bookViews>
    <workbookView xWindow="2448" yWindow="2064" windowWidth="17280" windowHeight="8964" firstSheet="2" activeTab="2" xr2:uid="{00000000-000D-0000-FFFF-FFFF00000000}"/>
  </bookViews>
  <sheets>
    <sheet name="Introduction" sheetId="1" r:id="rId1"/>
    <sheet name="ADS-B" sheetId="5" r:id="rId2"/>
    <sheet name="Simulator" sheetId="2" r:id="rId3"/>
    <sheet name="Graphics (Only Mode S)" sheetId="3" r:id="rId4"/>
    <sheet name="Graphics (Modes A,C,S)"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7" i="2" l="1"/>
  <c r="C50" i="2"/>
  <c r="C15" i="2" l="1"/>
  <c r="C51" i="2" s="1"/>
  <c r="C6" i="5"/>
  <c r="G28" i="5" s="1"/>
  <c r="G10" i="5" l="1"/>
  <c r="H10" i="5" s="1"/>
  <c r="I10" i="5" s="1"/>
  <c r="J10" i="5" s="1"/>
  <c r="C25" i="5"/>
  <c r="H28" i="5" s="1"/>
  <c r="I28" i="5" s="1"/>
  <c r="G24" i="5"/>
  <c r="G29" i="5"/>
  <c r="G33" i="5"/>
  <c r="G23" i="5"/>
  <c r="G31" i="5"/>
  <c r="G27" i="5"/>
  <c r="H27" i="5" s="1"/>
  <c r="G36" i="5"/>
  <c r="G25" i="5"/>
  <c r="H25" i="5" s="1"/>
  <c r="G30" i="5"/>
  <c r="G34" i="5"/>
  <c r="G22" i="5"/>
  <c r="H22" i="5" s="1"/>
  <c r="G35" i="5"/>
  <c r="H35" i="5" s="1"/>
  <c r="G26" i="5"/>
  <c r="H26" i="5" s="1"/>
  <c r="G32" i="5"/>
  <c r="H32" i="5" s="1"/>
  <c r="G6" i="5"/>
  <c r="H6" i="5" s="1"/>
  <c r="G7" i="5"/>
  <c r="H7" i="5" s="1"/>
  <c r="G8" i="5"/>
  <c r="H8" i="5" s="1"/>
  <c r="G9" i="5"/>
  <c r="H9" i="5" s="1"/>
  <c r="G11" i="5"/>
  <c r="H11" i="5" s="1"/>
  <c r="G12" i="5"/>
  <c r="H12" i="5" s="1"/>
  <c r="G13" i="5"/>
  <c r="H13" i="5" s="1"/>
  <c r="G14" i="5"/>
  <c r="H14" i="5" s="1"/>
  <c r="G15" i="5"/>
  <c r="H15" i="5" s="1"/>
  <c r="G16" i="5"/>
  <c r="H16" i="5" s="1"/>
  <c r="G17" i="5"/>
  <c r="H17" i="5" s="1"/>
  <c r="G18" i="5"/>
  <c r="H18" i="5" s="1"/>
  <c r="G5" i="5"/>
  <c r="H5" i="5" s="1"/>
  <c r="G4" i="5"/>
  <c r="H4" i="5" s="1"/>
  <c r="H31" i="5" l="1"/>
  <c r="J28" i="5"/>
  <c r="K28" i="5"/>
  <c r="H34" i="5"/>
  <c r="I34" i="5" s="1"/>
  <c r="J34" i="5" s="1"/>
  <c r="H29" i="5"/>
  <c r="I29" i="5" s="1"/>
  <c r="J29" i="5" s="1"/>
  <c r="O22" i="5" s="1"/>
  <c r="O25" i="5" s="1"/>
  <c r="P25" i="5" s="1"/>
  <c r="H30" i="5"/>
  <c r="I30" i="5" s="1"/>
  <c r="J30" i="5" s="1"/>
  <c r="H24" i="5"/>
  <c r="I24" i="5" s="1"/>
  <c r="J24" i="5" s="1"/>
  <c r="H36" i="5"/>
  <c r="I36" i="5" s="1"/>
  <c r="J36" i="5" s="1"/>
  <c r="K10" i="5"/>
  <c r="H23" i="5"/>
  <c r="I23" i="5" s="1"/>
  <c r="H33" i="5"/>
  <c r="I33" i="5" s="1"/>
  <c r="I31" i="5"/>
  <c r="J31" i="5" s="1"/>
  <c r="I35" i="5"/>
  <c r="J35" i="5" s="1"/>
  <c r="I22" i="5"/>
  <c r="J22" i="5" s="1"/>
  <c r="I27" i="5"/>
  <c r="J27" i="5" s="1"/>
  <c r="I26" i="5"/>
  <c r="J26" i="5" s="1"/>
  <c r="I32" i="5"/>
  <c r="J32" i="5" s="1"/>
  <c r="I25" i="5"/>
  <c r="J25" i="5" s="1"/>
  <c r="I6" i="5"/>
  <c r="K6" i="5" s="1"/>
  <c r="I11" i="5"/>
  <c r="K11" i="5" s="1"/>
  <c r="I13" i="5"/>
  <c r="J13" i="5" s="1"/>
  <c r="I15" i="5"/>
  <c r="K15" i="5" s="1"/>
  <c r="I17" i="5"/>
  <c r="J17" i="5" s="1"/>
  <c r="I4" i="5"/>
  <c r="J4" i="5" s="1"/>
  <c r="I8" i="5"/>
  <c r="K8" i="5" s="1"/>
  <c r="I5" i="5"/>
  <c r="K5" i="5" s="1"/>
  <c r="I9" i="5"/>
  <c r="J9" i="5" s="1"/>
  <c r="I14" i="5"/>
  <c r="J14" i="5" s="1"/>
  <c r="I7" i="5"/>
  <c r="K7" i="5" s="1"/>
  <c r="I12" i="5"/>
  <c r="J12" i="5" s="1"/>
  <c r="I16" i="5"/>
  <c r="K16" i="5" s="1"/>
  <c r="I18" i="5"/>
  <c r="J18" i="5" s="1"/>
  <c r="O4" i="5" l="1"/>
  <c r="K34" i="5"/>
  <c r="K29" i="5"/>
  <c r="O33" i="5"/>
  <c r="P33" i="5" s="1"/>
  <c r="O23" i="5"/>
  <c r="P23" i="5" s="1"/>
  <c r="P22" i="5"/>
  <c r="O30" i="5"/>
  <c r="P30" i="5" s="1"/>
  <c r="O36" i="5"/>
  <c r="P36" i="5" s="1"/>
  <c r="O29" i="5"/>
  <c r="P29" i="5" s="1"/>
  <c r="O31" i="5"/>
  <c r="P31" i="5" s="1"/>
  <c r="K24" i="5"/>
  <c r="O35" i="5"/>
  <c r="P35" i="5" s="1"/>
  <c r="O24" i="5"/>
  <c r="P24" i="5" s="1"/>
  <c r="O26" i="5"/>
  <c r="P26" i="5" s="1"/>
  <c r="O28" i="5"/>
  <c r="P28" i="5" s="1"/>
  <c r="O34" i="5"/>
  <c r="P34" i="5" s="1"/>
  <c r="O32" i="5"/>
  <c r="P32" i="5" s="1"/>
  <c r="O27" i="5"/>
  <c r="P27" i="5" s="1"/>
  <c r="J33" i="5"/>
  <c r="K33" i="5"/>
  <c r="J23" i="5"/>
  <c r="K23" i="5"/>
  <c r="K32" i="5"/>
  <c r="K35" i="5"/>
  <c r="K17" i="5"/>
  <c r="K27" i="5"/>
  <c r="K31" i="5"/>
  <c r="K30" i="5"/>
  <c r="K25" i="5"/>
  <c r="K36" i="5"/>
  <c r="K26" i="5"/>
  <c r="K22" i="5"/>
  <c r="J6" i="5"/>
  <c r="J11" i="5"/>
  <c r="K9" i="5"/>
  <c r="K14" i="5"/>
  <c r="J16" i="5"/>
  <c r="J15" i="5"/>
  <c r="J5" i="5"/>
  <c r="K4" i="5"/>
  <c r="K12" i="5"/>
  <c r="K13" i="5"/>
  <c r="J7" i="5"/>
  <c r="J8" i="5"/>
  <c r="K18" i="5"/>
  <c r="O5" i="5" l="1"/>
  <c r="P5" i="5" s="1"/>
  <c r="O7" i="5"/>
  <c r="P7" i="5" s="1"/>
  <c r="O11" i="5"/>
  <c r="P11" i="5" s="1"/>
  <c r="O15" i="5"/>
  <c r="P15" i="5" s="1"/>
  <c r="O8" i="5"/>
  <c r="P8" i="5" s="1"/>
  <c r="O12" i="5"/>
  <c r="P12" i="5" s="1"/>
  <c r="O16" i="5"/>
  <c r="P16" i="5" s="1"/>
  <c r="O6" i="5"/>
  <c r="P6" i="5" s="1"/>
  <c r="O14" i="5"/>
  <c r="P14" i="5" s="1"/>
  <c r="P4" i="5"/>
  <c r="O9" i="5"/>
  <c r="P9" i="5" s="1"/>
  <c r="O13" i="5"/>
  <c r="P13" i="5" s="1"/>
  <c r="O17" i="5"/>
  <c r="P17" i="5" s="1"/>
  <c r="O10" i="5"/>
  <c r="P10" i="5" s="1"/>
  <c r="O18" i="5"/>
  <c r="P18" i="5" s="1"/>
  <c r="G17" i="2"/>
  <c r="G16" i="2"/>
  <c r="G49" i="2" l="1"/>
  <c r="G51" i="2" s="1"/>
  <c r="G48" i="2"/>
  <c r="G50" i="2" s="1"/>
  <c r="G33" i="2"/>
  <c r="G32" i="2"/>
  <c r="G34" i="2" s="1"/>
  <c r="G35" i="2" l="1"/>
  <c r="C25" i="2"/>
  <c r="G18" i="2" l="1"/>
  <c r="G19" i="2" s="1"/>
  <c r="L13" i="2" l="1"/>
  <c r="M13" i="2" s="1"/>
  <c r="L31" i="2"/>
  <c r="M31" i="2" s="1"/>
  <c r="C38" i="2"/>
  <c r="C44" i="2" s="1"/>
  <c r="C26" i="2"/>
  <c r="C31" i="2" s="1"/>
  <c r="C37" i="2"/>
  <c r="C43" i="2" s="1"/>
  <c r="C36" i="2"/>
  <c r="C39" i="2"/>
  <c r="C45" i="2" s="1"/>
  <c r="C27" i="2"/>
  <c r="C32" i="2" s="1"/>
  <c r="L7" i="2"/>
  <c r="M7" i="2" s="1"/>
  <c r="L29" i="2"/>
  <c r="M29" i="2" s="1"/>
  <c r="L34" i="2"/>
  <c r="M34" i="2" s="1"/>
  <c r="L38" i="2"/>
  <c r="M38" i="2" s="1"/>
  <c r="L10" i="2"/>
  <c r="M10" i="2" s="1"/>
  <c r="L15" i="2"/>
  <c r="M15" i="2" s="1"/>
  <c r="L19" i="2"/>
  <c r="M19" i="2" s="1"/>
  <c r="L30" i="2"/>
  <c r="M30" i="2" s="1"/>
  <c r="L26" i="2"/>
  <c r="M26" i="2" s="1"/>
  <c r="L20" i="2"/>
  <c r="M20" i="2" s="1"/>
  <c r="L27" i="2"/>
  <c r="M27" i="2" s="1"/>
  <c r="L32" i="2"/>
  <c r="M32" i="2" s="1"/>
  <c r="L36" i="2"/>
  <c r="M36" i="2" s="1"/>
  <c r="L25" i="2"/>
  <c r="M25" i="2" s="1"/>
  <c r="L17" i="2"/>
  <c r="M17" i="2" s="1"/>
  <c r="L39" i="2"/>
  <c r="M39" i="2" s="1"/>
  <c r="L35" i="2"/>
  <c r="M35" i="2" s="1"/>
  <c r="L11" i="2"/>
  <c r="M11" i="2" s="1"/>
  <c r="L16" i="2"/>
  <c r="M16" i="2" s="1"/>
  <c r="L12" i="2"/>
  <c r="M12" i="2" s="1"/>
  <c r="L21" i="2"/>
  <c r="M21" i="2" s="1"/>
  <c r="L28" i="2"/>
  <c r="M28" i="2" s="1"/>
  <c r="L33" i="2"/>
  <c r="M33" i="2" s="1"/>
  <c r="L37" i="2"/>
  <c r="M37" i="2" s="1"/>
  <c r="L9" i="2"/>
  <c r="M9" i="2" s="1"/>
  <c r="L14" i="2"/>
  <c r="M14" i="2" s="1"/>
  <c r="L18" i="2"/>
  <c r="M18" i="2" s="1"/>
  <c r="L8" i="2"/>
  <c r="M8" i="2" s="1"/>
  <c r="C30" i="2" l="1"/>
  <c r="C29" i="2" s="1"/>
  <c r="N7" i="2" s="1"/>
  <c r="C24" i="2"/>
  <c r="C42" i="2"/>
  <c r="C35" i="2"/>
  <c r="O31" i="2" l="1"/>
  <c r="O25" i="2"/>
  <c r="N13" i="2"/>
  <c r="W7" i="2"/>
  <c r="N21" i="2"/>
  <c r="O13" i="2"/>
  <c r="O21" i="2"/>
  <c r="C41" i="2"/>
  <c r="C52" i="2" s="1"/>
  <c r="O27" i="2"/>
  <c r="O28" i="2"/>
  <c r="O38" i="2"/>
  <c r="O30" i="2"/>
  <c r="O26" i="2"/>
  <c r="O34" i="2"/>
  <c r="O36" i="2"/>
  <c r="O33" i="2"/>
  <c r="O35" i="2"/>
  <c r="O32" i="2"/>
  <c r="O37" i="2"/>
  <c r="O29" i="2"/>
  <c r="O39" i="2"/>
  <c r="N15" i="2"/>
  <c r="N17" i="2"/>
  <c r="N19" i="2"/>
  <c r="N11" i="2"/>
  <c r="N9" i="2"/>
  <c r="N14" i="2"/>
  <c r="N10" i="2"/>
  <c r="N20" i="2"/>
  <c r="N12" i="2"/>
  <c r="N16" i="2"/>
  <c r="N18" i="2"/>
  <c r="N8" i="2"/>
  <c r="O14" i="2"/>
  <c r="O7" i="2"/>
  <c r="O16" i="2"/>
  <c r="O18" i="2"/>
  <c r="O10" i="2"/>
  <c r="O20" i="2"/>
  <c r="O12" i="2"/>
  <c r="O17" i="2"/>
  <c r="O8" i="2"/>
  <c r="O15" i="2"/>
  <c r="O9" i="2"/>
  <c r="O19" i="2"/>
  <c r="O11" i="2"/>
  <c r="P13" i="2" l="1"/>
  <c r="Q13" i="2" s="1"/>
  <c r="R13" i="2" s="1"/>
  <c r="P20" i="2"/>
  <c r="Q20" i="2" s="1"/>
  <c r="R20" i="2" s="1"/>
  <c r="P18" i="2"/>
  <c r="Q18" i="2" s="1"/>
  <c r="S18" i="2" s="1"/>
  <c r="P10" i="2"/>
  <c r="Q10" i="2" s="1"/>
  <c r="R10" i="2" s="1"/>
  <c r="W15" i="2"/>
  <c r="W9" i="2"/>
  <c r="W16" i="2"/>
  <c r="W20" i="2"/>
  <c r="W10" i="2"/>
  <c r="W8" i="2"/>
  <c r="W14" i="2"/>
  <c r="W12" i="2"/>
  <c r="W11" i="2"/>
  <c r="W21" i="2"/>
  <c r="W17" i="2"/>
  <c r="W13" i="2"/>
  <c r="W18" i="2"/>
  <c r="W19" i="2"/>
  <c r="P17" i="2"/>
  <c r="Q17" i="2" s="1"/>
  <c r="S17" i="2" s="1"/>
  <c r="P15" i="2"/>
  <c r="Q15" i="2" s="1"/>
  <c r="S15" i="2" s="1"/>
  <c r="P7" i="2"/>
  <c r="Q7" i="2" s="1"/>
  <c r="N31" i="2"/>
  <c r="P31" i="2" s="1"/>
  <c r="Q31" i="2" s="1"/>
  <c r="R31" i="2" s="1"/>
  <c r="W25" i="2"/>
  <c r="P16" i="2"/>
  <c r="Q16" i="2" s="1"/>
  <c r="R16" i="2" s="1"/>
  <c r="P11" i="2"/>
  <c r="Q11" i="2" s="1"/>
  <c r="S11" i="2" s="1"/>
  <c r="P14" i="2"/>
  <c r="Q14" i="2" s="1"/>
  <c r="R14" i="2" s="1"/>
  <c r="P19" i="2"/>
  <c r="Q19" i="2" s="1"/>
  <c r="R19" i="2" s="1"/>
  <c r="P8" i="2"/>
  <c r="Q8" i="2" s="1"/>
  <c r="S8" i="2" s="1"/>
  <c r="P12" i="2"/>
  <c r="Q12" i="2" s="1"/>
  <c r="S12" i="2" s="1"/>
  <c r="P9" i="2"/>
  <c r="Q9" i="2" s="1"/>
  <c r="S9" i="2" s="1"/>
  <c r="P21" i="2"/>
  <c r="Q21" i="2" s="1"/>
  <c r="S21" i="2" s="1"/>
  <c r="N29" i="2"/>
  <c r="P29" i="2" s="1"/>
  <c r="Q29" i="2" s="1"/>
  <c r="R29" i="2" s="1"/>
  <c r="N26" i="2"/>
  <c r="P26" i="2" s="1"/>
  <c r="Q26" i="2" s="1"/>
  <c r="R26" i="2" s="1"/>
  <c r="N32" i="2"/>
  <c r="P32" i="2" s="1"/>
  <c r="Q32" i="2" s="1"/>
  <c r="R32" i="2" s="1"/>
  <c r="N33" i="2"/>
  <c r="P33" i="2" s="1"/>
  <c r="Q33" i="2" s="1"/>
  <c r="R33" i="2" s="1"/>
  <c r="N27" i="2"/>
  <c r="P27" i="2" s="1"/>
  <c r="Q27" i="2" s="1"/>
  <c r="R27" i="2" s="1"/>
  <c r="N37" i="2"/>
  <c r="P37" i="2" s="1"/>
  <c r="Q37" i="2" s="1"/>
  <c r="R37" i="2" s="1"/>
  <c r="N34" i="2"/>
  <c r="P34" i="2" s="1"/>
  <c r="Q34" i="2" s="1"/>
  <c r="R34" i="2" s="1"/>
  <c r="N39" i="2"/>
  <c r="P39" i="2" s="1"/>
  <c r="Q39" i="2" s="1"/>
  <c r="R39" i="2" s="1"/>
  <c r="N36" i="2"/>
  <c r="P36" i="2" s="1"/>
  <c r="Q36" i="2" s="1"/>
  <c r="R36" i="2" s="1"/>
  <c r="N28" i="2"/>
  <c r="P28" i="2" s="1"/>
  <c r="Q28" i="2" s="1"/>
  <c r="S28" i="2" s="1"/>
  <c r="N35" i="2"/>
  <c r="P35" i="2" s="1"/>
  <c r="Q35" i="2" s="1"/>
  <c r="R35" i="2" s="1"/>
  <c r="N38" i="2"/>
  <c r="P38" i="2" s="1"/>
  <c r="Q38" i="2" s="1"/>
  <c r="R38" i="2" s="1"/>
  <c r="N30" i="2"/>
  <c r="P30" i="2" s="1"/>
  <c r="Q30" i="2" s="1"/>
  <c r="R30" i="2" s="1"/>
  <c r="N25" i="2"/>
  <c r="P25" i="2" s="1"/>
  <c r="Q25" i="2" s="1"/>
  <c r="R25" i="2" s="1"/>
  <c r="S14" i="2" l="1"/>
  <c r="R18" i="2"/>
  <c r="R8" i="2"/>
  <c r="S13" i="2"/>
  <c r="R9" i="2"/>
  <c r="R17" i="2"/>
  <c r="R28" i="2"/>
  <c r="S19" i="2"/>
  <c r="S37" i="2"/>
  <c r="S26" i="2"/>
  <c r="S20" i="2"/>
  <c r="S16" i="2"/>
  <c r="S10" i="2"/>
  <c r="R11" i="2"/>
  <c r="S31" i="2"/>
  <c r="S7" i="2"/>
  <c r="R7" i="2"/>
  <c r="W27" i="2"/>
  <c r="W34" i="2"/>
  <c r="W28" i="2"/>
  <c r="W35" i="2"/>
  <c r="W37" i="2"/>
  <c r="W26" i="2"/>
  <c r="W31" i="2"/>
  <c r="W33" i="2"/>
  <c r="W30" i="2"/>
  <c r="W29" i="2"/>
  <c r="W32" i="2"/>
  <c r="W39" i="2"/>
  <c r="W38" i="2"/>
  <c r="W36" i="2"/>
  <c r="R15" i="2"/>
  <c r="S25" i="2"/>
  <c r="S30" i="2"/>
  <c r="S36" i="2"/>
  <c r="R12" i="2"/>
  <c r="S38" i="2"/>
  <c r="S27" i="2"/>
  <c r="S29" i="2"/>
  <c r="S35" i="2"/>
  <c r="S32" i="2"/>
  <c r="R21" i="2"/>
  <c r="S34" i="2"/>
  <c r="S39" i="2"/>
  <c r="S33" i="2"/>
</calcChain>
</file>

<file path=xl/sharedStrings.xml><?xml version="1.0" encoding="utf-8"?>
<sst xmlns="http://schemas.openxmlformats.org/spreadsheetml/2006/main" count="235" uniqueCount="99">
  <si>
    <t>Name</t>
  </si>
  <si>
    <t>Summary</t>
  </si>
  <si>
    <t>ADS-B and SSR Collisions Simulator</t>
  </si>
  <si>
    <t>File general information</t>
  </si>
  <si>
    <t>Pure Aloha Model</t>
  </si>
  <si>
    <t>Formula [1]</t>
  </si>
  <si>
    <t>G(paq) = M_att(paq/s) * T(s)</t>
  </si>
  <si>
    <t>Formula [2]</t>
  </si>
  <si>
    <t>P(success) =  e ^ -2G</t>
  </si>
  <si>
    <t>Simulator fixed parameters</t>
  </si>
  <si>
    <t>Message duration</t>
  </si>
  <si>
    <t>ADS-B</t>
  </si>
  <si>
    <t>µs</t>
  </si>
  <si>
    <t>paq/s</t>
  </si>
  <si>
    <t>Mode A/C</t>
  </si>
  <si>
    <t>Parameters</t>
  </si>
  <si>
    <t>Generated data</t>
  </si>
  <si>
    <t>Illumination beam angle</t>
  </si>
  <si>
    <t>degree</t>
  </si>
  <si>
    <t>seconds</t>
  </si>
  <si>
    <t>Number of aircrafts within range</t>
  </si>
  <si>
    <t>aircrafts</t>
  </si>
  <si>
    <t>radar</t>
  </si>
  <si>
    <t>Mode S - long interrogations</t>
  </si>
  <si>
    <t>Mode S - short interrogations</t>
  </si>
  <si>
    <t>Mode A/C interrogations</t>
  </si>
  <si>
    <t>paq/beam</t>
  </si>
  <si>
    <t>beams</t>
  </si>
  <si>
    <t>Aircraft illumination time</t>
  </si>
  <si>
    <t>Number of aircrafts within beam</t>
  </si>
  <si>
    <t>Number of beams per second</t>
  </si>
  <si>
    <t>Number of aircrafts seen per second</t>
  </si>
  <si>
    <t>Within this spreadsheet the user can create a theoretical simulation of ADS-B and SSR collisions. To do so, this simulation is based on a Pure Aloha model: 
 - The transmission of the message is done without considering if the channel is busy or not.
 - In case of collision, the system is not responsible of the data loss due to the fact that these data is transmitted periodicly and they are not critical.
In order to keep it simple, the aircrafts are spread homogeneously along its range.</t>
  </si>
  <si>
    <t>Radar model: Terminal Manouvering Area (TMA)</t>
  </si>
  <si>
    <t>Radar model: En-Route (ENR)</t>
  </si>
  <si>
    <t>Radar modelling using Mode S only</t>
  </si>
  <si>
    <t>Interrogations per second (total)</t>
  </si>
  <si>
    <t>Interrogations per second (long squitter)</t>
  </si>
  <si>
    <t>Interrogations per second (short squitter)</t>
  </si>
  <si>
    <t>Radar modelling using Mode S and Mode A/C</t>
  </si>
  <si>
    <t>Interrogations per second (Mode S long squitter)</t>
  </si>
  <si>
    <t>Interrogations per second (Mode S short squitter)</t>
  </si>
  <si>
    <t>Interrogations per second (Mode A/C)</t>
  </si>
  <si>
    <t>Results</t>
  </si>
  <si>
    <t>Number of aircraft (ADS-B)</t>
  </si>
  <si>
    <t>Attempted messages</t>
  </si>
  <si>
    <t>Results from models</t>
  </si>
  <si>
    <t>Number aircrafts (ADS-B)</t>
  </si>
  <si>
    <t>Antenna turn-around time</t>
  </si>
  <si>
    <t>Radar model: Approach (APP)</t>
  </si>
  <si>
    <t>Number of available radars</t>
  </si>
  <si>
    <t>Offered rate</t>
  </si>
  <si>
    <t>Mode S - long reply</t>
  </si>
  <si>
    <t>Mode S - short reply</t>
  </si>
  <si>
    <t>Mode S - acquistion reply</t>
  </si>
  <si>
    <t>Collision probability</t>
  </si>
  <si>
    <t>Interrogations per second (Mode S acquisition squitter)</t>
  </si>
  <si>
    <t>ADS-B fixed parameters</t>
  </si>
  <si>
    <t>Squitters per second</t>
  </si>
  <si>
    <t>ADS-B Squitters per second</t>
  </si>
  <si>
    <t>ADS-B Results</t>
  </si>
  <si>
    <t>Interrogations per second (long squitter) effective</t>
  </si>
  <si>
    <t>Interrogations per second (short squitter) effective</t>
  </si>
  <si>
    <t>Interrogations per second (Mode S long squitter) effective</t>
  </si>
  <si>
    <t>Interrogations per second (Mode S short squitter) effective</t>
  </si>
  <si>
    <t>Interrogations per second (Mode S acquisition squitter) effective</t>
  </si>
  <si>
    <t>Interrogations per second (Mode A/C) effective</t>
  </si>
  <si>
    <t>Effective replies</t>
  </si>
  <si>
    <t>Modeled aircrafts (SSR)</t>
  </si>
  <si>
    <t>Modeled aircrafts (total)</t>
  </si>
  <si>
    <t>Modeled aircraft (SSR)</t>
  </si>
  <si>
    <t>Squitters per second (antena top + reduced antena bottom)</t>
  </si>
  <si>
    <t>% Reduction of Antenna Bottom</t>
  </si>
  <si>
    <t>% Effectives replies due to top/bottom antenna</t>
  </si>
  <si>
    <t>TCAS fixed parameters</t>
  </si>
  <si>
    <t>ADS-B + TCAS Results</t>
  </si>
  <si>
    <t>Msg. duration average (ms)</t>
  </si>
  <si>
    <t>Message duration average</t>
  </si>
  <si>
    <t>Time (s)</t>
  </si>
  <si>
    <t>Events per million</t>
  </si>
  <si>
    <t>Effective sent replies</t>
  </si>
  <si>
    <t>Sent replies</t>
  </si>
  <si>
    <t>1. Simulations results using ADS-B, TCAS and SSR (only Mode S) messages</t>
  </si>
  <si>
    <t>2. Simulations results using ADS-B, TCAS and SSR (Mode S and Mode A/C) messages</t>
  </si>
  <si>
    <t>Simulation error propagation in time</t>
  </si>
  <si>
    <t>Time</t>
  </si>
  <si>
    <t>ADS-B aircrafts</t>
  </si>
  <si>
    <t>2. Collision rate VS Total number of aircrafts</t>
  </si>
  <si>
    <t>ADS-B error propagation in time for selected  aircrafts</t>
  </si>
  <si>
    <t>Mode S - acquisition interrogations</t>
  </si>
  <si>
    <t>Interrogations per second (acquisition squitter)</t>
  </si>
  <si>
    <t>Interrogations per second (acquisition squitter) effective</t>
  </si>
  <si>
    <t>No-collision probability</t>
  </si>
  <si>
    <t>No-collision messages</t>
  </si>
  <si>
    <t>1. No-collision rate VS Total number of aircrafts</t>
  </si>
  <si>
    <t>Msg. duration average (μs)</t>
  </si>
  <si>
    <t>total number of TCAS messages</t>
  </si>
  <si>
    <t>total number of ADS-B messages</t>
  </si>
  <si>
    <t>total number of messages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</si>
</sst>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000%"/>
    <numFmt numFmtId="167" formatCode="0.00000%"/>
    <numFmt numFmtId="168" formatCode="0.000000%"/>
    <numFmt numFmtId="169" formatCode="0.0000000%"/>
    <numFmt numFmtId="170" formatCode="0.00000000%"/>
    <numFmt numFmtId="171" formatCode="0.0000"/>
  </numFmts>
  <fonts count="8" x14ac:knownFonts="1">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sz val="12"/>
      <color theme="0"/>
      <name val="Calibri"/>
      <family val="2"/>
      <scheme val="minor"/>
    </font>
    <font>
      <sz val="11"/>
      <color theme="1"/>
      <name val="Calibri"/>
      <family val="2"/>
    </font>
    <font>
      <sz val="11"/>
      <color theme="0"/>
      <name val="Calibri"/>
      <family val="2"/>
      <scheme val="minor"/>
    </font>
    <font>
      <b/>
      <sz val="24"/>
      <color theme="0"/>
      <name val="Calibri"/>
      <family val="2"/>
      <scheme val="minor"/>
    </font>
  </fonts>
  <fills count="8">
    <fill>
      <patternFill patternType="none"/>
    </fill>
    <fill>
      <patternFill patternType="gray125"/>
    </fill>
    <fill>
      <patternFill patternType="solid">
        <fgColor rgb="FF004254"/>
        <bgColor indexed="64"/>
      </patternFill>
    </fill>
    <fill>
      <patternFill patternType="solid">
        <fgColor rgb="FFFBBB21"/>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rgb="FFC6E0B4"/>
        <bgColor indexed="64"/>
      </patternFill>
    </fill>
    <fill>
      <patternFill patternType="solid">
        <fgColor theme="6" tint="0.399975585192419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medium">
        <color auto="1"/>
      </top>
      <bottom style="thin">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auto="1"/>
      </left>
      <right style="thin">
        <color auto="1"/>
      </right>
      <top style="medium">
        <color auto="1"/>
      </top>
      <bottom/>
      <diagonal/>
    </border>
    <border>
      <left style="thin">
        <color indexed="64"/>
      </left>
      <right/>
      <top style="medium">
        <color indexed="64"/>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s>
  <cellStyleXfs count="1">
    <xf numFmtId="0" fontId="0" fillId="0" borderId="0"/>
  </cellStyleXfs>
  <cellXfs count="102">
    <xf numFmtId="0" fontId="0" fillId="0" borderId="0" xfId="0"/>
    <xf numFmtId="0" fontId="0" fillId="0" borderId="1" xfId="0" applyBorder="1" applyAlignment="1">
      <alignment horizontal="left" vertical="top" wrapText="1"/>
    </xf>
    <xf numFmtId="0" fontId="0" fillId="0" borderId="2" xfId="0" applyBorder="1" applyAlignment="1">
      <alignment horizontal="left" vertical="top"/>
    </xf>
    <xf numFmtId="0" fontId="2" fillId="3" borderId="2" xfId="0" applyFont="1" applyFill="1" applyBorder="1" applyAlignment="1">
      <alignment horizontal="left" vertical="top"/>
    </xf>
    <xf numFmtId="0" fontId="2" fillId="3" borderId="1" xfId="0" applyFont="1" applyFill="1" applyBorder="1" applyAlignment="1">
      <alignment horizontal="left" vertical="top"/>
    </xf>
    <xf numFmtId="0" fontId="0" fillId="0" borderId="1" xfId="0" applyBorder="1"/>
    <xf numFmtId="0" fontId="2" fillId="4" borderId="3" xfId="0" applyFont="1" applyFill="1" applyBorder="1" applyAlignment="1">
      <alignment vertical="center"/>
    </xf>
    <xf numFmtId="0" fontId="0" fillId="0" borderId="3" xfId="0" applyBorder="1" applyAlignment="1">
      <alignment horizontal="right"/>
    </xf>
    <xf numFmtId="0" fontId="0" fillId="0" borderId="3" xfId="0" applyBorder="1"/>
    <xf numFmtId="0" fontId="2" fillId="4" borderId="1" xfId="0" applyFont="1" applyFill="1" applyBorder="1"/>
    <xf numFmtId="0" fontId="0" fillId="0" borderId="1" xfId="0" applyBorder="1" applyAlignment="1">
      <alignment horizontal="right"/>
    </xf>
    <xf numFmtId="0" fontId="2" fillId="4" borderId="10" xfId="0" applyFont="1" applyFill="1" applyBorder="1"/>
    <xf numFmtId="0" fontId="0" fillId="0" borderId="10" xfId="0" applyBorder="1" applyAlignment="1">
      <alignment horizontal="right"/>
    </xf>
    <xf numFmtId="0" fontId="0" fillId="0" borderId="10" xfId="0" applyBorder="1"/>
    <xf numFmtId="0" fontId="0" fillId="0" borderId="2" xfId="0" applyBorder="1"/>
    <xf numFmtId="0" fontId="0" fillId="4" borderId="2" xfId="0" applyFill="1" applyBorder="1" applyAlignment="1">
      <alignment horizontal="left"/>
    </xf>
    <xf numFmtId="0" fontId="0" fillId="0" borderId="2" xfId="0" applyBorder="1" applyAlignment="1">
      <alignment horizontal="right"/>
    </xf>
    <xf numFmtId="0" fontId="0" fillId="4" borderId="1" xfId="0" applyFill="1" applyBorder="1" applyAlignment="1">
      <alignment horizontal="left"/>
    </xf>
    <xf numFmtId="0" fontId="0" fillId="4" borderId="10" xfId="0" applyFill="1" applyBorder="1" applyAlignment="1">
      <alignment horizontal="left"/>
    </xf>
    <xf numFmtId="0" fontId="5" fillId="0" borderId="10" xfId="0" applyFont="1" applyBorder="1"/>
    <xf numFmtId="0" fontId="5" fillId="0" borderId="2" xfId="0" applyFont="1" applyBorder="1"/>
    <xf numFmtId="0" fontId="5" fillId="0" borderId="1" xfId="0" applyFont="1" applyBorder="1"/>
    <xf numFmtId="0" fontId="0" fillId="0" borderId="1" xfId="0" applyBorder="1" applyAlignment="1">
      <alignment wrapText="1"/>
    </xf>
    <xf numFmtId="0" fontId="2" fillId="3" borderId="2" xfId="0" applyFont="1" applyFill="1" applyBorder="1"/>
    <xf numFmtId="0" fontId="2" fillId="3" borderId="1" xfId="0" applyFont="1" applyFill="1" applyBorder="1"/>
    <xf numFmtId="0" fontId="2" fillId="4" borderId="2" xfId="0" applyFont="1" applyFill="1" applyBorder="1"/>
    <xf numFmtId="0" fontId="2" fillId="3" borderId="11" xfId="0" applyFont="1" applyFill="1" applyBorder="1"/>
    <xf numFmtId="0" fontId="0" fillId="0" borderId="18" xfId="0" applyBorder="1"/>
    <xf numFmtId="0" fontId="1" fillId="2" borderId="0" xfId="0" applyFont="1" applyFill="1"/>
    <xf numFmtId="0" fontId="2" fillId="3" borderId="3" xfId="0" applyFont="1" applyFill="1" applyBorder="1" applyAlignment="1">
      <alignment vertical="center"/>
    </xf>
    <xf numFmtId="0" fontId="2" fillId="3" borderId="1" xfId="0" applyFont="1" applyFill="1" applyBorder="1" applyAlignment="1">
      <alignment vertical="center"/>
    </xf>
    <xf numFmtId="164" fontId="0" fillId="0" borderId="1" xfId="0" applyNumberFormat="1" applyBorder="1" applyAlignment="1">
      <alignment horizontal="right"/>
    </xf>
    <xf numFmtId="0" fontId="2" fillId="4" borderId="11" xfId="0" applyFont="1" applyFill="1" applyBorder="1"/>
    <xf numFmtId="164" fontId="0" fillId="0" borderId="15" xfId="0" applyNumberFormat="1" applyBorder="1" applyAlignment="1">
      <alignment horizontal="right"/>
    </xf>
    <xf numFmtId="0" fontId="0" fillId="0" borderId="17" xfId="0" applyBorder="1"/>
    <xf numFmtId="2" fontId="0" fillId="0" borderId="18" xfId="0" applyNumberFormat="1" applyBorder="1"/>
    <xf numFmtId="2" fontId="0" fillId="0" borderId="1" xfId="0" applyNumberFormat="1" applyBorder="1"/>
    <xf numFmtId="10" fontId="0" fillId="0" borderId="1" xfId="0" applyNumberFormat="1" applyBorder="1"/>
    <xf numFmtId="10" fontId="0" fillId="0" borderId="3" xfId="0" applyNumberFormat="1" applyBorder="1"/>
    <xf numFmtId="0" fontId="0" fillId="5" borderId="1" xfId="0" applyFill="1" applyBorder="1"/>
    <xf numFmtId="10" fontId="0" fillId="5" borderId="1" xfId="0" applyNumberFormat="1" applyFill="1" applyBorder="1"/>
    <xf numFmtId="10" fontId="0" fillId="6" borderId="1" xfId="0" applyNumberFormat="1" applyFill="1" applyBorder="1"/>
    <xf numFmtId="0" fontId="0" fillId="6" borderId="1" xfId="0" applyFill="1" applyBorder="1"/>
    <xf numFmtId="0" fontId="0" fillId="0" borderId="0" xfId="0" applyBorder="1"/>
    <xf numFmtId="10" fontId="0" fillId="0" borderId="0" xfId="0" applyNumberFormat="1" applyBorder="1"/>
    <xf numFmtId="11" fontId="0" fillId="0" borderId="0" xfId="0" applyNumberFormat="1" applyBorder="1"/>
    <xf numFmtId="0" fontId="0" fillId="0" borderId="3" xfId="0" applyNumberFormat="1" applyBorder="1"/>
    <xf numFmtId="0" fontId="0" fillId="0" borderId="1" xfId="0" applyNumberFormat="1" applyBorder="1"/>
    <xf numFmtId="164" fontId="0" fillId="0" borderId="10" xfId="0" applyNumberFormat="1" applyBorder="1" applyAlignment="1">
      <alignment horizontal="right"/>
    </xf>
    <xf numFmtId="2" fontId="0" fillId="0" borderId="1" xfId="0" applyNumberFormat="1" applyFill="1" applyBorder="1"/>
    <xf numFmtId="2" fontId="0" fillId="6" borderId="1" xfId="0" applyNumberFormat="1" applyFill="1" applyBorder="1"/>
    <xf numFmtId="2" fontId="0" fillId="0" borderId="0" xfId="0" applyNumberFormat="1" applyFill="1" applyBorder="1"/>
    <xf numFmtId="0" fontId="0" fillId="0" borderId="27" xfId="0" applyBorder="1"/>
    <xf numFmtId="0" fontId="0" fillId="0" borderId="28" xfId="0" applyBorder="1"/>
    <xf numFmtId="0" fontId="0" fillId="6" borderId="2" xfId="0" applyFill="1" applyBorder="1"/>
    <xf numFmtId="165" fontId="0" fillId="0" borderId="1" xfId="0" applyNumberFormat="1" applyBorder="1"/>
    <xf numFmtId="166" fontId="0" fillId="0" borderId="1" xfId="0" applyNumberFormat="1" applyBorder="1"/>
    <xf numFmtId="167" fontId="0" fillId="0" borderId="1" xfId="0" applyNumberFormat="1" applyBorder="1"/>
    <xf numFmtId="168" fontId="0" fillId="0" borderId="1" xfId="0" applyNumberFormat="1" applyBorder="1"/>
    <xf numFmtId="169" fontId="0" fillId="0" borderId="1" xfId="0" applyNumberFormat="1" applyBorder="1"/>
    <xf numFmtId="170" fontId="0" fillId="0" borderId="1" xfId="0" applyNumberFormat="1" applyBorder="1"/>
    <xf numFmtId="0" fontId="0" fillId="0" borderId="26" xfId="0" applyBorder="1"/>
    <xf numFmtId="0" fontId="0" fillId="0" borderId="11" xfId="0" applyBorder="1"/>
    <xf numFmtId="0" fontId="0" fillId="0" borderId="29" xfId="0" applyFill="1" applyBorder="1"/>
    <xf numFmtId="10" fontId="0" fillId="0" borderId="29" xfId="0" applyNumberFormat="1" applyFill="1" applyBorder="1"/>
    <xf numFmtId="171" fontId="0" fillId="0" borderId="3" xfId="0" applyNumberFormat="1" applyBorder="1"/>
    <xf numFmtId="171" fontId="0" fillId="0" borderId="1" xfId="0" applyNumberFormat="1" applyBorder="1"/>
    <xf numFmtId="171" fontId="0" fillId="6" borderId="1" xfId="0" applyNumberFormat="1" applyFill="1" applyBorder="1"/>
    <xf numFmtId="0" fontId="3" fillId="2" borderId="7" xfId="0" applyFont="1" applyFill="1" applyBorder="1" applyAlignment="1">
      <alignment horizontal="center" vertical="center"/>
    </xf>
    <xf numFmtId="0" fontId="4" fillId="2" borderId="9" xfId="0" applyFont="1" applyFill="1" applyBorder="1" applyAlignment="1">
      <alignment horizontal="center" vertical="center"/>
    </xf>
    <xf numFmtId="0" fontId="3" fillId="2" borderId="9" xfId="0" applyFont="1" applyFill="1" applyBorder="1" applyAlignment="1">
      <alignment horizontal="center" vertical="center"/>
    </xf>
    <xf numFmtId="0" fontId="1" fillId="2" borderId="7" xfId="0" applyFont="1" applyFill="1" applyBorder="1" applyAlignment="1">
      <alignment horizontal="center"/>
    </xf>
    <xf numFmtId="0" fontId="1" fillId="2" borderId="8" xfId="0" applyFont="1" applyFill="1" applyBorder="1" applyAlignment="1">
      <alignment horizontal="center"/>
    </xf>
    <xf numFmtId="0" fontId="1" fillId="2" borderId="9"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2" fillId="7" borderId="21" xfId="0" applyFont="1" applyFill="1" applyBorder="1" applyAlignment="1">
      <alignment horizontal="center"/>
    </xf>
    <xf numFmtId="0" fontId="2" fillId="7" borderId="22" xfId="0" applyFont="1" applyFill="1" applyBorder="1" applyAlignment="1">
      <alignment horizontal="center"/>
    </xf>
    <xf numFmtId="0" fontId="2" fillId="7" borderId="23" xfId="0" applyFont="1" applyFill="1" applyBorder="1" applyAlignment="1">
      <alignment horizontal="center"/>
    </xf>
    <xf numFmtId="0" fontId="2" fillId="7" borderId="24" xfId="0" applyFont="1" applyFill="1" applyBorder="1" applyAlignment="1">
      <alignment horizontal="center"/>
    </xf>
    <xf numFmtId="0" fontId="2" fillId="7" borderId="25" xfId="0" applyFont="1" applyFill="1" applyBorder="1" applyAlignment="1">
      <alignment horizontal="center"/>
    </xf>
    <xf numFmtId="0" fontId="2" fillId="7" borderId="26" xfId="0" applyFont="1" applyFill="1" applyBorder="1" applyAlignment="1">
      <alignment horizontal="center"/>
    </xf>
    <xf numFmtId="0" fontId="7" fillId="2" borderId="12" xfId="0" applyFont="1" applyFill="1" applyBorder="1" applyAlignment="1">
      <alignment horizontal="center" vertical="center"/>
    </xf>
    <xf numFmtId="0" fontId="7" fillId="2" borderId="13" xfId="0" applyFont="1" applyFill="1" applyBorder="1" applyAlignment="1">
      <alignment horizontal="center" vertical="center"/>
    </xf>
    <xf numFmtId="0" fontId="7" fillId="2" borderId="14"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5" xfId="0" applyFont="1" applyFill="1" applyBorder="1" applyAlignment="1">
      <alignment horizontal="center" vertical="center"/>
    </xf>
    <xf numFmtId="0" fontId="7" fillId="2" borderId="6" xfId="0" applyFont="1" applyFill="1" applyBorder="1" applyAlignment="1">
      <alignment horizontal="center" vertical="center"/>
    </xf>
    <xf numFmtId="0" fontId="1" fillId="2" borderId="15" xfId="0" applyFont="1" applyFill="1" applyBorder="1" applyAlignment="1">
      <alignment horizontal="left"/>
    </xf>
    <xf numFmtId="0" fontId="6" fillId="2" borderId="16" xfId="0" applyFont="1" applyFill="1" applyBorder="1" applyAlignment="1">
      <alignment horizontal="left"/>
    </xf>
    <xf numFmtId="0" fontId="6" fillId="2" borderId="19" xfId="0" applyFont="1" applyFill="1" applyBorder="1" applyAlignment="1">
      <alignment horizontal="left"/>
    </xf>
    <xf numFmtId="0" fontId="6" fillId="2" borderId="17" xfId="0" applyFont="1" applyFill="1" applyBorder="1" applyAlignment="1">
      <alignment horizontal="left"/>
    </xf>
    <xf numFmtId="0" fontId="1" fillId="2" borderId="7" xfId="0" applyFont="1" applyFill="1" applyBorder="1" applyAlignment="1">
      <alignment horizontal="left"/>
    </xf>
    <xf numFmtId="0" fontId="1" fillId="2" borderId="8" xfId="0" applyFont="1" applyFill="1" applyBorder="1" applyAlignment="1">
      <alignment horizontal="left"/>
    </xf>
    <xf numFmtId="0" fontId="1" fillId="2" borderId="9" xfId="0" applyFont="1" applyFill="1" applyBorder="1" applyAlignment="1">
      <alignment horizontal="left"/>
    </xf>
    <xf numFmtId="0" fontId="7" fillId="2" borderId="20" xfId="0" applyFont="1" applyFill="1" applyBorder="1" applyAlignment="1">
      <alignment horizontal="center" vertical="center"/>
    </xf>
    <xf numFmtId="0" fontId="7" fillId="2" borderId="0" xfId="0" applyFont="1" applyFill="1" applyBorder="1" applyAlignment="1">
      <alignment horizontal="center" vertical="center"/>
    </xf>
    <xf numFmtId="0" fontId="1" fillId="2" borderId="11" xfId="0" applyFont="1" applyFill="1" applyBorder="1" applyAlignment="1">
      <alignment horizontal="center"/>
    </xf>
    <xf numFmtId="0" fontId="0" fillId="0" borderId="10" xfId="0" applyFont="1" applyBorder="1" applyAlignment="1">
      <alignment horizontal="right"/>
    </xf>
  </cellXfs>
  <cellStyles count="1">
    <cellStyle name="Normal" xfId="0" builtinId="0"/>
  </cellStyles>
  <dxfs count="0"/>
  <tableStyles count="0" defaultTableStyle="TableStyleMedium2" defaultPivotStyle="PivotStyleLight16"/>
  <colors>
    <mruColors>
      <color rgb="FFFBBB21"/>
      <color rgb="FFC6E0B4"/>
      <color rgb="FF0042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No-collision rate (with SSR)</c:v>
          </c:tx>
          <c:spPr>
            <a:ln w="28575" cap="rnd">
              <a:solidFill>
                <a:schemeClr val="accent1"/>
              </a:solidFill>
              <a:round/>
            </a:ln>
            <a:effectLst/>
          </c:spPr>
          <c:marker>
            <c:symbol val="none"/>
          </c:marker>
          <c:cat>
            <c:numRef>
              <c:f>Simulator!$K$7:$K$21</c:f>
              <c:numCache>
                <c:formatCode>General</c:formatCode>
                <c:ptCount val="15"/>
                <c:pt idx="0">
                  <c:v>50</c:v>
                </c:pt>
                <c:pt idx="1">
                  <c:v>100</c:v>
                </c:pt>
                <c:pt idx="2">
                  <c:v>150</c:v>
                </c:pt>
                <c:pt idx="3">
                  <c:v>200</c:v>
                </c:pt>
                <c:pt idx="4">
                  <c:v>225</c:v>
                </c:pt>
                <c:pt idx="5">
                  <c:v>250</c:v>
                </c:pt>
                <c:pt idx="6">
                  <c:v>275</c:v>
                </c:pt>
                <c:pt idx="7">
                  <c:v>300</c:v>
                </c:pt>
                <c:pt idx="8">
                  <c:v>500</c:v>
                </c:pt>
                <c:pt idx="9">
                  <c:v>1000</c:v>
                </c:pt>
                <c:pt idx="10">
                  <c:v>1500</c:v>
                </c:pt>
                <c:pt idx="11">
                  <c:v>2000</c:v>
                </c:pt>
                <c:pt idx="12">
                  <c:v>2500</c:v>
                </c:pt>
                <c:pt idx="13">
                  <c:v>3000</c:v>
                </c:pt>
                <c:pt idx="14">
                  <c:v>3500</c:v>
                </c:pt>
              </c:numCache>
            </c:numRef>
          </c:cat>
          <c:val>
            <c:numRef>
              <c:f>Simulator!$Q$7:$Q$21</c:f>
              <c:numCache>
                <c:formatCode>0.00%</c:formatCode>
                <c:ptCount val="15"/>
                <c:pt idx="0">
                  <c:v>0.93532047155634235</c:v>
                </c:pt>
                <c:pt idx="1">
                  <c:v>0.87501810151377468</c:v>
                </c:pt>
                <c:pt idx="2">
                  <c:v>0.81860357092659708</c:v>
                </c:pt>
                <c:pt idx="3">
                  <c:v>0.76582622139414935</c:v>
                </c:pt>
                <c:pt idx="4">
                  <c:v>0.74064560863134909</c:v>
                </c:pt>
                <c:pt idx="5">
                  <c:v>0.71629294252458764</c:v>
                </c:pt>
                <c:pt idx="6">
                  <c:v>0.69289439723342783</c:v>
                </c:pt>
                <c:pt idx="7">
                  <c:v>0.67011180633377632</c:v>
                </c:pt>
                <c:pt idx="8">
                  <c:v>0.51318919255620399</c:v>
                </c:pt>
                <c:pt idx="9">
                  <c:v>0.26342146525444315</c:v>
                </c:pt>
                <c:pt idx="10">
                  <c:v>0.13518504905589981</c:v>
                </c:pt>
                <c:pt idx="11">
                  <c:v>6.9390868356797808E-2</c:v>
                </c:pt>
                <c:pt idx="12">
                  <c:v>3.56106437027989E-2</c:v>
                </c:pt>
                <c:pt idx="13">
                  <c:v>1.8279044217825845E-2</c:v>
                </c:pt>
                <c:pt idx="14">
                  <c:v>9.3806079428451917E-3</c:v>
                </c:pt>
              </c:numCache>
            </c:numRef>
          </c:val>
          <c:smooth val="0"/>
          <c:extLst>
            <c:ext xmlns:c16="http://schemas.microsoft.com/office/drawing/2014/chart" uri="{C3380CC4-5D6E-409C-BE32-E72D297353CC}">
              <c16:uniqueId val="{00000000-479F-4003-83C4-00F1D1B37040}"/>
            </c:ext>
          </c:extLst>
        </c:ser>
        <c:ser>
          <c:idx val="1"/>
          <c:order val="1"/>
          <c:tx>
            <c:v>No-collision rate (w/o SSR)</c:v>
          </c:tx>
          <c:spPr>
            <a:ln w="28575" cap="rnd">
              <a:solidFill>
                <a:schemeClr val="accent2"/>
              </a:solidFill>
              <a:round/>
            </a:ln>
            <a:effectLst/>
          </c:spPr>
          <c:marker>
            <c:symbol val="none"/>
          </c:marker>
          <c:val>
            <c:numRef>
              <c:f>'ADS-B'!$I$22:$I$36</c:f>
              <c:numCache>
                <c:formatCode>0.00%</c:formatCode>
                <c:ptCount val="15"/>
                <c:pt idx="0">
                  <c:v>0.93531786958379171</c:v>
                </c:pt>
                <c:pt idx="1">
                  <c:v>0.87501324114664369</c:v>
                </c:pt>
                <c:pt idx="2">
                  <c:v>0.81859675419508582</c:v>
                </c:pt>
                <c:pt idx="3">
                  <c:v>0.76581772077027044</c:v>
                </c:pt>
                <c:pt idx="4">
                  <c:v>0.7406363573186362</c:v>
                </c:pt>
                <c:pt idx="5">
                  <c:v>0.71628299908036441</c:v>
                </c:pt>
                <c:pt idx="6">
                  <c:v>0.6928838212155698</c:v>
                </c:pt>
                <c:pt idx="7">
                  <c:v>0.67010064597872976</c:v>
                </c:pt>
                <c:pt idx="8">
                  <c:v>0.51317494939011676</c:v>
                </c:pt>
                <c:pt idx="9">
                  <c:v>0.26340684576881601</c:v>
                </c:pt>
                <c:pt idx="10">
                  <c:v>0.13517379474642244</c:v>
                </c:pt>
                <c:pt idx="11">
                  <c:v>6.9383166397876825E-2</c:v>
                </c:pt>
                <c:pt idx="12">
                  <c:v>3.5605702904756474E-2</c:v>
                </c:pt>
                <c:pt idx="13">
                  <c:v>1.8276001010317639E-2</c:v>
                </c:pt>
                <c:pt idx="14">
                  <c:v>9.3787858935234728E-3</c:v>
                </c:pt>
              </c:numCache>
            </c:numRef>
          </c:val>
          <c:smooth val="0"/>
          <c:extLst>
            <c:ext xmlns:c16="http://schemas.microsoft.com/office/drawing/2014/chart" uri="{C3380CC4-5D6E-409C-BE32-E72D297353CC}">
              <c16:uniqueId val="{00000001-041E-4C8D-847F-BF4102D22F35}"/>
            </c:ext>
          </c:extLst>
        </c:ser>
        <c:dLbls>
          <c:showLegendKey val="0"/>
          <c:showVal val="0"/>
          <c:showCatName val="0"/>
          <c:showSerName val="0"/>
          <c:showPercent val="0"/>
          <c:showBubbleSize val="0"/>
        </c:dLbls>
        <c:smooth val="0"/>
        <c:axId val="1306075744"/>
        <c:axId val="1232409856"/>
      </c:lineChart>
      <c:catAx>
        <c:axId val="1306075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baseline="0"/>
                  <a:t>ADS-B aircrafts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32409856"/>
        <c:crosses val="autoZero"/>
        <c:auto val="1"/>
        <c:lblAlgn val="ctr"/>
        <c:lblOffset val="100"/>
        <c:noMultiLvlLbl val="0"/>
      </c:catAx>
      <c:valAx>
        <c:axId val="123240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No-collision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06075744"/>
        <c:crosses val="autoZero"/>
        <c:crossBetween val="between"/>
      </c:valAx>
      <c:spPr>
        <a:noFill/>
        <a:ln>
          <a:noFill/>
        </a:ln>
        <a:effectLst/>
      </c:spPr>
    </c:plotArea>
    <c:legend>
      <c:legendPos val="r"/>
      <c:layout>
        <c:manualLayout>
          <c:xMode val="edge"/>
          <c:yMode val="edge"/>
          <c:x val="0.71511922711788689"/>
          <c:y val="2.8710416666666665E-2"/>
          <c:w val="0.26218573742112022"/>
          <c:h val="0.14882916666666668"/>
        </c:manualLayout>
      </c:layout>
      <c:overlay val="1"/>
      <c:spPr>
        <a:solidFill>
          <a:schemeClr val="bg1"/>
        </a:solidFill>
        <a:ln>
          <a:solidFill>
            <a:schemeClr val="accent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Collision rate (with SSR)</c:v>
          </c:tx>
          <c:spPr>
            <a:ln w="28575" cap="rnd">
              <a:solidFill>
                <a:schemeClr val="accent1"/>
              </a:solidFill>
              <a:round/>
            </a:ln>
            <a:effectLst/>
          </c:spPr>
          <c:marker>
            <c:symbol val="none"/>
          </c:marker>
          <c:cat>
            <c:numRef>
              <c:f>Simulator!$K$7:$K$21</c:f>
              <c:numCache>
                <c:formatCode>General</c:formatCode>
                <c:ptCount val="15"/>
                <c:pt idx="0">
                  <c:v>50</c:v>
                </c:pt>
                <c:pt idx="1">
                  <c:v>100</c:v>
                </c:pt>
                <c:pt idx="2">
                  <c:v>150</c:v>
                </c:pt>
                <c:pt idx="3">
                  <c:v>200</c:v>
                </c:pt>
                <c:pt idx="4">
                  <c:v>225</c:v>
                </c:pt>
                <c:pt idx="5">
                  <c:v>250</c:v>
                </c:pt>
                <c:pt idx="6">
                  <c:v>275</c:v>
                </c:pt>
                <c:pt idx="7">
                  <c:v>300</c:v>
                </c:pt>
                <c:pt idx="8">
                  <c:v>500</c:v>
                </c:pt>
                <c:pt idx="9">
                  <c:v>1000</c:v>
                </c:pt>
                <c:pt idx="10">
                  <c:v>1500</c:v>
                </c:pt>
                <c:pt idx="11">
                  <c:v>2000</c:v>
                </c:pt>
                <c:pt idx="12">
                  <c:v>2500</c:v>
                </c:pt>
                <c:pt idx="13">
                  <c:v>3000</c:v>
                </c:pt>
                <c:pt idx="14">
                  <c:v>3500</c:v>
                </c:pt>
              </c:numCache>
            </c:numRef>
          </c:cat>
          <c:val>
            <c:numRef>
              <c:f>Simulator!$R$7:$R$21</c:f>
              <c:numCache>
                <c:formatCode>0.00%</c:formatCode>
                <c:ptCount val="15"/>
                <c:pt idx="0">
                  <c:v>6.4679528443657652E-2</c:v>
                </c:pt>
                <c:pt idx="1">
                  <c:v>0.12498189848622532</c:v>
                </c:pt>
                <c:pt idx="2">
                  <c:v>0.18139642907340292</c:v>
                </c:pt>
                <c:pt idx="3">
                  <c:v>0.23417377860585065</c:v>
                </c:pt>
                <c:pt idx="4">
                  <c:v>0.25935439136865091</c:v>
                </c:pt>
                <c:pt idx="5">
                  <c:v>0.28370705747541236</c:v>
                </c:pt>
                <c:pt idx="6">
                  <c:v>0.30710560276657217</c:v>
                </c:pt>
                <c:pt idx="7">
                  <c:v>0.32988819366622368</c:v>
                </c:pt>
                <c:pt idx="8">
                  <c:v>0.48681080744379601</c:v>
                </c:pt>
                <c:pt idx="9">
                  <c:v>0.7365785347455569</c:v>
                </c:pt>
                <c:pt idx="10">
                  <c:v>0.86481495094410021</c:v>
                </c:pt>
                <c:pt idx="11">
                  <c:v>0.93060913164320214</c:v>
                </c:pt>
                <c:pt idx="12">
                  <c:v>0.96438935629720113</c:v>
                </c:pt>
                <c:pt idx="13">
                  <c:v>0.98172095578217411</c:v>
                </c:pt>
                <c:pt idx="14">
                  <c:v>0.99061939205715477</c:v>
                </c:pt>
              </c:numCache>
            </c:numRef>
          </c:val>
          <c:smooth val="0"/>
          <c:extLst>
            <c:ext xmlns:c16="http://schemas.microsoft.com/office/drawing/2014/chart" uri="{C3380CC4-5D6E-409C-BE32-E72D297353CC}">
              <c16:uniqueId val="{00000000-36F5-4FCC-883C-E8C8C1F53335}"/>
            </c:ext>
          </c:extLst>
        </c:ser>
        <c:ser>
          <c:idx val="1"/>
          <c:order val="1"/>
          <c:tx>
            <c:v>Collision rate (w/o SSR)</c:v>
          </c:tx>
          <c:spPr>
            <a:ln w="28575" cap="rnd">
              <a:solidFill>
                <a:schemeClr val="accent2"/>
              </a:solidFill>
              <a:round/>
            </a:ln>
            <a:effectLst/>
          </c:spPr>
          <c:marker>
            <c:symbol val="none"/>
          </c:marker>
          <c:val>
            <c:numRef>
              <c:f>'ADS-B'!$J$22:$J$36</c:f>
              <c:numCache>
                <c:formatCode>0.00%</c:formatCode>
                <c:ptCount val="15"/>
                <c:pt idx="0">
                  <c:v>6.4682130416208294E-2</c:v>
                </c:pt>
                <c:pt idx="1">
                  <c:v>0.12498675885335631</c:v>
                </c:pt>
                <c:pt idx="2">
                  <c:v>0.18140324580491418</c:v>
                </c:pt>
                <c:pt idx="3">
                  <c:v>0.23418227922972956</c:v>
                </c:pt>
                <c:pt idx="4">
                  <c:v>0.2593636426813638</c:v>
                </c:pt>
                <c:pt idx="5">
                  <c:v>0.28371700091963559</c:v>
                </c:pt>
                <c:pt idx="6">
                  <c:v>0.3071161787844302</c:v>
                </c:pt>
                <c:pt idx="7">
                  <c:v>0.32989935402127024</c:v>
                </c:pt>
                <c:pt idx="8">
                  <c:v>0.48682505060988324</c:v>
                </c:pt>
                <c:pt idx="9">
                  <c:v>0.73659315423118399</c:v>
                </c:pt>
                <c:pt idx="10">
                  <c:v>0.86482620525357756</c:v>
                </c:pt>
                <c:pt idx="11">
                  <c:v>0.93061683360212322</c:v>
                </c:pt>
                <c:pt idx="12">
                  <c:v>0.96439429709524349</c:v>
                </c:pt>
                <c:pt idx="13">
                  <c:v>0.98172399898968232</c:v>
                </c:pt>
                <c:pt idx="14">
                  <c:v>0.99062121410647652</c:v>
                </c:pt>
              </c:numCache>
            </c:numRef>
          </c:val>
          <c:smooth val="0"/>
          <c:extLst>
            <c:ext xmlns:c16="http://schemas.microsoft.com/office/drawing/2014/chart" uri="{C3380CC4-5D6E-409C-BE32-E72D297353CC}">
              <c16:uniqueId val="{00000004-15B2-4337-98E3-BA894C4CC3B8}"/>
            </c:ext>
          </c:extLst>
        </c:ser>
        <c:dLbls>
          <c:showLegendKey val="0"/>
          <c:showVal val="0"/>
          <c:showCatName val="0"/>
          <c:showSerName val="0"/>
          <c:showPercent val="0"/>
          <c:showBubbleSize val="0"/>
        </c:dLbls>
        <c:smooth val="0"/>
        <c:axId val="1825477888"/>
        <c:axId val="1224074352"/>
      </c:lineChart>
      <c:catAx>
        <c:axId val="1825477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baseline="0"/>
                  <a:t>ADS-B aircrafts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24074352"/>
        <c:crosses val="autoZero"/>
        <c:auto val="1"/>
        <c:lblAlgn val="ctr"/>
        <c:lblOffset val="100"/>
        <c:noMultiLvlLbl val="0"/>
      </c:catAx>
      <c:valAx>
        <c:axId val="1224074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Collision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25477888"/>
        <c:crosses val="autoZero"/>
        <c:crossBetween val="between"/>
      </c:valAx>
      <c:spPr>
        <a:noFill/>
        <a:ln>
          <a:noFill/>
        </a:ln>
        <a:effectLst/>
      </c:spPr>
    </c:plotArea>
    <c:legend>
      <c:legendPos val="r"/>
      <c:layout>
        <c:manualLayout>
          <c:xMode val="edge"/>
          <c:yMode val="edge"/>
          <c:x val="0.1436662198391421"/>
          <c:y val="6.6618055555555666E-3"/>
          <c:w val="0.22076630920464702"/>
          <c:h val="0.14882916666666668"/>
        </c:manualLayout>
      </c:layout>
      <c:overlay val="1"/>
      <c:spPr>
        <a:solidFill>
          <a:schemeClr val="bg1"/>
        </a:solidFill>
        <a:ln>
          <a:solidFill>
            <a:schemeClr val="accent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No-collision rate (with SSR)</c:v>
          </c:tx>
          <c:spPr>
            <a:ln w="28575" cap="rnd">
              <a:solidFill>
                <a:schemeClr val="accent1"/>
              </a:solidFill>
              <a:round/>
            </a:ln>
            <a:effectLst/>
          </c:spPr>
          <c:marker>
            <c:symbol val="none"/>
          </c:marker>
          <c:cat>
            <c:numRef>
              <c:f>Simulator!$K$25:$K$39</c:f>
              <c:numCache>
                <c:formatCode>General</c:formatCode>
                <c:ptCount val="15"/>
                <c:pt idx="0">
                  <c:v>50</c:v>
                </c:pt>
                <c:pt idx="1">
                  <c:v>100</c:v>
                </c:pt>
                <c:pt idx="2">
                  <c:v>150</c:v>
                </c:pt>
                <c:pt idx="3">
                  <c:v>200</c:v>
                </c:pt>
                <c:pt idx="4">
                  <c:v>225</c:v>
                </c:pt>
                <c:pt idx="5">
                  <c:v>250</c:v>
                </c:pt>
                <c:pt idx="6">
                  <c:v>275</c:v>
                </c:pt>
                <c:pt idx="7">
                  <c:v>300</c:v>
                </c:pt>
                <c:pt idx="8">
                  <c:v>500</c:v>
                </c:pt>
                <c:pt idx="9">
                  <c:v>1000</c:v>
                </c:pt>
                <c:pt idx="10">
                  <c:v>1500</c:v>
                </c:pt>
                <c:pt idx="11">
                  <c:v>2000</c:v>
                </c:pt>
                <c:pt idx="12">
                  <c:v>2500</c:v>
                </c:pt>
                <c:pt idx="13">
                  <c:v>3000</c:v>
                </c:pt>
                <c:pt idx="14">
                  <c:v>3500</c:v>
                </c:pt>
              </c:numCache>
            </c:numRef>
          </c:cat>
          <c:val>
            <c:numRef>
              <c:f>Simulator!$Q$25:$Q$39</c:f>
              <c:numCache>
                <c:formatCode>0.00%</c:formatCode>
                <c:ptCount val="15"/>
                <c:pt idx="0">
                  <c:v>0.93532047155634235</c:v>
                </c:pt>
                <c:pt idx="1">
                  <c:v>0.87501810151377468</c:v>
                </c:pt>
                <c:pt idx="2">
                  <c:v>0.81860357092659708</c:v>
                </c:pt>
                <c:pt idx="3">
                  <c:v>0.76582622139414935</c:v>
                </c:pt>
                <c:pt idx="4">
                  <c:v>0.74064560863134909</c:v>
                </c:pt>
                <c:pt idx="5">
                  <c:v>0.71629294252458764</c:v>
                </c:pt>
                <c:pt idx="6">
                  <c:v>0.69289439723342783</c:v>
                </c:pt>
                <c:pt idx="7">
                  <c:v>0.67011180633377632</c:v>
                </c:pt>
                <c:pt idx="8">
                  <c:v>0.51318919255620399</c:v>
                </c:pt>
                <c:pt idx="9">
                  <c:v>0.26342146525444315</c:v>
                </c:pt>
                <c:pt idx="10">
                  <c:v>0.13518504905589981</c:v>
                </c:pt>
                <c:pt idx="11">
                  <c:v>6.9390868356797808E-2</c:v>
                </c:pt>
                <c:pt idx="12">
                  <c:v>3.56106437027989E-2</c:v>
                </c:pt>
                <c:pt idx="13">
                  <c:v>1.8279044217825845E-2</c:v>
                </c:pt>
                <c:pt idx="14">
                  <c:v>9.3806079428451917E-3</c:v>
                </c:pt>
              </c:numCache>
            </c:numRef>
          </c:val>
          <c:smooth val="0"/>
          <c:extLst>
            <c:ext xmlns:c16="http://schemas.microsoft.com/office/drawing/2014/chart" uri="{C3380CC4-5D6E-409C-BE32-E72D297353CC}">
              <c16:uniqueId val="{00000000-9914-48DF-8E50-1C0767CB704F}"/>
            </c:ext>
          </c:extLst>
        </c:ser>
        <c:ser>
          <c:idx val="1"/>
          <c:order val="1"/>
          <c:tx>
            <c:v>No-collision rate (w/o SSR)</c:v>
          </c:tx>
          <c:spPr>
            <a:ln w="28575" cap="rnd">
              <a:solidFill>
                <a:schemeClr val="accent2"/>
              </a:solidFill>
              <a:round/>
            </a:ln>
            <a:effectLst/>
          </c:spPr>
          <c:marker>
            <c:symbol val="none"/>
          </c:marker>
          <c:val>
            <c:numRef>
              <c:f>'ADS-B'!$I$22:$I$36</c:f>
              <c:numCache>
                <c:formatCode>0.00%</c:formatCode>
                <c:ptCount val="15"/>
                <c:pt idx="0">
                  <c:v>0.93531786958379171</c:v>
                </c:pt>
                <c:pt idx="1">
                  <c:v>0.87501324114664369</c:v>
                </c:pt>
                <c:pt idx="2">
                  <c:v>0.81859675419508582</c:v>
                </c:pt>
                <c:pt idx="3">
                  <c:v>0.76581772077027044</c:v>
                </c:pt>
                <c:pt idx="4">
                  <c:v>0.7406363573186362</c:v>
                </c:pt>
                <c:pt idx="5">
                  <c:v>0.71628299908036441</c:v>
                </c:pt>
                <c:pt idx="6">
                  <c:v>0.6928838212155698</c:v>
                </c:pt>
                <c:pt idx="7">
                  <c:v>0.67010064597872976</c:v>
                </c:pt>
                <c:pt idx="8">
                  <c:v>0.51317494939011676</c:v>
                </c:pt>
                <c:pt idx="9">
                  <c:v>0.26340684576881601</c:v>
                </c:pt>
                <c:pt idx="10">
                  <c:v>0.13517379474642244</c:v>
                </c:pt>
                <c:pt idx="11">
                  <c:v>6.9383166397876825E-2</c:v>
                </c:pt>
                <c:pt idx="12">
                  <c:v>3.5605702904756474E-2</c:v>
                </c:pt>
                <c:pt idx="13">
                  <c:v>1.8276001010317639E-2</c:v>
                </c:pt>
                <c:pt idx="14">
                  <c:v>9.3787858935234728E-3</c:v>
                </c:pt>
              </c:numCache>
            </c:numRef>
          </c:val>
          <c:smooth val="0"/>
          <c:extLst>
            <c:ext xmlns:c16="http://schemas.microsoft.com/office/drawing/2014/chart" uri="{C3380CC4-5D6E-409C-BE32-E72D297353CC}">
              <c16:uniqueId val="{00000001-3225-45AA-9B5D-7DA6177A415E}"/>
            </c:ext>
          </c:extLst>
        </c:ser>
        <c:dLbls>
          <c:showLegendKey val="0"/>
          <c:showVal val="0"/>
          <c:showCatName val="0"/>
          <c:showSerName val="0"/>
          <c:showPercent val="0"/>
          <c:showBubbleSize val="0"/>
        </c:dLbls>
        <c:smooth val="0"/>
        <c:axId val="1306075744"/>
        <c:axId val="1232409856"/>
      </c:lineChart>
      <c:catAx>
        <c:axId val="1306075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baseline="0"/>
                  <a:t>ADS-B aircrafts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32409856"/>
        <c:crosses val="autoZero"/>
        <c:auto val="1"/>
        <c:lblAlgn val="ctr"/>
        <c:lblOffset val="100"/>
        <c:noMultiLvlLbl val="0"/>
      </c:catAx>
      <c:valAx>
        <c:axId val="123240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No-collision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06075744"/>
        <c:crosses val="autoZero"/>
        <c:crossBetween val="between"/>
      </c:valAx>
      <c:spPr>
        <a:noFill/>
        <a:ln>
          <a:noFill/>
        </a:ln>
        <a:effectLst/>
      </c:spPr>
    </c:plotArea>
    <c:legend>
      <c:legendPos val="r"/>
      <c:layout>
        <c:manualLayout>
          <c:xMode val="edge"/>
          <c:yMode val="edge"/>
          <c:x val="0.68623071052288676"/>
          <c:y val="3.7529861111111111E-2"/>
          <c:w val="0.27972673628562389"/>
          <c:h val="0.12678055555555554"/>
        </c:manualLayout>
      </c:layout>
      <c:overlay val="1"/>
      <c:spPr>
        <a:solidFill>
          <a:schemeClr val="bg1"/>
        </a:solidFill>
        <a:ln>
          <a:solidFill>
            <a:schemeClr val="accent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Collision rate (with SSR)</c:v>
          </c:tx>
          <c:spPr>
            <a:ln w="28575" cap="rnd">
              <a:solidFill>
                <a:schemeClr val="accent1"/>
              </a:solidFill>
              <a:round/>
            </a:ln>
            <a:effectLst/>
          </c:spPr>
          <c:marker>
            <c:symbol val="none"/>
          </c:marker>
          <c:cat>
            <c:numRef>
              <c:f>Simulator!$K$25:$K$39</c:f>
              <c:numCache>
                <c:formatCode>General</c:formatCode>
                <c:ptCount val="15"/>
                <c:pt idx="0">
                  <c:v>50</c:v>
                </c:pt>
                <c:pt idx="1">
                  <c:v>100</c:v>
                </c:pt>
                <c:pt idx="2">
                  <c:v>150</c:v>
                </c:pt>
                <c:pt idx="3">
                  <c:v>200</c:v>
                </c:pt>
                <c:pt idx="4">
                  <c:v>225</c:v>
                </c:pt>
                <c:pt idx="5">
                  <c:v>250</c:v>
                </c:pt>
                <c:pt idx="6">
                  <c:v>275</c:v>
                </c:pt>
                <c:pt idx="7">
                  <c:v>300</c:v>
                </c:pt>
                <c:pt idx="8">
                  <c:v>500</c:v>
                </c:pt>
                <c:pt idx="9">
                  <c:v>1000</c:v>
                </c:pt>
                <c:pt idx="10">
                  <c:v>1500</c:v>
                </c:pt>
                <c:pt idx="11">
                  <c:v>2000</c:v>
                </c:pt>
                <c:pt idx="12">
                  <c:v>2500</c:v>
                </c:pt>
                <c:pt idx="13">
                  <c:v>3000</c:v>
                </c:pt>
                <c:pt idx="14">
                  <c:v>3500</c:v>
                </c:pt>
              </c:numCache>
            </c:numRef>
          </c:cat>
          <c:val>
            <c:numRef>
              <c:f>Simulator!$R$25:$R$39</c:f>
              <c:numCache>
                <c:formatCode>0.00%</c:formatCode>
                <c:ptCount val="15"/>
                <c:pt idx="0">
                  <c:v>6.4679528443657652E-2</c:v>
                </c:pt>
                <c:pt idx="1">
                  <c:v>0.12498189848622532</c:v>
                </c:pt>
                <c:pt idx="2">
                  <c:v>0.18139642907340292</c:v>
                </c:pt>
                <c:pt idx="3">
                  <c:v>0.23417377860585065</c:v>
                </c:pt>
                <c:pt idx="4">
                  <c:v>0.25935439136865091</c:v>
                </c:pt>
                <c:pt idx="5">
                  <c:v>0.28370705747541236</c:v>
                </c:pt>
                <c:pt idx="6">
                  <c:v>0.30710560276657217</c:v>
                </c:pt>
                <c:pt idx="7">
                  <c:v>0.32988819366622368</c:v>
                </c:pt>
                <c:pt idx="8">
                  <c:v>0.48681080744379601</c:v>
                </c:pt>
                <c:pt idx="9">
                  <c:v>0.7365785347455569</c:v>
                </c:pt>
                <c:pt idx="10">
                  <c:v>0.86481495094410021</c:v>
                </c:pt>
                <c:pt idx="11">
                  <c:v>0.93060913164320214</c:v>
                </c:pt>
                <c:pt idx="12">
                  <c:v>0.96438935629720113</c:v>
                </c:pt>
                <c:pt idx="13">
                  <c:v>0.98172095578217411</c:v>
                </c:pt>
                <c:pt idx="14">
                  <c:v>0.99061939205715477</c:v>
                </c:pt>
              </c:numCache>
            </c:numRef>
          </c:val>
          <c:smooth val="0"/>
          <c:extLst>
            <c:ext xmlns:c16="http://schemas.microsoft.com/office/drawing/2014/chart" uri="{C3380CC4-5D6E-409C-BE32-E72D297353CC}">
              <c16:uniqueId val="{00000000-77C8-481C-BCE1-9E5BFE9F42C5}"/>
            </c:ext>
          </c:extLst>
        </c:ser>
        <c:ser>
          <c:idx val="1"/>
          <c:order val="1"/>
          <c:tx>
            <c:v>Collision rate (w/o SSR)</c:v>
          </c:tx>
          <c:spPr>
            <a:ln w="28575" cap="rnd">
              <a:solidFill>
                <a:schemeClr val="accent2"/>
              </a:solidFill>
              <a:round/>
            </a:ln>
            <a:effectLst/>
          </c:spPr>
          <c:marker>
            <c:symbol val="none"/>
          </c:marker>
          <c:val>
            <c:numRef>
              <c:f>'ADS-B'!$J$22:$J$36</c:f>
              <c:numCache>
                <c:formatCode>0.00%</c:formatCode>
                <c:ptCount val="15"/>
                <c:pt idx="0">
                  <c:v>6.4682130416208294E-2</c:v>
                </c:pt>
                <c:pt idx="1">
                  <c:v>0.12498675885335631</c:v>
                </c:pt>
                <c:pt idx="2">
                  <c:v>0.18140324580491418</c:v>
                </c:pt>
                <c:pt idx="3">
                  <c:v>0.23418227922972956</c:v>
                </c:pt>
                <c:pt idx="4">
                  <c:v>0.2593636426813638</c:v>
                </c:pt>
                <c:pt idx="5">
                  <c:v>0.28371700091963559</c:v>
                </c:pt>
                <c:pt idx="6">
                  <c:v>0.3071161787844302</c:v>
                </c:pt>
                <c:pt idx="7">
                  <c:v>0.32989935402127024</c:v>
                </c:pt>
                <c:pt idx="8">
                  <c:v>0.48682505060988324</c:v>
                </c:pt>
                <c:pt idx="9">
                  <c:v>0.73659315423118399</c:v>
                </c:pt>
                <c:pt idx="10">
                  <c:v>0.86482620525357756</c:v>
                </c:pt>
                <c:pt idx="11">
                  <c:v>0.93061683360212322</c:v>
                </c:pt>
                <c:pt idx="12">
                  <c:v>0.96439429709524349</c:v>
                </c:pt>
                <c:pt idx="13">
                  <c:v>0.98172399898968232</c:v>
                </c:pt>
                <c:pt idx="14">
                  <c:v>0.99062121410647652</c:v>
                </c:pt>
              </c:numCache>
            </c:numRef>
          </c:val>
          <c:smooth val="0"/>
          <c:extLst>
            <c:ext xmlns:c16="http://schemas.microsoft.com/office/drawing/2014/chart" uri="{C3380CC4-5D6E-409C-BE32-E72D297353CC}">
              <c16:uniqueId val="{00000001-13A4-411B-B281-FCBBEE7A7BE5}"/>
            </c:ext>
          </c:extLst>
        </c:ser>
        <c:dLbls>
          <c:showLegendKey val="0"/>
          <c:showVal val="0"/>
          <c:showCatName val="0"/>
          <c:showSerName val="0"/>
          <c:showPercent val="0"/>
          <c:showBubbleSize val="0"/>
        </c:dLbls>
        <c:smooth val="0"/>
        <c:axId val="1679361584"/>
        <c:axId val="1732565104"/>
      </c:lineChart>
      <c:catAx>
        <c:axId val="167936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ADS-B</a:t>
                </a:r>
                <a:r>
                  <a:rPr lang="es-ES" baseline="0"/>
                  <a:t> aircrafts</a:t>
                </a:r>
                <a:endParaRPr lang="es-E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32565104"/>
        <c:crosses val="autoZero"/>
        <c:auto val="1"/>
        <c:lblAlgn val="ctr"/>
        <c:lblOffset val="100"/>
        <c:noMultiLvlLbl val="0"/>
      </c:catAx>
      <c:valAx>
        <c:axId val="1732565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Collision</a:t>
                </a:r>
                <a:r>
                  <a:rPr lang="es-ES" baseline="0"/>
                  <a:t> rate</a:t>
                </a:r>
                <a:endParaRPr lang="es-E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79361584"/>
        <c:crosses val="autoZero"/>
        <c:crossBetween val="between"/>
      </c:valAx>
      <c:spPr>
        <a:noFill/>
        <a:ln>
          <a:noFill/>
        </a:ln>
        <a:effectLst/>
      </c:spPr>
    </c:plotArea>
    <c:legend>
      <c:legendPos val="r"/>
      <c:layout>
        <c:manualLayout>
          <c:xMode val="edge"/>
          <c:yMode val="edge"/>
          <c:x val="0.13231680071492405"/>
          <c:y val="1.1071527777777791E-2"/>
          <c:w val="0.22076630920464702"/>
          <c:h val="0.14882916666666668"/>
        </c:manualLayout>
      </c:layout>
      <c:overlay val="1"/>
      <c:spPr>
        <a:solidFill>
          <a:schemeClr val="bg1"/>
        </a:solidFill>
        <a:ln>
          <a:solidFill>
            <a:schemeClr val="accent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761999</xdr:colOff>
      <xdr:row>4</xdr:row>
      <xdr:rowOff>71437</xdr:rowOff>
    </xdr:from>
    <xdr:to>
      <xdr:col>1</xdr:col>
      <xdr:colOff>6715124</xdr:colOff>
      <xdr:row>19</xdr:row>
      <xdr:rowOff>93937</xdr:rowOff>
    </xdr:to>
    <xdr:graphicFrame macro="">
      <xdr:nvGraphicFramePr>
        <xdr:cNvPr id="3" name="Gráfico 2">
          <a:extLst>
            <a:ext uri="{FF2B5EF4-FFF2-40B4-BE49-F238E27FC236}">
              <a16:creationId xmlns:a16="http://schemas.microsoft.com/office/drawing/2014/main" id="{54C96FA3-3B41-481B-9E54-A7F0342507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23</xdr:row>
      <xdr:rowOff>71437</xdr:rowOff>
    </xdr:from>
    <xdr:to>
      <xdr:col>1</xdr:col>
      <xdr:colOff>6714000</xdr:colOff>
      <xdr:row>38</xdr:row>
      <xdr:rowOff>93937</xdr:rowOff>
    </xdr:to>
    <xdr:graphicFrame macro="">
      <xdr:nvGraphicFramePr>
        <xdr:cNvPr id="4" name="Gráfico 3">
          <a:extLst>
            <a:ext uri="{FF2B5EF4-FFF2-40B4-BE49-F238E27FC236}">
              <a16:creationId xmlns:a16="http://schemas.microsoft.com/office/drawing/2014/main" id="{73BF436D-A644-4D2E-B7F2-204A2B716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85725</xdr:rowOff>
    </xdr:from>
    <xdr:to>
      <xdr:col>2</xdr:col>
      <xdr:colOff>0</xdr:colOff>
      <xdr:row>19</xdr:row>
      <xdr:rowOff>108225</xdr:rowOff>
    </xdr:to>
    <xdr:graphicFrame macro="">
      <xdr:nvGraphicFramePr>
        <xdr:cNvPr id="3" name="Gráfico 2">
          <a:extLst>
            <a:ext uri="{FF2B5EF4-FFF2-40B4-BE49-F238E27FC236}">
              <a16:creationId xmlns:a16="http://schemas.microsoft.com/office/drawing/2014/main" id="{40A441B7-83CE-46AF-9707-3BF4345CCE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23</xdr:row>
      <xdr:rowOff>71437</xdr:rowOff>
    </xdr:from>
    <xdr:to>
      <xdr:col>1</xdr:col>
      <xdr:colOff>6714000</xdr:colOff>
      <xdr:row>38</xdr:row>
      <xdr:rowOff>93937</xdr:rowOff>
    </xdr:to>
    <xdr:graphicFrame macro="">
      <xdr:nvGraphicFramePr>
        <xdr:cNvPr id="4" name="Gráfico 3">
          <a:extLst>
            <a:ext uri="{FF2B5EF4-FFF2-40B4-BE49-F238E27FC236}">
              <a16:creationId xmlns:a16="http://schemas.microsoft.com/office/drawing/2014/main" id="{613C6E8B-1D8A-4123-B9BC-B565BFD404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8"/>
  <sheetViews>
    <sheetView topLeftCell="A5" zoomScaleNormal="100" workbookViewId="0">
      <selection activeCell="C8" sqref="C8"/>
    </sheetView>
  </sheetViews>
  <sheetFormatPr baseColWidth="10" defaultRowHeight="14.4" x14ac:dyDescent="0.3"/>
  <cols>
    <col min="1" max="1" width="3.6640625" customWidth="1"/>
    <col min="2" max="2" width="15.6640625" customWidth="1"/>
    <col min="3" max="3" width="60.6640625" customWidth="1"/>
  </cols>
  <sheetData>
    <row r="1" spans="2:3" ht="15" thickBot="1" x14ac:dyDescent="0.35"/>
    <row r="2" spans="2:3" ht="20.100000000000001" customHeight="1" thickBot="1" x14ac:dyDescent="0.35">
      <c r="B2" s="68" t="s">
        <v>3</v>
      </c>
      <c r="C2" s="70"/>
    </row>
    <row r="3" spans="2:3" x14ac:dyDescent="0.3">
      <c r="B3" s="3" t="s">
        <v>0</v>
      </c>
      <c r="C3" s="2" t="s">
        <v>2</v>
      </c>
    </row>
    <row r="4" spans="2:3" ht="187.2" x14ac:dyDescent="0.3">
      <c r="B4" s="4" t="s">
        <v>1</v>
      </c>
      <c r="C4" s="1" t="s">
        <v>32</v>
      </c>
    </row>
    <row r="5" spans="2:3" ht="15" thickBot="1" x14ac:dyDescent="0.35"/>
    <row r="6" spans="2:3" ht="20.100000000000001" customHeight="1" thickBot="1" x14ac:dyDescent="0.35">
      <c r="B6" s="68" t="s">
        <v>4</v>
      </c>
      <c r="C6" s="69"/>
    </row>
    <row r="7" spans="2:3" x14ac:dyDescent="0.3">
      <c r="B7" s="23" t="s">
        <v>5</v>
      </c>
      <c r="C7" s="14" t="s">
        <v>6</v>
      </c>
    </row>
    <row r="8" spans="2:3" x14ac:dyDescent="0.3">
      <c r="B8" s="24" t="s">
        <v>7</v>
      </c>
      <c r="C8" s="5" t="s">
        <v>8</v>
      </c>
    </row>
  </sheetData>
  <mergeCells count="2">
    <mergeCell ref="B6:C6"/>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P37"/>
  <sheetViews>
    <sheetView zoomScale="80" zoomScaleNormal="80" workbookViewId="0">
      <selection activeCell="C6" sqref="C6"/>
    </sheetView>
  </sheetViews>
  <sheetFormatPr baseColWidth="10" defaultRowHeight="14.4" x14ac:dyDescent="0.3"/>
  <cols>
    <col min="1" max="1" width="3.6640625" customWidth="1"/>
    <col min="2" max="2" width="52.88671875" bestFit="1" customWidth="1"/>
    <col min="5" max="5" width="3.6640625" customWidth="1"/>
    <col min="6" max="11" width="25.6640625" customWidth="1"/>
    <col min="12" max="12" width="3.6640625" customWidth="1"/>
    <col min="13" max="13" width="42.6640625" bestFit="1" customWidth="1"/>
    <col min="14" max="14" width="20.6640625" customWidth="1"/>
    <col min="15" max="15" width="22.6640625" bestFit="1" customWidth="1"/>
    <col min="16" max="16" width="16.6640625" bestFit="1" customWidth="1"/>
    <col min="17" max="17" width="18.44140625" bestFit="1" customWidth="1"/>
    <col min="18" max="18" width="16.6640625" bestFit="1" customWidth="1"/>
  </cols>
  <sheetData>
    <row r="1" spans="2:16" ht="15" thickBot="1" x14ac:dyDescent="0.35"/>
    <row r="2" spans="2:16" ht="15" thickBot="1" x14ac:dyDescent="0.35">
      <c r="B2" s="71" t="s">
        <v>57</v>
      </c>
      <c r="C2" s="72"/>
      <c r="D2" s="73"/>
      <c r="F2" s="71" t="s">
        <v>60</v>
      </c>
      <c r="G2" s="72"/>
      <c r="H2" s="72"/>
      <c r="I2" s="72"/>
      <c r="J2" s="72"/>
      <c r="K2" s="73"/>
      <c r="M2" s="74" t="s">
        <v>88</v>
      </c>
      <c r="N2" s="74"/>
      <c r="O2" s="74"/>
      <c r="P2" s="75"/>
    </row>
    <row r="3" spans="2:16" ht="15" thickBot="1" x14ac:dyDescent="0.35">
      <c r="B3" s="29" t="s">
        <v>10</v>
      </c>
      <c r="C3" s="7">
        <v>120</v>
      </c>
      <c r="D3" s="8" t="s">
        <v>12</v>
      </c>
      <c r="F3" s="26" t="s">
        <v>47</v>
      </c>
      <c r="G3" s="26" t="s">
        <v>45</v>
      </c>
      <c r="H3" s="26" t="s">
        <v>51</v>
      </c>
      <c r="I3" s="26" t="s">
        <v>92</v>
      </c>
      <c r="J3" s="26" t="s">
        <v>55</v>
      </c>
      <c r="K3" s="26" t="s">
        <v>93</v>
      </c>
      <c r="M3" s="26" t="s">
        <v>47</v>
      </c>
      <c r="N3" s="26" t="s">
        <v>78</v>
      </c>
      <c r="O3" s="26" t="s">
        <v>55</v>
      </c>
      <c r="P3" s="26" t="s">
        <v>79</v>
      </c>
    </row>
    <row r="4" spans="2:16" ht="15" thickBot="1" x14ac:dyDescent="0.35">
      <c r="B4" s="30" t="s">
        <v>58</v>
      </c>
      <c r="C4" s="10">
        <v>6.7</v>
      </c>
      <c r="D4" s="5" t="s">
        <v>13</v>
      </c>
      <c r="F4" s="8">
        <v>50</v>
      </c>
      <c r="G4" s="8">
        <f t="shared" ref="G4:G18" si="0">ROUNDUP(F4*$C$6,0)</f>
        <v>252</v>
      </c>
      <c r="H4" s="8">
        <f>G4*$C$3*(10^-6)</f>
        <v>3.024E-2</v>
      </c>
      <c r="I4" s="38">
        <f t="shared" ref="I4:I18" si="1">EXP(-2*H4)</f>
        <v>0.94131259508204601</v>
      </c>
      <c r="J4" s="38">
        <f>1-I4</f>
        <v>5.8687404917953989E-2</v>
      </c>
      <c r="K4" s="8">
        <f t="shared" ref="K4:K18" si="2">ROUNDDOWN(G4*I4, 0)</f>
        <v>237</v>
      </c>
      <c r="M4" s="62">
        <v>1500</v>
      </c>
      <c r="N4" s="61">
        <v>1</v>
      </c>
      <c r="O4" s="38">
        <f>VLOOKUP(M4,F4:J18,5,FALSE)</f>
        <v>0.83620178417143609</v>
      </c>
      <c r="P4" s="46">
        <f>O4*10^6</f>
        <v>836201.7841714361</v>
      </c>
    </row>
    <row r="5" spans="2:16" x14ac:dyDescent="0.3">
      <c r="B5" s="30" t="s">
        <v>72</v>
      </c>
      <c r="C5" s="31">
        <v>0.5</v>
      </c>
      <c r="D5" s="5"/>
      <c r="F5" s="5">
        <v>100</v>
      </c>
      <c r="G5" s="5">
        <f t="shared" si="0"/>
        <v>503</v>
      </c>
      <c r="H5" s="5">
        <f>G5*$C$3*(10^-6)</f>
        <v>6.0359999999999997E-2</v>
      </c>
      <c r="I5" s="37">
        <f t="shared" si="1"/>
        <v>0.88628208383733476</v>
      </c>
      <c r="J5" s="37">
        <f>1-I5</f>
        <v>0.11371791616266524</v>
      </c>
      <c r="K5" s="5">
        <f t="shared" si="2"/>
        <v>445</v>
      </c>
      <c r="N5" s="5">
        <v>2</v>
      </c>
      <c r="O5" s="37">
        <f t="shared" ref="O5:O18" si="3">$O$4^N5</f>
        <v>0.69923342385149301</v>
      </c>
      <c r="P5" s="47">
        <f>O5*10^6</f>
        <v>699233.42385149305</v>
      </c>
    </row>
    <row r="6" spans="2:16" x14ac:dyDescent="0.3">
      <c r="B6" s="30" t="s">
        <v>71</v>
      </c>
      <c r="C6" s="10">
        <f>((C4/2)*(1-C5))+(C4/2)</f>
        <v>5.0250000000000004</v>
      </c>
      <c r="D6" s="5" t="s">
        <v>13</v>
      </c>
      <c r="F6" s="5">
        <v>150</v>
      </c>
      <c r="G6" s="5">
        <f t="shared" si="0"/>
        <v>754</v>
      </c>
      <c r="H6" s="5">
        <f t="shared" ref="H6:H18" si="4">G6*$C$3*(10^-6)</f>
        <v>9.0479999999999991E-2</v>
      </c>
      <c r="I6" s="37">
        <f t="shared" si="1"/>
        <v>0.83446873677769462</v>
      </c>
      <c r="J6" s="37">
        <f t="shared" ref="J6:J18" si="5">1-I6</f>
        <v>0.16553126322230538</v>
      </c>
      <c r="K6" s="5">
        <f t="shared" si="2"/>
        <v>629</v>
      </c>
      <c r="N6" s="5">
        <v>3</v>
      </c>
      <c r="O6" s="37">
        <f t="shared" si="3"/>
        <v>0.5847002365769205</v>
      </c>
      <c r="P6" s="47">
        <f t="shared" ref="P6:P18" si="6">O6*10^6</f>
        <v>584700.23657692049</v>
      </c>
    </row>
    <row r="7" spans="2:16" x14ac:dyDescent="0.3">
      <c r="F7" s="5">
        <v>200</v>
      </c>
      <c r="G7" s="5">
        <f t="shared" si="0"/>
        <v>1005</v>
      </c>
      <c r="H7" s="5">
        <f t="shared" si="4"/>
        <v>0.1206</v>
      </c>
      <c r="I7" s="37">
        <f t="shared" si="1"/>
        <v>0.78568447377885264</v>
      </c>
      <c r="J7" s="37">
        <f t="shared" si="5"/>
        <v>0.21431552622114736</v>
      </c>
      <c r="K7" s="5">
        <f t="shared" si="2"/>
        <v>789</v>
      </c>
      <c r="N7" s="5">
        <v>4</v>
      </c>
      <c r="O7" s="37">
        <f t="shared" si="3"/>
        <v>0.48892738103108169</v>
      </c>
      <c r="P7" s="47">
        <f t="shared" si="6"/>
        <v>488927.38103108166</v>
      </c>
    </row>
    <row r="8" spans="2:16" x14ac:dyDescent="0.3">
      <c r="F8" s="5">
        <v>225</v>
      </c>
      <c r="G8" s="5">
        <f t="shared" si="0"/>
        <v>1131</v>
      </c>
      <c r="H8" s="5">
        <f t="shared" si="4"/>
        <v>0.13572000000000001</v>
      </c>
      <c r="I8" s="37">
        <f t="shared" si="1"/>
        <v>0.7622810189570981</v>
      </c>
      <c r="J8" s="37">
        <f t="shared" si="5"/>
        <v>0.2377189810429019</v>
      </c>
      <c r="K8" s="5">
        <f t="shared" si="2"/>
        <v>862</v>
      </c>
      <c r="N8" s="5">
        <v>5</v>
      </c>
      <c r="O8" s="37">
        <f t="shared" si="3"/>
        <v>0.40884194834845805</v>
      </c>
      <c r="P8" s="47">
        <f t="shared" si="6"/>
        <v>408841.94834845804</v>
      </c>
    </row>
    <row r="9" spans="2:16" x14ac:dyDescent="0.3">
      <c r="F9" s="5">
        <v>250</v>
      </c>
      <c r="G9" s="5">
        <f t="shared" si="0"/>
        <v>1257</v>
      </c>
      <c r="H9" s="5">
        <f t="shared" si="4"/>
        <v>0.15084</v>
      </c>
      <c r="I9" s="37">
        <f t="shared" si="1"/>
        <v>0.73957469092844352</v>
      </c>
      <c r="J9" s="37">
        <f t="shared" si="5"/>
        <v>0.26042530907155648</v>
      </c>
      <c r="K9" s="5">
        <f t="shared" si="2"/>
        <v>929</v>
      </c>
      <c r="N9" s="5">
        <v>6</v>
      </c>
      <c r="O9" s="37">
        <f t="shared" si="3"/>
        <v>0.34187436665310678</v>
      </c>
      <c r="P9" s="47">
        <f t="shared" si="6"/>
        <v>341874.36665310676</v>
      </c>
    </row>
    <row r="10" spans="2:16" x14ac:dyDescent="0.3">
      <c r="F10" s="5">
        <v>275</v>
      </c>
      <c r="G10" s="5">
        <f t="shared" si="0"/>
        <v>1382</v>
      </c>
      <c r="H10" s="5">
        <f t="shared" si="4"/>
        <v>0.16583999999999999</v>
      </c>
      <c r="I10" s="37">
        <f t="shared" si="1"/>
        <v>0.71771695553702641</v>
      </c>
      <c r="J10" s="37">
        <f t="shared" si="5"/>
        <v>0.28228304446297359</v>
      </c>
      <c r="K10" s="5">
        <f t="shared" si="2"/>
        <v>991</v>
      </c>
      <c r="N10" s="5">
        <v>7</v>
      </c>
      <c r="O10" s="55">
        <f t="shared" si="3"/>
        <v>0.28587595535780763</v>
      </c>
      <c r="P10" s="47">
        <f t="shared" si="6"/>
        <v>285875.95535780763</v>
      </c>
    </row>
    <row r="11" spans="2:16" x14ac:dyDescent="0.3">
      <c r="F11" s="5">
        <v>300</v>
      </c>
      <c r="G11" s="5">
        <f t="shared" si="0"/>
        <v>1508</v>
      </c>
      <c r="H11" s="5">
        <f t="shared" si="4"/>
        <v>0.18095999999999998</v>
      </c>
      <c r="I11" s="37">
        <f t="shared" si="1"/>
        <v>0.69633807265936132</v>
      </c>
      <c r="J11" s="37">
        <f t="shared" si="5"/>
        <v>0.30366192734063868</v>
      </c>
      <c r="K11" s="5">
        <f t="shared" si="2"/>
        <v>1050</v>
      </c>
      <c r="N11" s="5">
        <v>8</v>
      </c>
      <c r="O11" s="55">
        <f t="shared" si="3"/>
        <v>0.23904998392191254</v>
      </c>
      <c r="P11" s="47">
        <f t="shared" si="6"/>
        <v>239049.98392191253</v>
      </c>
    </row>
    <row r="12" spans="2:16" x14ac:dyDescent="0.3">
      <c r="F12" s="39">
        <v>500</v>
      </c>
      <c r="G12" s="39">
        <f t="shared" si="0"/>
        <v>2513</v>
      </c>
      <c r="H12" s="39">
        <f t="shared" si="4"/>
        <v>0.30155999999999999</v>
      </c>
      <c r="I12" s="40">
        <f t="shared" si="1"/>
        <v>0.54710201218955079</v>
      </c>
      <c r="J12" s="40">
        <f t="shared" si="5"/>
        <v>0.45289798781044921</v>
      </c>
      <c r="K12" s="39">
        <f t="shared" si="2"/>
        <v>1374</v>
      </c>
      <c r="N12" s="5">
        <v>9</v>
      </c>
      <c r="O12" s="56">
        <f t="shared" si="3"/>
        <v>0.19989402306165638</v>
      </c>
      <c r="P12" s="47">
        <f t="shared" si="6"/>
        <v>199894.02306165636</v>
      </c>
    </row>
    <row r="13" spans="2:16" x14ac:dyDescent="0.3">
      <c r="F13" s="5">
        <v>1000</v>
      </c>
      <c r="G13" s="5">
        <f t="shared" si="0"/>
        <v>5025</v>
      </c>
      <c r="H13" s="5">
        <f t="shared" si="4"/>
        <v>0.60299999999999998</v>
      </c>
      <c r="I13" s="37">
        <f t="shared" si="1"/>
        <v>0.29939245730979669</v>
      </c>
      <c r="J13" s="37">
        <f t="shared" si="5"/>
        <v>0.70060754269020331</v>
      </c>
      <c r="K13" s="5">
        <f t="shared" si="2"/>
        <v>1504</v>
      </c>
      <c r="N13" s="5">
        <v>10</v>
      </c>
      <c r="O13" s="56">
        <f t="shared" si="3"/>
        <v>0.16715173872936326</v>
      </c>
      <c r="P13" s="47">
        <f t="shared" si="6"/>
        <v>167151.73872936325</v>
      </c>
    </row>
    <row r="14" spans="2:16" x14ac:dyDescent="0.3">
      <c r="F14" s="5">
        <v>1500</v>
      </c>
      <c r="G14" s="5">
        <f t="shared" si="0"/>
        <v>7538</v>
      </c>
      <c r="H14" s="5">
        <f t="shared" si="4"/>
        <v>0.90455999999999992</v>
      </c>
      <c r="I14" s="37">
        <f t="shared" si="1"/>
        <v>0.16379821582856394</v>
      </c>
      <c r="J14" s="37">
        <f t="shared" si="5"/>
        <v>0.83620178417143609</v>
      </c>
      <c r="K14" s="5">
        <f t="shared" si="2"/>
        <v>1234</v>
      </c>
      <c r="N14" s="5">
        <v>11</v>
      </c>
      <c r="O14" s="57">
        <f t="shared" si="3"/>
        <v>0.13977258215285129</v>
      </c>
      <c r="P14" s="47">
        <f t="shared" si="6"/>
        <v>139772.5821528513</v>
      </c>
    </row>
    <row r="15" spans="2:16" x14ac:dyDescent="0.3">
      <c r="F15" s="5">
        <v>2000</v>
      </c>
      <c r="G15" s="5">
        <f t="shared" si="0"/>
        <v>10050</v>
      </c>
      <c r="H15" s="5">
        <f t="shared" si="4"/>
        <v>1.206</v>
      </c>
      <c r="I15" s="37">
        <f t="shared" si="1"/>
        <v>8.9635843493998418E-2</v>
      </c>
      <c r="J15" s="37">
        <f t="shared" si="5"/>
        <v>0.91036415650600155</v>
      </c>
      <c r="K15" s="5">
        <f t="shared" si="2"/>
        <v>900</v>
      </c>
      <c r="N15" s="5">
        <v>12</v>
      </c>
      <c r="O15" s="58">
        <f t="shared" si="3"/>
        <v>0.11687808257446289</v>
      </c>
      <c r="P15" s="47">
        <f t="shared" si="6"/>
        <v>116878.08257446288</v>
      </c>
    </row>
    <row r="16" spans="2:16" x14ac:dyDescent="0.3">
      <c r="F16" s="5">
        <v>2500</v>
      </c>
      <c r="G16" s="5">
        <f t="shared" si="0"/>
        <v>12563</v>
      </c>
      <c r="H16" s="5">
        <f t="shared" si="4"/>
        <v>1.50756</v>
      </c>
      <c r="I16" s="37">
        <f t="shared" si="1"/>
        <v>4.9039950339874183E-2</v>
      </c>
      <c r="J16" s="37">
        <f t="shared" si="5"/>
        <v>0.95096004966012582</v>
      </c>
      <c r="K16" s="5">
        <f t="shared" si="2"/>
        <v>616</v>
      </c>
      <c r="N16" s="5">
        <v>13</v>
      </c>
      <c r="O16" s="58">
        <f t="shared" si="3"/>
        <v>9.7733661179302295E-2</v>
      </c>
      <c r="P16" s="47">
        <f t="shared" si="6"/>
        <v>97733.661179302289</v>
      </c>
    </row>
    <row r="17" spans="2:16" x14ac:dyDescent="0.3">
      <c r="F17" s="5">
        <v>3000</v>
      </c>
      <c r="G17" s="5">
        <f t="shared" si="0"/>
        <v>15075</v>
      </c>
      <c r="H17" s="5">
        <f t="shared" si="4"/>
        <v>1.8089999999999999</v>
      </c>
      <c r="I17" s="37">
        <f t="shared" si="1"/>
        <v>2.6836295446704541E-2</v>
      </c>
      <c r="J17" s="37">
        <f t="shared" si="5"/>
        <v>0.97316370455329548</v>
      </c>
      <c r="K17" s="5">
        <f t="shared" si="2"/>
        <v>404</v>
      </c>
      <c r="N17" s="5">
        <v>14</v>
      </c>
      <c r="O17" s="59">
        <f t="shared" si="3"/>
        <v>8.1725061851739209E-2</v>
      </c>
      <c r="P17" s="47">
        <f t="shared" si="6"/>
        <v>81725.061851739214</v>
      </c>
    </row>
    <row r="18" spans="2:16" x14ac:dyDescent="0.3">
      <c r="F18" s="5">
        <v>3500</v>
      </c>
      <c r="G18" s="5">
        <f t="shared" si="0"/>
        <v>17588</v>
      </c>
      <c r="H18" s="5">
        <f t="shared" si="4"/>
        <v>2.11056</v>
      </c>
      <c r="I18" s="37">
        <f t="shared" si="1"/>
        <v>1.4682191238605331E-2</v>
      </c>
      <c r="J18" s="37">
        <f t="shared" si="5"/>
        <v>0.98531780876139463</v>
      </c>
      <c r="K18" s="5">
        <f t="shared" si="2"/>
        <v>258</v>
      </c>
      <c r="N18" s="5">
        <v>15</v>
      </c>
      <c r="O18" s="60">
        <f t="shared" si="3"/>
        <v>6.8338642531945298E-2</v>
      </c>
      <c r="P18" s="47">
        <f t="shared" si="6"/>
        <v>68338.642531945297</v>
      </c>
    </row>
    <row r="19" spans="2:16" ht="15" thickBot="1" x14ac:dyDescent="0.35">
      <c r="F19" s="43"/>
      <c r="G19" s="43"/>
      <c r="H19" s="43"/>
      <c r="I19" s="44"/>
      <c r="J19" s="44"/>
      <c r="K19" s="43"/>
      <c r="M19" s="43"/>
      <c r="N19" s="45"/>
      <c r="O19" s="43"/>
    </row>
    <row r="20" spans="2:16" ht="15" thickBot="1" x14ac:dyDescent="0.35">
      <c r="B20" s="71" t="s">
        <v>74</v>
      </c>
      <c r="C20" s="72"/>
      <c r="D20" s="73"/>
      <c r="F20" s="71" t="s">
        <v>75</v>
      </c>
      <c r="G20" s="72"/>
      <c r="H20" s="72"/>
      <c r="I20" s="72"/>
      <c r="J20" s="72"/>
      <c r="K20" s="73"/>
      <c r="M20" s="74" t="s">
        <v>88</v>
      </c>
      <c r="N20" s="74"/>
      <c r="O20" s="74"/>
      <c r="P20" s="75"/>
    </row>
    <row r="21" spans="2:16" ht="15" thickBot="1" x14ac:dyDescent="0.35">
      <c r="B21" s="29" t="s">
        <v>10</v>
      </c>
      <c r="C21" s="7">
        <v>64</v>
      </c>
      <c r="D21" s="8" t="s">
        <v>12</v>
      </c>
      <c r="F21" s="26" t="s">
        <v>47</v>
      </c>
      <c r="G21" s="26" t="s">
        <v>45</v>
      </c>
      <c r="H21" s="26" t="s">
        <v>51</v>
      </c>
      <c r="I21" s="26" t="s">
        <v>92</v>
      </c>
      <c r="J21" s="26" t="s">
        <v>55</v>
      </c>
      <c r="K21" s="26" t="s">
        <v>93</v>
      </c>
      <c r="M21" s="26" t="s">
        <v>47</v>
      </c>
      <c r="N21" s="26" t="s">
        <v>78</v>
      </c>
      <c r="O21" s="26" t="s">
        <v>55</v>
      </c>
      <c r="P21" s="26" t="s">
        <v>79</v>
      </c>
    </row>
    <row r="22" spans="2:16" ht="15" thickBot="1" x14ac:dyDescent="0.35">
      <c r="B22" s="30" t="s">
        <v>58</v>
      </c>
      <c r="C22" s="10">
        <v>1</v>
      </c>
      <c r="D22" s="5" t="s">
        <v>13</v>
      </c>
      <c r="F22" s="8">
        <v>50</v>
      </c>
      <c r="G22" s="8">
        <f t="shared" ref="G22:G28" si="7">ROUNDUP(F22*($C$6+$C$22),0)</f>
        <v>302</v>
      </c>
      <c r="H22" s="8">
        <f>G22*$C$25*(10^-6)</f>
        <v>3.3434419999999999E-2</v>
      </c>
      <c r="I22" s="38">
        <f t="shared" ref="I22:I28" si="8">EXP(-2*H22)</f>
        <v>0.93531786958379171</v>
      </c>
      <c r="J22" s="38">
        <f>1-I22</f>
        <v>6.4682130416208294E-2</v>
      </c>
      <c r="K22" s="8">
        <f t="shared" ref="K22:K28" si="9">ROUNDDOWN(G22*I22, 0)</f>
        <v>282</v>
      </c>
      <c r="M22" s="62">
        <v>300</v>
      </c>
      <c r="N22" s="61">
        <v>1</v>
      </c>
      <c r="O22" s="38">
        <f>VLOOKUP(M22,F22:J36,5,FALSE)</f>
        <v>0.32989935402127024</v>
      </c>
      <c r="P22" s="46">
        <f>O22*10^6</f>
        <v>329899.35402127024</v>
      </c>
    </row>
    <row r="23" spans="2:16" ht="15" thickBot="1" x14ac:dyDescent="0.35">
      <c r="F23" s="5">
        <v>100</v>
      </c>
      <c r="G23" s="5">
        <f t="shared" si="7"/>
        <v>603</v>
      </c>
      <c r="H23" s="5">
        <f>G23*$C$25*(10^-6)</f>
        <v>6.6758129999999985E-2</v>
      </c>
      <c r="I23" s="37">
        <f t="shared" si="8"/>
        <v>0.87501324114664369</v>
      </c>
      <c r="J23" s="37">
        <f>1-I23</f>
        <v>0.12498675885335631</v>
      </c>
      <c r="K23" s="5">
        <f t="shared" si="9"/>
        <v>527</v>
      </c>
      <c r="N23" s="5">
        <v>2</v>
      </c>
      <c r="O23" s="37">
        <f>$O$22^N23</f>
        <v>0.10883358378365139</v>
      </c>
      <c r="P23" s="47">
        <f>O23*10^6</f>
        <v>108833.5837836514</v>
      </c>
    </row>
    <row r="24" spans="2:16" ht="15" thickBot="1" x14ac:dyDescent="0.35">
      <c r="B24" s="71" t="s">
        <v>46</v>
      </c>
      <c r="C24" s="72"/>
      <c r="D24" s="73"/>
      <c r="F24" s="5">
        <v>150</v>
      </c>
      <c r="G24" s="5">
        <f t="shared" si="7"/>
        <v>904</v>
      </c>
      <c r="H24" s="5">
        <f t="shared" ref="H24:H28" si="10">G24*$C$25*(10^-6)</f>
        <v>0.10008183999999999</v>
      </c>
      <c r="I24" s="37">
        <f t="shared" si="8"/>
        <v>0.81859675419508582</v>
      </c>
      <c r="J24" s="37">
        <f t="shared" ref="J24:J28" si="11">1-I24</f>
        <v>0.18140324580491418</v>
      </c>
      <c r="K24" s="5">
        <f t="shared" si="9"/>
        <v>740</v>
      </c>
      <c r="N24" s="5">
        <v>3</v>
      </c>
      <c r="O24" s="37">
        <f t="shared" ref="O24:O36" si="12">$O$22^N24</f>
        <v>3.5904128986046384E-2</v>
      </c>
      <c r="P24" s="47">
        <f t="shared" ref="P24:P36" si="13">O24*10^6</f>
        <v>35904.12898604638</v>
      </c>
    </row>
    <row r="25" spans="2:16" x14ac:dyDescent="0.3">
      <c r="B25" s="29" t="s">
        <v>77</v>
      </c>
      <c r="C25" s="7">
        <f>ROUND((C3*C6 + C21*C22) / (C6+C22), 2)</f>
        <v>110.71</v>
      </c>
      <c r="D25" s="8" t="s">
        <v>12</v>
      </c>
      <c r="F25" s="5">
        <v>200</v>
      </c>
      <c r="G25" s="5">
        <f t="shared" si="7"/>
        <v>1205</v>
      </c>
      <c r="H25" s="5">
        <f t="shared" si="10"/>
        <v>0.13340554999999998</v>
      </c>
      <c r="I25" s="37">
        <f t="shared" si="8"/>
        <v>0.76581772077027044</v>
      </c>
      <c r="J25" s="37">
        <f t="shared" si="11"/>
        <v>0.23418227922972956</v>
      </c>
      <c r="K25" s="5">
        <f t="shared" si="9"/>
        <v>922</v>
      </c>
      <c r="N25" s="5">
        <v>4</v>
      </c>
      <c r="O25" s="37">
        <f t="shared" si="12"/>
        <v>1.1844748959193067E-2</v>
      </c>
      <c r="P25" s="47">
        <f t="shared" si="13"/>
        <v>11844.748959193068</v>
      </c>
    </row>
    <row r="26" spans="2:16" x14ac:dyDescent="0.3">
      <c r="F26" s="5">
        <v>225</v>
      </c>
      <c r="G26" s="5">
        <f t="shared" si="7"/>
        <v>1356</v>
      </c>
      <c r="H26" s="5">
        <f t="shared" si="10"/>
        <v>0.15012275999999997</v>
      </c>
      <c r="I26" s="37">
        <f t="shared" si="8"/>
        <v>0.7406363573186362</v>
      </c>
      <c r="J26" s="37">
        <f t="shared" si="11"/>
        <v>0.2593636426813638</v>
      </c>
      <c r="K26" s="5">
        <f t="shared" si="9"/>
        <v>1004</v>
      </c>
      <c r="N26" s="5">
        <v>5</v>
      </c>
      <c r="O26" s="37">
        <f t="shared" si="12"/>
        <v>3.9075750301819064E-3</v>
      </c>
      <c r="P26" s="47">
        <f t="shared" si="13"/>
        <v>3907.5750301819062</v>
      </c>
    </row>
    <row r="27" spans="2:16" x14ac:dyDescent="0.3">
      <c r="F27" s="5">
        <v>250</v>
      </c>
      <c r="G27" s="5">
        <f t="shared" si="7"/>
        <v>1507</v>
      </c>
      <c r="H27" s="5">
        <f t="shared" si="10"/>
        <v>0.16683997</v>
      </c>
      <c r="I27" s="37">
        <f t="shared" si="8"/>
        <v>0.71628299908036441</v>
      </c>
      <c r="J27" s="37">
        <f t="shared" si="11"/>
        <v>0.28371700091963559</v>
      </c>
      <c r="K27" s="5">
        <f t="shared" si="9"/>
        <v>1079</v>
      </c>
      <c r="N27" s="5">
        <v>6</v>
      </c>
      <c r="O27" s="37">
        <f t="shared" si="12"/>
        <v>1.2891064782466564E-3</v>
      </c>
      <c r="P27" s="47">
        <f t="shared" si="13"/>
        <v>1289.1064782466565</v>
      </c>
    </row>
    <row r="28" spans="2:16" x14ac:dyDescent="0.3">
      <c r="F28" s="63">
        <v>275</v>
      </c>
      <c r="G28" s="63">
        <f t="shared" si="7"/>
        <v>1657</v>
      </c>
      <c r="H28" s="63">
        <f t="shared" si="10"/>
        <v>0.18344647</v>
      </c>
      <c r="I28" s="64">
        <f t="shared" si="8"/>
        <v>0.6928838212155698</v>
      </c>
      <c r="J28" s="64">
        <f t="shared" si="11"/>
        <v>0.3071161787844302</v>
      </c>
      <c r="K28" s="63">
        <f t="shared" si="9"/>
        <v>1148</v>
      </c>
      <c r="N28" s="5">
        <v>7</v>
      </c>
      <c r="O28" s="55">
        <f t="shared" si="12"/>
        <v>4.2527539443820657E-4</v>
      </c>
      <c r="P28" s="47">
        <f t="shared" si="13"/>
        <v>425.27539443820655</v>
      </c>
    </row>
    <row r="29" spans="2:16" x14ac:dyDescent="0.3">
      <c r="F29" s="5">
        <v>300</v>
      </c>
      <c r="G29" s="5">
        <f t="shared" ref="G29:G36" si="14">ROUNDUP(F29*($C$6+$C$22),0)</f>
        <v>1808</v>
      </c>
      <c r="H29" s="5">
        <f t="shared" ref="H29:H36" si="15">G29*$C$25*(10^-6)</f>
        <v>0.20016367999999998</v>
      </c>
      <c r="I29" s="37">
        <f t="shared" ref="I29:I36" si="16">EXP(-2*H29)</f>
        <v>0.67010064597872976</v>
      </c>
      <c r="J29" s="37">
        <f t="shared" ref="J29:J36" si="17">1-I29</f>
        <v>0.32989935402127024</v>
      </c>
      <c r="K29" s="5">
        <f t="shared" ref="K29:K36" si="18">ROUNDDOWN(G29*I29, 0)</f>
        <v>1211</v>
      </c>
      <c r="N29" s="5">
        <v>8</v>
      </c>
      <c r="O29" s="55">
        <f t="shared" si="12"/>
        <v>1.4029807790630526E-4</v>
      </c>
      <c r="P29" s="47">
        <f t="shared" si="13"/>
        <v>140.29807790630525</v>
      </c>
    </row>
    <row r="30" spans="2:16" x14ac:dyDescent="0.3">
      <c r="F30" s="42">
        <v>500</v>
      </c>
      <c r="G30" s="42">
        <f t="shared" si="14"/>
        <v>3013</v>
      </c>
      <c r="H30" s="42">
        <f t="shared" si="15"/>
        <v>0.33356922999999994</v>
      </c>
      <c r="I30" s="41">
        <f t="shared" si="16"/>
        <v>0.51317494939011676</v>
      </c>
      <c r="J30" s="41">
        <f t="shared" si="17"/>
        <v>0.48682505060988324</v>
      </c>
      <c r="K30" s="42">
        <f t="shared" si="18"/>
        <v>1546</v>
      </c>
      <c r="N30" s="5">
        <v>9</v>
      </c>
      <c r="O30" s="56">
        <f t="shared" si="12"/>
        <v>4.6284245271715948E-5</v>
      </c>
      <c r="P30" s="47">
        <f t="shared" si="13"/>
        <v>46.284245271715946</v>
      </c>
    </row>
    <row r="31" spans="2:16" x14ac:dyDescent="0.3">
      <c r="F31" s="5">
        <v>1000</v>
      </c>
      <c r="G31" s="5">
        <f t="shared" si="14"/>
        <v>6025</v>
      </c>
      <c r="H31" s="5">
        <f t="shared" si="15"/>
        <v>0.66702774999999992</v>
      </c>
      <c r="I31" s="37">
        <f t="shared" si="16"/>
        <v>0.26340684576881601</v>
      </c>
      <c r="J31" s="37">
        <f t="shared" si="17"/>
        <v>0.73659315423118399</v>
      </c>
      <c r="K31" s="5">
        <f t="shared" si="18"/>
        <v>1587</v>
      </c>
      <c r="N31" s="5">
        <v>10</v>
      </c>
      <c r="O31" s="56">
        <f t="shared" si="12"/>
        <v>1.5269142616501124E-5</v>
      </c>
      <c r="P31" s="47">
        <f t="shared" si="13"/>
        <v>15.269142616501124</v>
      </c>
    </row>
    <row r="32" spans="2:16" x14ac:dyDescent="0.3">
      <c r="F32" s="5">
        <v>1500</v>
      </c>
      <c r="G32" s="5">
        <f t="shared" si="14"/>
        <v>9038</v>
      </c>
      <c r="H32" s="5">
        <f t="shared" si="15"/>
        <v>1.0005969799999999</v>
      </c>
      <c r="I32" s="37">
        <f t="shared" si="16"/>
        <v>0.13517379474642244</v>
      </c>
      <c r="J32" s="37">
        <f t="shared" si="17"/>
        <v>0.86482620525357756</v>
      </c>
      <c r="K32" s="5">
        <f t="shared" si="18"/>
        <v>1221</v>
      </c>
      <c r="N32" s="5">
        <v>11</v>
      </c>
      <c r="O32" s="57">
        <f t="shared" si="12"/>
        <v>5.0372802856423682E-6</v>
      </c>
      <c r="P32" s="47">
        <f t="shared" si="13"/>
        <v>5.0372802856423684</v>
      </c>
    </row>
    <row r="33" spans="6:16" x14ac:dyDescent="0.3">
      <c r="F33" s="5">
        <v>2000</v>
      </c>
      <c r="G33" s="5">
        <f t="shared" si="14"/>
        <v>12050</v>
      </c>
      <c r="H33" s="5">
        <f t="shared" si="15"/>
        <v>1.3340554999999998</v>
      </c>
      <c r="I33" s="37">
        <f t="shared" si="16"/>
        <v>6.9383166397876825E-2</v>
      </c>
      <c r="J33" s="37">
        <f t="shared" si="17"/>
        <v>0.93061683360212322</v>
      </c>
      <c r="K33" s="5">
        <f t="shared" si="18"/>
        <v>836</v>
      </c>
      <c r="N33" s="5">
        <v>12</v>
      </c>
      <c r="O33" s="58">
        <f t="shared" si="12"/>
        <v>1.6617955122574971E-6</v>
      </c>
      <c r="P33" s="47">
        <f t="shared" si="13"/>
        <v>1.661795512257497</v>
      </c>
    </row>
    <row r="34" spans="6:16" x14ac:dyDescent="0.3">
      <c r="F34" s="5">
        <v>2500</v>
      </c>
      <c r="G34" s="5">
        <f t="shared" si="14"/>
        <v>15063</v>
      </c>
      <c r="H34" s="5">
        <f t="shared" si="15"/>
        <v>1.66762473</v>
      </c>
      <c r="I34" s="37">
        <f t="shared" si="16"/>
        <v>3.5605702904756474E-2</v>
      </c>
      <c r="J34" s="37">
        <f t="shared" si="17"/>
        <v>0.96439429709524349</v>
      </c>
      <c r="K34" s="5">
        <f t="shared" si="18"/>
        <v>536</v>
      </c>
      <c r="N34" s="5">
        <v>13</v>
      </c>
      <c r="O34" s="58">
        <f t="shared" si="12"/>
        <v>5.4822526600919418E-7</v>
      </c>
      <c r="P34" s="47">
        <f t="shared" si="13"/>
        <v>0.54822526600919419</v>
      </c>
    </row>
    <row r="35" spans="6:16" x14ac:dyDescent="0.3">
      <c r="F35" s="5">
        <v>3000</v>
      </c>
      <c r="G35" s="5">
        <f t="shared" si="14"/>
        <v>18075</v>
      </c>
      <c r="H35" s="5">
        <f t="shared" si="15"/>
        <v>2.0010832499999998</v>
      </c>
      <c r="I35" s="37">
        <f t="shared" si="16"/>
        <v>1.8276001010317639E-2</v>
      </c>
      <c r="J35" s="37">
        <f t="shared" si="17"/>
        <v>0.98172399898968232</v>
      </c>
      <c r="K35" s="5">
        <f t="shared" si="18"/>
        <v>330</v>
      </c>
      <c r="N35" s="5">
        <v>14</v>
      </c>
      <c r="O35" s="59">
        <f t="shared" si="12"/>
        <v>1.8085916111457221E-7</v>
      </c>
      <c r="P35" s="47">
        <f t="shared" si="13"/>
        <v>0.1808591611145722</v>
      </c>
    </row>
    <row r="36" spans="6:16" x14ac:dyDescent="0.3">
      <c r="F36" s="5">
        <v>3500</v>
      </c>
      <c r="G36" s="5">
        <f t="shared" si="14"/>
        <v>21088</v>
      </c>
      <c r="H36" s="5">
        <f t="shared" si="15"/>
        <v>2.3346524799999999</v>
      </c>
      <c r="I36" s="37">
        <f t="shared" si="16"/>
        <v>9.3787858935234728E-3</v>
      </c>
      <c r="J36" s="37">
        <f t="shared" si="17"/>
        <v>0.99062121410647652</v>
      </c>
      <c r="K36" s="5">
        <f t="shared" si="18"/>
        <v>197</v>
      </c>
      <c r="N36" s="5">
        <v>15</v>
      </c>
      <c r="O36" s="60">
        <f t="shared" si="12"/>
        <v>5.9665320420526204E-8</v>
      </c>
      <c r="P36" s="47">
        <f t="shared" si="13"/>
        <v>5.9665320420526205E-2</v>
      </c>
    </row>
    <row r="37" spans="6:16" x14ac:dyDescent="0.3">
      <c r="M37" s="43"/>
      <c r="N37" s="45"/>
      <c r="O37" s="43"/>
    </row>
  </sheetData>
  <mergeCells count="7">
    <mergeCell ref="B24:D24"/>
    <mergeCell ref="M2:P2"/>
    <mergeCell ref="M20:P20"/>
    <mergeCell ref="B2:D2"/>
    <mergeCell ref="F2:K2"/>
    <mergeCell ref="B20:D20"/>
    <mergeCell ref="F20:K20"/>
  </mergeCells>
  <dataValidations count="1">
    <dataValidation type="list" allowBlank="1" showInputMessage="1" showErrorMessage="1" sqref="M4 M22" xr:uid="{00000000-0002-0000-0100-000000000000}">
      <formula1>$F$4:$F$18</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W52"/>
  <sheetViews>
    <sheetView tabSelected="1" topLeftCell="S1" zoomScale="85" zoomScaleNormal="85" workbookViewId="0">
      <selection activeCell="G42" sqref="G42"/>
    </sheetView>
  </sheetViews>
  <sheetFormatPr baseColWidth="10" defaultRowHeight="14.4" x14ac:dyDescent="0.3"/>
  <cols>
    <col min="1" max="1" width="3.6640625" customWidth="1"/>
    <col min="2" max="2" width="57.88671875" bestFit="1" customWidth="1"/>
    <col min="3" max="3" width="9.109375" bestFit="1" customWidth="1"/>
    <col min="5" max="5" width="3.6640625" customWidth="1"/>
    <col min="6" max="6" width="40.6640625" customWidth="1"/>
    <col min="9" max="10" width="3.6640625" customWidth="1"/>
    <col min="11" max="14" width="25.6640625" customWidth="1"/>
    <col min="15" max="15" width="28.33203125" bestFit="1" customWidth="1"/>
    <col min="16" max="19" width="25.6640625" customWidth="1"/>
    <col min="20" max="20" width="3.6640625" customWidth="1"/>
    <col min="21" max="21" width="25.6640625" customWidth="1"/>
    <col min="22" max="23" width="30.6640625" customWidth="1"/>
  </cols>
  <sheetData>
    <row r="1" spans="2:23" ht="15" thickBot="1" x14ac:dyDescent="0.35"/>
    <row r="2" spans="2:23" ht="15" customHeight="1" x14ac:dyDescent="0.3">
      <c r="B2" s="85" t="s">
        <v>15</v>
      </c>
      <c r="C2" s="86"/>
      <c r="D2" s="86"/>
      <c r="E2" s="86"/>
      <c r="F2" s="86"/>
      <c r="G2" s="86"/>
      <c r="H2" s="87"/>
      <c r="K2" s="98" t="s">
        <v>43</v>
      </c>
      <c r="L2" s="99"/>
      <c r="M2" s="99"/>
      <c r="N2" s="99"/>
      <c r="O2" s="99"/>
      <c r="P2" s="99"/>
      <c r="Q2" s="99"/>
      <c r="R2" s="99"/>
      <c r="S2" s="99"/>
      <c r="T2" s="99"/>
      <c r="U2" s="99"/>
      <c r="V2" s="99"/>
      <c r="W2" s="99"/>
    </row>
    <row r="3" spans="2:23" ht="15.75" customHeight="1" thickBot="1" x14ac:dyDescent="0.35">
      <c r="B3" s="88"/>
      <c r="C3" s="89"/>
      <c r="D3" s="89"/>
      <c r="E3" s="89"/>
      <c r="F3" s="89"/>
      <c r="G3" s="89"/>
      <c r="H3" s="90"/>
      <c r="K3" s="98"/>
      <c r="L3" s="99"/>
      <c r="M3" s="99"/>
      <c r="N3" s="99"/>
      <c r="O3" s="99"/>
      <c r="P3" s="99"/>
      <c r="Q3" s="99"/>
      <c r="R3" s="99"/>
      <c r="S3" s="99"/>
      <c r="T3" s="99"/>
      <c r="U3" s="99"/>
      <c r="V3" s="99"/>
      <c r="W3" s="99"/>
    </row>
    <row r="4" spans="2:23" ht="15" thickBot="1" x14ac:dyDescent="0.35"/>
    <row r="5" spans="2:23" ht="15" thickBot="1" x14ac:dyDescent="0.35">
      <c r="B5" s="71" t="s">
        <v>9</v>
      </c>
      <c r="C5" s="72"/>
      <c r="D5" s="73"/>
      <c r="F5" s="71" t="s">
        <v>49</v>
      </c>
      <c r="G5" s="72"/>
      <c r="H5" s="73"/>
      <c r="K5" s="91" t="s">
        <v>82</v>
      </c>
      <c r="L5" s="92"/>
      <c r="M5" s="92"/>
      <c r="N5" s="92"/>
      <c r="O5" s="92"/>
      <c r="P5" s="92"/>
      <c r="Q5" s="92"/>
      <c r="R5" s="93"/>
      <c r="S5" s="94"/>
      <c r="U5" s="100" t="s">
        <v>84</v>
      </c>
      <c r="V5" s="100"/>
      <c r="W5" s="100"/>
    </row>
    <row r="6" spans="2:23" ht="15" thickBot="1" x14ac:dyDescent="0.35">
      <c r="B6" s="76" t="s">
        <v>10</v>
      </c>
      <c r="C6" s="77"/>
      <c r="D6" s="78"/>
      <c r="F6" s="76" t="s">
        <v>15</v>
      </c>
      <c r="G6" s="77"/>
      <c r="H6" s="78"/>
      <c r="K6" s="26" t="s">
        <v>47</v>
      </c>
      <c r="L6" s="26" t="s">
        <v>68</v>
      </c>
      <c r="M6" s="26" t="s">
        <v>69</v>
      </c>
      <c r="N6" s="26" t="s">
        <v>45</v>
      </c>
      <c r="O6" s="26" t="s">
        <v>76</v>
      </c>
      <c r="P6" s="26" t="s">
        <v>51</v>
      </c>
      <c r="Q6" s="26" t="s">
        <v>92</v>
      </c>
      <c r="R6" s="26" t="s">
        <v>55</v>
      </c>
      <c r="S6" s="26" t="s">
        <v>93</v>
      </c>
      <c r="U6" s="26" t="s">
        <v>86</v>
      </c>
      <c r="V6" s="26" t="s">
        <v>85</v>
      </c>
      <c r="W6" s="26" t="s">
        <v>55</v>
      </c>
    </row>
    <row r="7" spans="2:23" x14ac:dyDescent="0.3">
      <c r="B7" s="6" t="s">
        <v>11</v>
      </c>
      <c r="C7" s="7">
        <v>120</v>
      </c>
      <c r="D7" s="8" t="s">
        <v>12</v>
      </c>
      <c r="F7" s="15" t="s">
        <v>17</v>
      </c>
      <c r="G7" s="16">
        <v>2</v>
      </c>
      <c r="H7" s="14" t="s">
        <v>18</v>
      </c>
      <c r="K7" s="8">
        <v>50</v>
      </c>
      <c r="L7" s="8">
        <f t="shared" ref="L7:L21" si="0">$G$10*$G$19+$G$26*$G$35+$G$42*$G$51</f>
        <v>0</v>
      </c>
      <c r="M7" s="27">
        <f>K7+L7</f>
        <v>50</v>
      </c>
      <c r="N7" s="27">
        <f>ROUNDUP(($C$15+$C$19)*K7 + $C$29,0)</f>
        <v>302</v>
      </c>
      <c r="O7" s="35">
        <f t="shared" ref="O7:O21" si="1">(K7*($C$7*$C$15 + $C$18*$C$19) + $C$8*$C$30 + $C$9*$C$31 + $C$10*$C$32) / (K7*($C$15+$C$19) + $C$30 + $C$31 + $C$32)</f>
        <v>110.70539419087137</v>
      </c>
      <c r="P7" s="65">
        <f>N7*O7*(10^-6)</f>
        <v>3.3433029045643152E-2</v>
      </c>
      <c r="Q7" s="38">
        <f t="shared" ref="Q7:Q21" si="2">EXP(-2*P7)</f>
        <v>0.93532047155634235</v>
      </c>
      <c r="R7" s="38">
        <f>1-Q7</f>
        <v>6.4679528443657652E-2</v>
      </c>
      <c r="S7" s="8">
        <f t="shared" ref="S7:S21" si="3">ROUNDDOWN(N7*Q7, 0)</f>
        <v>282</v>
      </c>
      <c r="U7" s="54">
        <f>G41</f>
        <v>107</v>
      </c>
      <c r="V7" s="14">
        <v>1</v>
      </c>
      <c r="W7" s="38">
        <f>1 - EXP(-2*(ROUNDUP(($C$15+$C$19)*U7 + $C$29,0) * ((U7*($C$7*$C$15 + $C$18*$C$19) + $C$8*$C$30 + $C$9*$C$31 + $C$10*$C$32) / (U7*($C$15+$C$19) + $C$30 + $C$31 + $C$32)) * 10^(-6)))</f>
        <v>0.13308119621378522</v>
      </c>
    </row>
    <row r="8" spans="2:23" x14ac:dyDescent="0.3">
      <c r="B8" s="9" t="s">
        <v>52</v>
      </c>
      <c r="C8" s="10">
        <v>120</v>
      </c>
      <c r="D8" s="5" t="s">
        <v>12</v>
      </c>
      <c r="F8" s="17" t="s">
        <v>48</v>
      </c>
      <c r="G8" s="10">
        <v>4</v>
      </c>
      <c r="H8" s="5" t="s">
        <v>19</v>
      </c>
      <c r="K8" s="5">
        <v>100</v>
      </c>
      <c r="L8" s="5">
        <f t="shared" si="0"/>
        <v>0</v>
      </c>
      <c r="M8" s="5">
        <f>K8+L8</f>
        <v>100</v>
      </c>
      <c r="N8" s="5">
        <f t="shared" ref="N8:N21" si="4">ROUNDUP(($C$15+$C$19)*K8 + $C$29,0)</f>
        <v>603</v>
      </c>
      <c r="O8" s="49">
        <f t="shared" si="1"/>
        <v>110.70539419087137</v>
      </c>
      <c r="P8" s="66">
        <f t="shared" ref="P8:P21" si="5">N8*O8*(10^-6)</f>
        <v>6.6755352697095441E-2</v>
      </c>
      <c r="Q8" s="37">
        <f t="shared" si="2"/>
        <v>0.87501810151377468</v>
      </c>
      <c r="R8" s="37">
        <f>1-Q8</f>
        <v>0.12498189848622532</v>
      </c>
      <c r="S8" s="5">
        <f t="shared" si="3"/>
        <v>527</v>
      </c>
      <c r="U8" s="52"/>
      <c r="V8" s="5">
        <v>2</v>
      </c>
      <c r="W8" s="37">
        <f>$W$7^V8</f>
        <v>1.7710604785692002E-2</v>
      </c>
    </row>
    <row r="9" spans="2:23" x14ac:dyDescent="0.3">
      <c r="B9" s="9" t="s">
        <v>53</v>
      </c>
      <c r="C9" s="10">
        <v>64</v>
      </c>
      <c r="D9" s="5" t="s">
        <v>12</v>
      </c>
      <c r="F9" s="18" t="s">
        <v>20</v>
      </c>
      <c r="G9" s="12">
        <v>0</v>
      </c>
      <c r="H9" s="19" t="s">
        <v>21</v>
      </c>
      <c r="K9" s="5">
        <v>150</v>
      </c>
      <c r="L9" s="5">
        <f t="shared" si="0"/>
        <v>0</v>
      </c>
      <c r="M9" s="5">
        <f t="shared" ref="M9:M21" si="6">K9+L9</f>
        <v>150</v>
      </c>
      <c r="N9" s="5">
        <f t="shared" si="4"/>
        <v>904</v>
      </c>
      <c r="O9" s="49">
        <f t="shared" si="1"/>
        <v>110.70539419087137</v>
      </c>
      <c r="P9" s="66">
        <f t="shared" si="5"/>
        <v>0.10007767634854772</v>
      </c>
      <c r="Q9" s="37">
        <f t="shared" si="2"/>
        <v>0.81860357092659708</v>
      </c>
      <c r="R9" s="37">
        <f t="shared" ref="R9:R21" si="7">1-Q9</f>
        <v>0.18139642907340292</v>
      </c>
      <c r="S9" s="5">
        <f t="shared" si="3"/>
        <v>740</v>
      </c>
      <c r="U9" s="53"/>
      <c r="V9" s="5">
        <v>3</v>
      </c>
      <c r="W9" s="37">
        <f t="shared" ref="W9:W21" si="8">$W$7^V9</f>
        <v>2.3569484705494811E-3</v>
      </c>
    </row>
    <row r="10" spans="2:23" x14ac:dyDescent="0.3">
      <c r="B10" s="11" t="s">
        <v>54</v>
      </c>
      <c r="C10" s="12">
        <v>64</v>
      </c>
      <c r="D10" s="5" t="s">
        <v>12</v>
      </c>
      <c r="F10" s="18" t="s">
        <v>50</v>
      </c>
      <c r="G10" s="12">
        <v>6</v>
      </c>
      <c r="H10" s="19" t="s">
        <v>22</v>
      </c>
      <c r="K10" s="5">
        <v>200</v>
      </c>
      <c r="L10" s="5">
        <f t="shared" si="0"/>
        <v>0</v>
      </c>
      <c r="M10" s="5">
        <f t="shared" si="6"/>
        <v>200</v>
      </c>
      <c r="N10" s="5">
        <f t="shared" si="4"/>
        <v>1205</v>
      </c>
      <c r="O10" s="49">
        <f t="shared" si="1"/>
        <v>110.70539419087137</v>
      </c>
      <c r="P10" s="66">
        <f t="shared" si="5"/>
        <v>0.13339999999999999</v>
      </c>
      <c r="Q10" s="37">
        <f t="shared" si="2"/>
        <v>0.76582622139414935</v>
      </c>
      <c r="R10" s="37">
        <f t="shared" si="7"/>
        <v>0.23417377860585065</v>
      </c>
      <c r="S10" s="5">
        <f t="shared" si="3"/>
        <v>922</v>
      </c>
      <c r="U10" s="53"/>
      <c r="V10" s="5">
        <v>4</v>
      </c>
      <c r="W10" s="37">
        <f t="shared" si="8"/>
        <v>3.1366552187497647E-4</v>
      </c>
    </row>
    <row r="11" spans="2:23" ht="15" thickBot="1" x14ac:dyDescent="0.35">
      <c r="B11" s="11" t="s">
        <v>14</v>
      </c>
      <c r="C11" s="12">
        <v>19.75</v>
      </c>
      <c r="D11" s="13" t="s">
        <v>12</v>
      </c>
      <c r="F11" s="18" t="s">
        <v>23</v>
      </c>
      <c r="G11" s="12">
        <v>6</v>
      </c>
      <c r="H11" s="19" t="s">
        <v>26</v>
      </c>
      <c r="K11" s="5">
        <v>225</v>
      </c>
      <c r="L11" s="5">
        <f t="shared" si="0"/>
        <v>0</v>
      </c>
      <c r="M11" s="5">
        <f t="shared" si="6"/>
        <v>225</v>
      </c>
      <c r="N11" s="5">
        <f t="shared" si="4"/>
        <v>1356</v>
      </c>
      <c r="O11" s="49">
        <f t="shared" si="1"/>
        <v>110.70539419087137</v>
      </c>
      <c r="P11" s="66">
        <f t="shared" si="5"/>
        <v>0.15011651452282157</v>
      </c>
      <c r="Q11" s="37">
        <f t="shared" si="2"/>
        <v>0.74064560863134909</v>
      </c>
      <c r="R11" s="37">
        <f t="shared" si="7"/>
        <v>0.25935439136865091</v>
      </c>
      <c r="S11" s="5">
        <f t="shared" si="3"/>
        <v>1004</v>
      </c>
      <c r="U11" s="53"/>
      <c r="V11" s="5">
        <v>5</v>
      </c>
      <c r="W11" s="37">
        <f t="shared" si="8"/>
        <v>4.1742982862143087E-5</v>
      </c>
    </row>
    <row r="12" spans="2:23" ht="15" thickBot="1" x14ac:dyDescent="0.35">
      <c r="B12" s="76" t="s">
        <v>59</v>
      </c>
      <c r="C12" s="77"/>
      <c r="D12" s="78"/>
      <c r="F12" s="18" t="s">
        <v>24</v>
      </c>
      <c r="G12" s="12">
        <v>6</v>
      </c>
      <c r="H12" s="19" t="s">
        <v>26</v>
      </c>
      <c r="K12" s="5">
        <v>250</v>
      </c>
      <c r="L12" s="5">
        <f t="shared" si="0"/>
        <v>0</v>
      </c>
      <c r="M12" s="5">
        <f t="shared" si="6"/>
        <v>250</v>
      </c>
      <c r="N12" s="5">
        <f t="shared" si="4"/>
        <v>1507</v>
      </c>
      <c r="O12" s="49">
        <f t="shared" si="1"/>
        <v>110.70539419087137</v>
      </c>
      <c r="P12" s="66">
        <f t="shared" si="5"/>
        <v>0.16683302904564315</v>
      </c>
      <c r="Q12" s="37">
        <f t="shared" si="2"/>
        <v>0.71629294252458764</v>
      </c>
      <c r="R12" s="37">
        <f t="shared" si="7"/>
        <v>0.28370705747541236</v>
      </c>
      <c r="S12" s="5">
        <f t="shared" si="3"/>
        <v>1079</v>
      </c>
      <c r="U12" s="53"/>
      <c r="V12" s="5">
        <v>6</v>
      </c>
      <c r="W12" s="37">
        <f t="shared" si="8"/>
        <v>5.5552060928255381E-6</v>
      </c>
    </row>
    <row r="13" spans="2:23" x14ac:dyDescent="0.3">
      <c r="B13" s="25" t="s">
        <v>58</v>
      </c>
      <c r="C13" s="10">
        <v>6.7</v>
      </c>
      <c r="D13" s="5" t="s">
        <v>13</v>
      </c>
      <c r="F13" s="18" t="s">
        <v>89</v>
      </c>
      <c r="G13" s="12">
        <v>3</v>
      </c>
      <c r="H13" s="19" t="s">
        <v>26</v>
      </c>
      <c r="K13" s="5">
        <v>275</v>
      </c>
      <c r="L13" s="5">
        <f t="shared" si="0"/>
        <v>0</v>
      </c>
      <c r="M13" s="5">
        <f t="shared" si="6"/>
        <v>275</v>
      </c>
      <c r="N13" s="5">
        <f t="shared" si="4"/>
        <v>1657</v>
      </c>
      <c r="O13" s="49">
        <f t="shared" si="1"/>
        <v>110.70539419087137</v>
      </c>
      <c r="P13" s="66">
        <f t="shared" si="5"/>
        <v>0.18343883817427387</v>
      </c>
      <c r="Q13" s="37">
        <f t="shared" si="2"/>
        <v>0.69289439723342783</v>
      </c>
      <c r="R13" s="37">
        <f t="shared" si="7"/>
        <v>0.30710560276657217</v>
      </c>
      <c r="S13" s="5">
        <f t="shared" si="3"/>
        <v>1148</v>
      </c>
      <c r="U13" s="53"/>
      <c r="V13" s="5">
        <v>7</v>
      </c>
      <c r="W13" s="55">
        <f t="shared" si="8"/>
        <v>7.3929347204733061E-7</v>
      </c>
    </row>
    <row r="14" spans="2:23" ht="15" thickBot="1" x14ac:dyDescent="0.35">
      <c r="B14" s="25" t="s">
        <v>72</v>
      </c>
      <c r="C14" s="48">
        <v>0.5</v>
      </c>
      <c r="D14" s="13"/>
      <c r="F14" s="18" t="s">
        <v>25</v>
      </c>
      <c r="G14" s="12">
        <v>3</v>
      </c>
      <c r="H14" s="19" t="s">
        <v>26</v>
      </c>
      <c r="K14" s="5">
        <v>300</v>
      </c>
      <c r="L14" s="5">
        <f t="shared" si="0"/>
        <v>0</v>
      </c>
      <c r="M14" s="5">
        <f t="shared" si="6"/>
        <v>300</v>
      </c>
      <c r="N14" s="5">
        <f t="shared" si="4"/>
        <v>1808</v>
      </c>
      <c r="O14" s="49">
        <f t="shared" si="1"/>
        <v>110.70539419087137</v>
      </c>
      <c r="P14" s="66">
        <f t="shared" si="5"/>
        <v>0.20015535269709545</v>
      </c>
      <c r="Q14" s="37">
        <f t="shared" si="2"/>
        <v>0.67011180633377632</v>
      </c>
      <c r="R14" s="37">
        <f t="shared" si="7"/>
        <v>0.32988819366622368</v>
      </c>
      <c r="S14" s="5">
        <f t="shared" si="3"/>
        <v>1211</v>
      </c>
      <c r="U14" s="53"/>
      <c r="V14" s="5">
        <v>8</v>
      </c>
      <c r="W14" s="55">
        <f t="shared" si="8"/>
        <v>9.8386059613101341E-8</v>
      </c>
    </row>
    <row r="15" spans="2:23" ht="15" thickBot="1" x14ac:dyDescent="0.35">
      <c r="B15" s="25" t="s">
        <v>71</v>
      </c>
      <c r="C15" s="10">
        <f>((C13/2)*(1-C14))+(C13/2)</f>
        <v>5.0250000000000004</v>
      </c>
      <c r="D15" s="5" t="s">
        <v>13</v>
      </c>
      <c r="F15" s="76" t="s">
        <v>16</v>
      </c>
      <c r="G15" s="77"/>
      <c r="H15" s="78"/>
      <c r="K15" s="42">
        <v>500</v>
      </c>
      <c r="L15" s="42">
        <f t="shared" si="0"/>
        <v>0</v>
      </c>
      <c r="M15" s="42">
        <f t="shared" si="6"/>
        <v>500</v>
      </c>
      <c r="N15" s="42">
        <f t="shared" si="4"/>
        <v>3013</v>
      </c>
      <c r="O15" s="50">
        <f t="shared" si="1"/>
        <v>110.70539419087137</v>
      </c>
      <c r="P15" s="67">
        <f t="shared" si="5"/>
        <v>0.33355535269709541</v>
      </c>
      <c r="Q15" s="41">
        <f t="shared" si="2"/>
        <v>0.51318919255620399</v>
      </c>
      <c r="R15" s="40">
        <f t="shared" si="7"/>
        <v>0.48681080744379601</v>
      </c>
      <c r="S15" s="39">
        <f t="shared" si="3"/>
        <v>1546</v>
      </c>
      <c r="U15" s="53"/>
      <c r="V15" s="5">
        <v>9</v>
      </c>
      <c r="W15" s="56">
        <f t="shared" si="8"/>
        <v>1.309333450407231E-8</v>
      </c>
    </row>
    <row r="16" spans="2:23" ht="15" thickBot="1" x14ac:dyDescent="0.35">
      <c r="F16" s="15" t="s">
        <v>28</v>
      </c>
      <c r="G16" s="16">
        <f xml:space="preserve"> G7*G8/360</f>
        <v>2.2222222222222223E-2</v>
      </c>
      <c r="H16" s="20" t="s">
        <v>19</v>
      </c>
      <c r="K16" s="5">
        <v>1000</v>
      </c>
      <c r="L16" s="5">
        <f t="shared" si="0"/>
        <v>0</v>
      </c>
      <c r="M16" s="5">
        <f t="shared" si="6"/>
        <v>1000</v>
      </c>
      <c r="N16" s="5">
        <f t="shared" si="4"/>
        <v>6025</v>
      </c>
      <c r="O16" s="49">
        <f t="shared" si="1"/>
        <v>110.70539419087137</v>
      </c>
      <c r="P16" s="66">
        <f t="shared" si="5"/>
        <v>0.66699999999999993</v>
      </c>
      <c r="Q16" s="37">
        <f t="shared" si="2"/>
        <v>0.26342146525444315</v>
      </c>
      <c r="R16" s="37">
        <f t="shared" si="7"/>
        <v>0.7365785347455569</v>
      </c>
      <c r="S16" s="5">
        <f t="shared" si="3"/>
        <v>1587</v>
      </c>
      <c r="U16" s="53"/>
      <c r="V16" s="5">
        <v>10</v>
      </c>
      <c r="W16" s="56">
        <f t="shared" si="8"/>
        <v>1.7424766182291713E-9</v>
      </c>
    </row>
    <row r="17" spans="2:23" ht="15" thickBot="1" x14ac:dyDescent="0.35">
      <c r="B17" s="71" t="s">
        <v>74</v>
      </c>
      <c r="C17" s="72"/>
      <c r="D17" s="73"/>
      <c r="F17" s="17" t="s">
        <v>29</v>
      </c>
      <c r="G17" s="10">
        <f>G9*G7/360</f>
        <v>0</v>
      </c>
      <c r="H17" s="19" t="s">
        <v>21</v>
      </c>
      <c r="K17" s="5">
        <v>1500</v>
      </c>
      <c r="L17" s="5">
        <f t="shared" si="0"/>
        <v>0</v>
      </c>
      <c r="M17" s="5">
        <f t="shared" si="6"/>
        <v>1500</v>
      </c>
      <c r="N17" s="5">
        <f t="shared" si="4"/>
        <v>9038</v>
      </c>
      <c r="O17" s="49">
        <f t="shared" si="1"/>
        <v>110.70539419087137</v>
      </c>
      <c r="P17" s="66">
        <f t="shared" si="5"/>
        <v>1.0005553526970954</v>
      </c>
      <c r="Q17" s="37">
        <f t="shared" si="2"/>
        <v>0.13518504905589981</v>
      </c>
      <c r="R17" s="37">
        <f t="shared" si="7"/>
        <v>0.86481495094410021</v>
      </c>
      <c r="S17" s="5">
        <f t="shared" si="3"/>
        <v>1221</v>
      </c>
      <c r="U17" s="53"/>
      <c r="V17" s="5">
        <v>11</v>
      </c>
      <c r="W17" s="57">
        <f t="shared" si="8"/>
        <v>2.3189087272848928E-10</v>
      </c>
    </row>
    <row r="18" spans="2:23" x14ac:dyDescent="0.3">
      <c r="B18" s="29" t="s">
        <v>10</v>
      </c>
      <c r="C18" s="7">
        <v>64</v>
      </c>
      <c r="D18" s="8" t="s">
        <v>12</v>
      </c>
      <c r="F18" s="17" t="s">
        <v>30</v>
      </c>
      <c r="G18" s="10">
        <f>1/G16</f>
        <v>45</v>
      </c>
      <c r="H18" s="21" t="s">
        <v>27</v>
      </c>
      <c r="K18" s="5">
        <v>2000</v>
      </c>
      <c r="L18" s="5">
        <f t="shared" si="0"/>
        <v>0</v>
      </c>
      <c r="M18" s="5">
        <f t="shared" si="6"/>
        <v>2000</v>
      </c>
      <c r="N18" s="5">
        <f t="shared" si="4"/>
        <v>12050</v>
      </c>
      <c r="O18" s="49">
        <f t="shared" si="1"/>
        <v>110.70539419087137</v>
      </c>
      <c r="P18" s="66">
        <f t="shared" si="5"/>
        <v>1.3339999999999999</v>
      </c>
      <c r="Q18" s="37">
        <f t="shared" si="2"/>
        <v>6.9390868356797808E-2</v>
      </c>
      <c r="R18" s="37">
        <f t="shared" si="7"/>
        <v>0.93060913164320214</v>
      </c>
      <c r="S18" s="5">
        <f t="shared" si="3"/>
        <v>836</v>
      </c>
      <c r="U18" s="53"/>
      <c r="V18" s="5">
        <v>12</v>
      </c>
      <c r="W18" s="58">
        <f t="shared" si="8"/>
        <v>3.0860314733765979E-11</v>
      </c>
    </row>
    <row r="19" spans="2:23" x14ac:dyDescent="0.3">
      <c r="B19" s="30" t="s">
        <v>58</v>
      </c>
      <c r="C19" s="10">
        <v>1</v>
      </c>
      <c r="D19" s="5" t="s">
        <v>13</v>
      </c>
      <c r="F19" s="17" t="s">
        <v>31</v>
      </c>
      <c r="G19" s="22">
        <f>G17*G18</f>
        <v>0</v>
      </c>
      <c r="H19" s="21" t="s">
        <v>21</v>
      </c>
      <c r="K19" s="5">
        <v>2500</v>
      </c>
      <c r="L19" s="5">
        <f t="shared" si="0"/>
        <v>0</v>
      </c>
      <c r="M19" s="5">
        <f t="shared" si="6"/>
        <v>2500</v>
      </c>
      <c r="N19" s="5">
        <f t="shared" si="4"/>
        <v>15063</v>
      </c>
      <c r="O19" s="49">
        <f t="shared" si="1"/>
        <v>110.70539419087137</v>
      </c>
      <c r="P19" s="66">
        <f t="shared" si="5"/>
        <v>1.6675553526970954</v>
      </c>
      <c r="Q19" s="37">
        <f t="shared" si="2"/>
        <v>3.56106437027989E-2</v>
      </c>
      <c r="R19" s="37">
        <f t="shared" si="7"/>
        <v>0.96438935629720113</v>
      </c>
      <c r="S19" s="5">
        <f t="shared" si="3"/>
        <v>536</v>
      </c>
      <c r="U19" s="53"/>
      <c r="V19" s="5">
        <v>13</v>
      </c>
      <c r="W19" s="58">
        <f t="shared" si="8"/>
        <v>4.1069276003034771E-12</v>
      </c>
    </row>
    <row r="20" spans="2:23" ht="15" thickBot="1" x14ac:dyDescent="0.35">
      <c r="K20" s="5">
        <v>3000</v>
      </c>
      <c r="L20" s="5">
        <f t="shared" si="0"/>
        <v>0</v>
      </c>
      <c r="M20" s="5">
        <f t="shared" si="6"/>
        <v>3000</v>
      </c>
      <c r="N20" s="5">
        <f t="shared" si="4"/>
        <v>18075</v>
      </c>
      <c r="O20" s="49">
        <f t="shared" si="1"/>
        <v>110.70539419087137</v>
      </c>
      <c r="P20" s="66">
        <f t="shared" si="5"/>
        <v>2.0009999999999999</v>
      </c>
      <c r="Q20" s="37">
        <f t="shared" si="2"/>
        <v>1.8279044217825845E-2</v>
      </c>
      <c r="R20" s="37">
        <f t="shared" si="7"/>
        <v>0.98172095578217411</v>
      </c>
      <c r="S20" s="5">
        <f t="shared" si="3"/>
        <v>330</v>
      </c>
      <c r="U20" s="53"/>
      <c r="V20" s="5">
        <v>14</v>
      </c>
      <c r="W20" s="59">
        <f t="shared" si="8"/>
        <v>5.465548378117972E-13</v>
      </c>
    </row>
    <row r="21" spans="2:23" ht="15" thickBot="1" x14ac:dyDescent="0.35">
      <c r="B21" s="71" t="s">
        <v>46</v>
      </c>
      <c r="C21" s="72"/>
      <c r="D21" s="73"/>
      <c r="F21" s="71" t="s">
        <v>33</v>
      </c>
      <c r="G21" s="72"/>
      <c r="H21" s="73"/>
      <c r="K21" s="5">
        <v>3500</v>
      </c>
      <c r="L21" s="5">
        <f t="shared" si="0"/>
        <v>0</v>
      </c>
      <c r="M21" s="5">
        <f t="shared" si="6"/>
        <v>3500</v>
      </c>
      <c r="N21" s="5">
        <f t="shared" si="4"/>
        <v>21088</v>
      </c>
      <c r="O21" s="49">
        <f t="shared" si="1"/>
        <v>110.70539419087137</v>
      </c>
      <c r="P21" s="66">
        <f t="shared" si="5"/>
        <v>2.3345553526970955</v>
      </c>
      <c r="Q21" s="37">
        <f t="shared" si="2"/>
        <v>9.3806079428451917E-3</v>
      </c>
      <c r="R21" s="37">
        <f t="shared" si="7"/>
        <v>0.99061939205715477</v>
      </c>
      <c r="S21" s="5">
        <f t="shared" si="3"/>
        <v>197</v>
      </c>
      <c r="U21" s="53"/>
      <c r="V21" s="5">
        <v>15</v>
      </c>
      <c r="W21" s="60">
        <f t="shared" si="8"/>
        <v>7.2736171612425338E-14</v>
      </c>
    </row>
    <row r="22" spans="2:23" ht="15" thickBot="1" x14ac:dyDescent="0.35">
      <c r="B22" s="76" t="s">
        <v>35</v>
      </c>
      <c r="C22" s="77"/>
      <c r="D22" s="78"/>
      <c r="F22" s="76" t="s">
        <v>15</v>
      </c>
      <c r="G22" s="77"/>
      <c r="H22" s="78"/>
      <c r="K22" s="43"/>
      <c r="L22" s="43"/>
      <c r="M22" s="43"/>
      <c r="N22" s="43"/>
      <c r="O22" s="51"/>
      <c r="P22" s="43"/>
      <c r="Q22" s="44"/>
      <c r="R22" s="44"/>
      <c r="S22" s="43"/>
    </row>
    <row r="23" spans="2:23" ht="15" thickBot="1" x14ac:dyDescent="0.35">
      <c r="B23" s="82" t="s">
        <v>81</v>
      </c>
      <c r="C23" s="83"/>
      <c r="D23" s="84"/>
      <c r="F23" s="15" t="s">
        <v>17</v>
      </c>
      <c r="G23" s="16">
        <v>2</v>
      </c>
      <c r="H23" s="14" t="s">
        <v>18</v>
      </c>
      <c r="K23" s="95" t="s">
        <v>83</v>
      </c>
      <c r="L23" s="96"/>
      <c r="M23" s="96"/>
      <c r="N23" s="96"/>
      <c r="O23" s="96"/>
      <c r="P23" s="96"/>
      <c r="Q23" s="96"/>
      <c r="R23" s="96"/>
      <c r="S23" s="97"/>
      <c r="U23" s="100" t="s">
        <v>84</v>
      </c>
      <c r="V23" s="100"/>
      <c r="W23" s="100"/>
    </row>
    <row r="24" spans="2:23" ht="15" thickBot="1" x14ac:dyDescent="0.35">
      <c r="B24" s="25" t="s">
        <v>36</v>
      </c>
      <c r="C24" s="14">
        <f>C25+C26+C27</f>
        <v>0</v>
      </c>
      <c r="D24" s="14" t="s">
        <v>13</v>
      </c>
      <c r="F24" s="17" t="s">
        <v>48</v>
      </c>
      <c r="G24" s="10">
        <v>4</v>
      </c>
      <c r="H24" s="5" t="s">
        <v>19</v>
      </c>
      <c r="K24" s="26" t="s">
        <v>44</v>
      </c>
      <c r="L24" s="26" t="s">
        <v>70</v>
      </c>
      <c r="M24" s="26" t="s">
        <v>69</v>
      </c>
      <c r="N24" s="26" t="s">
        <v>45</v>
      </c>
      <c r="O24" s="26" t="s">
        <v>95</v>
      </c>
      <c r="P24" s="26" t="s">
        <v>51</v>
      </c>
      <c r="Q24" s="26" t="s">
        <v>92</v>
      </c>
      <c r="R24" s="26" t="s">
        <v>55</v>
      </c>
      <c r="S24" s="26" t="s">
        <v>93</v>
      </c>
      <c r="U24" s="26" t="s">
        <v>86</v>
      </c>
      <c r="V24" s="26" t="s">
        <v>85</v>
      </c>
      <c r="W24" s="26" t="s">
        <v>55</v>
      </c>
    </row>
    <row r="25" spans="2:23" x14ac:dyDescent="0.3">
      <c r="B25" s="9" t="s">
        <v>37</v>
      </c>
      <c r="C25" s="5">
        <f>$G$10*$G$19*$G$11+$G$26*$G$35*$G$27+$G$42*$G$51*$G$43</f>
        <v>0</v>
      </c>
      <c r="D25" s="5" t="s">
        <v>13</v>
      </c>
      <c r="F25" s="18" t="s">
        <v>20</v>
      </c>
      <c r="G25" s="12">
        <v>0</v>
      </c>
      <c r="H25" s="19" t="s">
        <v>21</v>
      </c>
      <c r="K25" s="8">
        <v>50</v>
      </c>
      <c r="L25" s="8">
        <f t="shared" ref="L25:L39" si="9">$G$10*$G$19+$G$26*$G$35+$G$42*$G$51</f>
        <v>0</v>
      </c>
      <c r="M25" s="27">
        <f>K25+L25</f>
        <v>50</v>
      </c>
      <c r="N25" s="27">
        <f t="shared" ref="N25:N39" si="10">ROUNDUP(($C$15+$C$19)*K25 + $C$41,0)</f>
        <v>302</v>
      </c>
      <c r="O25" s="35">
        <f t="shared" ref="O25:O39" si="11">(K25*($C$7*$C$15 + $C$18*$C$19) + $C$8*$C$42 + $C$9*$C$43 + $C$10*$C$44 + $C$11*$C$45) / (K25*($C$15 + $C$19) + $C$42 + $C$43 + $C$44 + $C$45)</f>
        <v>110.70539419087137</v>
      </c>
      <c r="P25" s="65">
        <f t="shared" ref="P25:P39" si="12">N25*O25*(10^-6)</f>
        <v>3.3433029045643152E-2</v>
      </c>
      <c r="Q25" s="38">
        <f t="shared" ref="Q25:Q39" si="13">EXP(-2*P25)</f>
        <v>0.93532047155634235</v>
      </c>
      <c r="R25" s="38">
        <f>1-Q25</f>
        <v>6.4679528443657652E-2</v>
      </c>
      <c r="S25" s="8">
        <f t="shared" ref="S25:S39" si="14">ROUNDDOWN(N25*Q25, 0)</f>
        <v>282</v>
      </c>
      <c r="U25" s="54">
        <v>500</v>
      </c>
      <c r="V25" s="14">
        <v>1</v>
      </c>
      <c r="W25" s="38">
        <f>1 - EXP(-2*(ROUNDUP(($C$15+$C$19)*U25 + $C$41,0) * ((U25*($C$7*$C$15 + $C$18*$C$19) + $C$8*$C$42 + $C$9*$C$43 + $C$10*$C$44 + $C$11*$C$45) / (U25*($C$15 + $C$19) + $C$42 + $C$43 + $C$44 + $C$45)) * 10^(-6)))</f>
        <v>0.48681080744379601</v>
      </c>
    </row>
    <row r="26" spans="2:23" x14ac:dyDescent="0.3">
      <c r="B26" s="9" t="s">
        <v>38</v>
      </c>
      <c r="C26" s="13">
        <f>$G$10*$G$19*$G$12+$G$26*$G$35*$G$28+$G$42*$G$51*$G$44</f>
        <v>0</v>
      </c>
      <c r="D26" s="13" t="s">
        <v>13</v>
      </c>
      <c r="F26" s="18" t="s">
        <v>50</v>
      </c>
      <c r="G26" s="12">
        <v>6</v>
      </c>
      <c r="H26" s="19" t="s">
        <v>22</v>
      </c>
      <c r="K26" s="5">
        <v>100</v>
      </c>
      <c r="L26" s="5">
        <f t="shared" si="9"/>
        <v>0</v>
      </c>
      <c r="M26" s="5">
        <f>K26+L26</f>
        <v>100</v>
      </c>
      <c r="N26" s="5">
        <f t="shared" si="10"/>
        <v>603</v>
      </c>
      <c r="O26" s="36">
        <f t="shared" si="11"/>
        <v>110.70539419087137</v>
      </c>
      <c r="P26" s="66">
        <f t="shared" si="12"/>
        <v>6.6755352697095441E-2</v>
      </c>
      <c r="Q26" s="37">
        <f t="shared" si="13"/>
        <v>0.87501810151377468</v>
      </c>
      <c r="R26" s="37">
        <f>1-Q26</f>
        <v>0.12498189848622532</v>
      </c>
      <c r="S26" s="5">
        <f t="shared" si="14"/>
        <v>527</v>
      </c>
      <c r="U26" s="52"/>
      <c r="V26" s="5">
        <v>2</v>
      </c>
      <c r="W26" s="37">
        <f>$W$25^V26</f>
        <v>0.23698476224408063</v>
      </c>
    </row>
    <row r="27" spans="2:23" x14ac:dyDescent="0.3">
      <c r="B27" s="25" t="s">
        <v>90</v>
      </c>
      <c r="C27" s="5">
        <f>$G$10*$G$19*$G$13+$G$26*$G$35*$G$29+$G$42*$G$51*$G$45</f>
        <v>0</v>
      </c>
      <c r="D27" s="5" t="s">
        <v>13</v>
      </c>
      <c r="F27" s="18" t="s">
        <v>23</v>
      </c>
      <c r="G27" s="12">
        <v>6</v>
      </c>
      <c r="H27" s="19" t="s">
        <v>26</v>
      </c>
      <c r="K27" s="5">
        <v>150</v>
      </c>
      <c r="L27" s="5">
        <f t="shared" si="9"/>
        <v>0</v>
      </c>
      <c r="M27" s="5">
        <f t="shared" ref="M27:M39" si="15">K27+L27</f>
        <v>150</v>
      </c>
      <c r="N27" s="5">
        <f t="shared" si="10"/>
        <v>904</v>
      </c>
      <c r="O27" s="36">
        <f t="shared" si="11"/>
        <v>110.70539419087137</v>
      </c>
      <c r="P27" s="66">
        <f t="shared" si="12"/>
        <v>0.10007767634854772</v>
      </c>
      <c r="Q27" s="37">
        <f t="shared" si="13"/>
        <v>0.81860357092659708</v>
      </c>
      <c r="R27" s="37">
        <f t="shared" ref="R27:R39" si="16">1-Q27</f>
        <v>0.18139642907340292</v>
      </c>
      <c r="S27" s="5">
        <f t="shared" si="14"/>
        <v>740</v>
      </c>
      <c r="U27" s="53"/>
      <c r="V27" s="5">
        <v>3</v>
      </c>
      <c r="W27" s="37">
        <f t="shared" ref="W27:W39" si="17">$W$25^V27</f>
        <v>0.11536674345991692</v>
      </c>
    </row>
    <row r="28" spans="2:23" x14ac:dyDescent="0.3">
      <c r="B28" s="79" t="s">
        <v>80</v>
      </c>
      <c r="C28" s="80"/>
      <c r="D28" s="81"/>
      <c r="F28" s="18" t="s">
        <v>24</v>
      </c>
      <c r="G28" s="12">
        <v>6</v>
      </c>
      <c r="H28" s="19" t="s">
        <v>26</v>
      </c>
      <c r="K28" s="5">
        <v>200</v>
      </c>
      <c r="L28" s="5">
        <f t="shared" si="9"/>
        <v>0</v>
      </c>
      <c r="M28" s="5">
        <f t="shared" si="15"/>
        <v>200</v>
      </c>
      <c r="N28" s="5">
        <f t="shared" si="10"/>
        <v>1205</v>
      </c>
      <c r="O28" s="36">
        <f t="shared" si="11"/>
        <v>110.70539419087137</v>
      </c>
      <c r="P28" s="66">
        <f t="shared" si="12"/>
        <v>0.13339999999999999</v>
      </c>
      <c r="Q28" s="37">
        <f t="shared" si="13"/>
        <v>0.76582622139414935</v>
      </c>
      <c r="R28" s="37">
        <f t="shared" si="16"/>
        <v>0.23417377860585065</v>
      </c>
      <c r="S28" s="5">
        <f t="shared" si="14"/>
        <v>922</v>
      </c>
      <c r="U28" s="53"/>
      <c r="V28" s="5">
        <v>4</v>
      </c>
      <c r="W28" s="37">
        <f t="shared" si="17"/>
        <v>5.6161777535883424E-2</v>
      </c>
    </row>
    <row r="29" spans="2:23" x14ac:dyDescent="0.3">
      <c r="B29" s="9" t="s">
        <v>67</v>
      </c>
      <c r="C29">
        <f>C30+C31+C32</f>
        <v>0</v>
      </c>
      <c r="D29" s="5" t="s">
        <v>13</v>
      </c>
      <c r="F29" s="18" t="s">
        <v>89</v>
      </c>
      <c r="G29" s="12">
        <v>3</v>
      </c>
      <c r="H29" s="19" t="s">
        <v>26</v>
      </c>
      <c r="K29" s="5">
        <v>225</v>
      </c>
      <c r="L29" s="5">
        <f t="shared" si="9"/>
        <v>0</v>
      </c>
      <c r="M29" s="5">
        <f t="shared" si="15"/>
        <v>225</v>
      </c>
      <c r="N29" s="5">
        <f t="shared" si="10"/>
        <v>1356</v>
      </c>
      <c r="O29" s="36">
        <f t="shared" si="11"/>
        <v>110.70539419087137</v>
      </c>
      <c r="P29" s="66">
        <f t="shared" si="12"/>
        <v>0.15011651452282157</v>
      </c>
      <c r="Q29" s="37">
        <f t="shared" si="13"/>
        <v>0.74064560863134909</v>
      </c>
      <c r="R29" s="37">
        <f t="shared" si="16"/>
        <v>0.25935439136865091</v>
      </c>
      <c r="S29" s="5">
        <f t="shared" si="14"/>
        <v>1004</v>
      </c>
      <c r="U29" s="53"/>
      <c r="V29" s="5">
        <v>5</v>
      </c>
      <c r="W29" s="37">
        <f t="shared" si="17"/>
        <v>2.7340160269722254E-2</v>
      </c>
    </row>
    <row r="30" spans="2:23" ht="15" thickBot="1" x14ac:dyDescent="0.35">
      <c r="B30" s="9" t="s">
        <v>61</v>
      </c>
      <c r="C30" s="5">
        <f>C25*$C$47</f>
        <v>0</v>
      </c>
      <c r="D30" s="5" t="s">
        <v>13</v>
      </c>
      <c r="F30" s="18" t="s">
        <v>25</v>
      </c>
      <c r="G30" s="12">
        <v>3</v>
      </c>
      <c r="H30" s="19" t="s">
        <v>26</v>
      </c>
      <c r="K30" s="5">
        <v>250</v>
      </c>
      <c r="L30" s="5">
        <f t="shared" si="9"/>
        <v>0</v>
      </c>
      <c r="M30" s="5">
        <f t="shared" si="15"/>
        <v>250</v>
      </c>
      <c r="N30" s="5">
        <f t="shared" si="10"/>
        <v>1507</v>
      </c>
      <c r="O30" s="36">
        <f t="shared" si="11"/>
        <v>110.70539419087137</v>
      </c>
      <c r="P30" s="66">
        <f t="shared" si="12"/>
        <v>0.16683302904564315</v>
      </c>
      <c r="Q30" s="37">
        <f t="shared" si="13"/>
        <v>0.71629294252458764</v>
      </c>
      <c r="R30" s="37">
        <f t="shared" si="16"/>
        <v>0.28370705747541236</v>
      </c>
      <c r="S30" s="5">
        <f t="shared" si="14"/>
        <v>1079</v>
      </c>
      <c r="U30" s="53"/>
      <c r="V30" s="5">
        <v>6</v>
      </c>
      <c r="W30" s="37">
        <f t="shared" si="17"/>
        <v>1.3309485496546283E-2</v>
      </c>
    </row>
    <row r="31" spans="2:23" ht="15" thickBot="1" x14ac:dyDescent="0.35">
      <c r="B31" s="9" t="s">
        <v>62</v>
      </c>
      <c r="C31" s="5">
        <f>C26*$C$47</f>
        <v>0</v>
      </c>
      <c r="D31" s="13" t="s">
        <v>13</v>
      </c>
      <c r="F31" s="76" t="s">
        <v>16</v>
      </c>
      <c r="G31" s="77"/>
      <c r="H31" s="78"/>
      <c r="K31" s="5">
        <v>275</v>
      </c>
      <c r="L31" s="5">
        <f t="shared" si="9"/>
        <v>0</v>
      </c>
      <c r="M31" s="5">
        <f t="shared" ref="M31" si="18">K31+L31</f>
        <v>275</v>
      </c>
      <c r="N31" s="5">
        <f t="shared" si="10"/>
        <v>1657</v>
      </c>
      <c r="O31" s="36">
        <f t="shared" si="11"/>
        <v>110.70539419087137</v>
      </c>
      <c r="P31" s="66">
        <f t="shared" si="12"/>
        <v>0.18343883817427387</v>
      </c>
      <c r="Q31" s="37">
        <f t="shared" si="13"/>
        <v>0.69289439723342783</v>
      </c>
      <c r="R31" s="37">
        <f t="shared" si="16"/>
        <v>0.30710560276657217</v>
      </c>
      <c r="S31" s="5">
        <f t="shared" si="14"/>
        <v>1148</v>
      </c>
      <c r="U31" s="53"/>
      <c r="V31" s="5">
        <v>7</v>
      </c>
      <c r="W31" s="55">
        <f t="shared" si="17"/>
        <v>6.4792013812351879E-3</v>
      </c>
    </row>
    <row r="32" spans="2:23" ht="15" thickBot="1" x14ac:dyDescent="0.35">
      <c r="B32" s="25" t="s">
        <v>91</v>
      </c>
      <c r="C32" s="5">
        <f>C27*$C$47</f>
        <v>0</v>
      </c>
      <c r="D32" s="5" t="s">
        <v>13</v>
      </c>
      <c r="F32" s="15" t="s">
        <v>28</v>
      </c>
      <c r="G32" s="16">
        <f xml:space="preserve"> G23*G24/360</f>
        <v>2.2222222222222223E-2</v>
      </c>
      <c r="H32" s="20" t="s">
        <v>19</v>
      </c>
      <c r="K32" s="5">
        <v>300</v>
      </c>
      <c r="L32" s="5">
        <f t="shared" si="9"/>
        <v>0</v>
      </c>
      <c r="M32" s="5">
        <f t="shared" si="15"/>
        <v>300</v>
      </c>
      <c r="N32" s="5">
        <f t="shared" si="10"/>
        <v>1808</v>
      </c>
      <c r="O32" s="36">
        <f t="shared" si="11"/>
        <v>110.70539419087137</v>
      </c>
      <c r="P32" s="66">
        <f t="shared" si="12"/>
        <v>0.20015535269709545</v>
      </c>
      <c r="Q32" s="37">
        <f t="shared" si="13"/>
        <v>0.67011180633377632</v>
      </c>
      <c r="R32" s="37">
        <f t="shared" si="16"/>
        <v>0.32988819366622368</v>
      </c>
      <c r="S32" s="5">
        <f t="shared" si="14"/>
        <v>1211</v>
      </c>
      <c r="U32" s="53"/>
      <c r="V32" s="5">
        <v>8</v>
      </c>
      <c r="W32" s="55">
        <f t="shared" si="17"/>
        <v>3.15414525599006E-3</v>
      </c>
    </row>
    <row r="33" spans="2:23" ht="15" thickBot="1" x14ac:dyDescent="0.35">
      <c r="B33" s="76" t="s">
        <v>39</v>
      </c>
      <c r="C33" s="77"/>
      <c r="D33" s="78"/>
      <c r="F33" s="17" t="s">
        <v>29</v>
      </c>
      <c r="G33" s="10">
        <f>G25*G23/360</f>
        <v>0</v>
      </c>
      <c r="H33" s="19" t="s">
        <v>21</v>
      </c>
      <c r="K33" s="42">
        <v>500</v>
      </c>
      <c r="L33" s="42">
        <f t="shared" si="9"/>
        <v>0</v>
      </c>
      <c r="M33" s="42">
        <f t="shared" si="15"/>
        <v>500</v>
      </c>
      <c r="N33" s="42">
        <f t="shared" si="10"/>
        <v>3013</v>
      </c>
      <c r="O33" s="50">
        <f t="shared" si="11"/>
        <v>110.70539419087137</v>
      </c>
      <c r="P33" s="67">
        <f>N33*O33*(10^-6)</f>
        <v>0.33355535269709541</v>
      </c>
      <c r="Q33" s="41">
        <f>EXP(-2*P33)</f>
        <v>0.51318919255620399</v>
      </c>
      <c r="R33" s="41">
        <f t="shared" si="16"/>
        <v>0.48681080744379601</v>
      </c>
      <c r="S33" s="42">
        <f t="shared" si="14"/>
        <v>1546</v>
      </c>
      <c r="U33" s="53"/>
      <c r="V33" s="5">
        <v>9</v>
      </c>
      <c r="W33" s="56">
        <f t="shared" si="17"/>
        <v>1.5354719988635397E-3</v>
      </c>
    </row>
    <row r="34" spans="2:23" x14ac:dyDescent="0.3">
      <c r="B34" s="82" t="s">
        <v>81</v>
      </c>
      <c r="C34" s="83"/>
      <c r="D34" s="84"/>
      <c r="F34" s="17" t="s">
        <v>30</v>
      </c>
      <c r="G34" s="10">
        <f>1/G32</f>
        <v>45</v>
      </c>
      <c r="H34" s="21" t="s">
        <v>27</v>
      </c>
      <c r="K34" s="5">
        <v>1000</v>
      </c>
      <c r="L34" s="5">
        <f t="shared" si="9"/>
        <v>0</v>
      </c>
      <c r="M34" s="5">
        <f t="shared" si="15"/>
        <v>1000</v>
      </c>
      <c r="N34" s="5">
        <f t="shared" si="10"/>
        <v>6025</v>
      </c>
      <c r="O34" s="36">
        <f t="shared" si="11"/>
        <v>110.70539419087137</v>
      </c>
      <c r="P34" s="66">
        <f t="shared" si="12"/>
        <v>0.66699999999999993</v>
      </c>
      <c r="Q34" s="37">
        <f t="shared" si="13"/>
        <v>0.26342146525444315</v>
      </c>
      <c r="R34" s="37">
        <f t="shared" si="16"/>
        <v>0.7365785347455569</v>
      </c>
      <c r="S34" s="5">
        <f t="shared" si="14"/>
        <v>1587</v>
      </c>
      <c r="U34" s="53"/>
      <c r="V34" s="5">
        <v>10</v>
      </c>
      <c r="W34" s="56">
        <f t="shared" si="17"/>
        <v>7.4748436357409919E-4</v>
      </c>
    </row>
    <row r="35" spans="2:23" x14ac:dyDescent="0.3">
      <c r="B35" s="25" t="s">
        <v>36</v>
      </c>
      <c r="C35" s="14">
        <f>C36+C37+C38+C39</f>
        <v>0</v>
      </c>
      <c r="D35" s="14" t="s">
        <v>13</v>
      </c>
      <c r="F35" s="17" t="s">
        <v>31</v>
      </c>
      <c r="G35" s="22">
        <f>G33*G34</f>
        <v>0</v>
      </c>
      <c r="H35" s="21" t="s">
        <v>21</v>
      </c>
      <c r="K35" s="5">
        <v>1500</v>
      </c>
      <c r="L35" s="5">
        <f t="shared" si="9"/>
        <v>0</v>
      </c>
      <c r="M35" s="5">
        <f t="shared" si="15"/>
        <v>1500</v>
      </c>
      <c r="N35" s="5">
        <f t="shared" si="10"/>
        <v>9038</v>
      </c>
      <c r="O35" s="36">
        <f t="shared" si="11"/>
        <v>110.70539419087137</v>
      </c>
      <c r="P35" s="66">
        <f t="shared" si="12"/>
        <v>1.0005553526970954</v>
      </c>
      <c r="Q35" s="37">
        <f t="shared" si="13"/>
        <v>0.13518504905589981</v>
      </c>
      <c r="R35" s="37">
        <f t="shared" si="16"/>
        <v>0.86481495094410021</v>
      </c>
      <c r="S35" s="5">
        <f t="shared" si="14"/>
        <v>1221</v>
      </c>
      <c r="U35" s="53"/>
      <c r="V35" s="5">
        <v>11</v>
      </c>
      <c r="W35" s="57">
        <f t="shared" si="17"/>
        <v>3.6388346658311921E-4</v>
      </c>
    </row>
    <row r="36" spans="2:23" ht="15" thickBot="1" x14ac:dyDescent="0.35">
      <c r="B36" s="25" t="s">
        <v>40</v>
      </c>
      <c r="C36" s="5">
        <f>$G$10*$G$19*$G$11+$G$26*$G$35*$G$27+$G$42*$G$51*$G$43</f>
        <v>0</v>
      </c>
      <c r="D36" s="5" t="s">
        <v>13</v>
      </c>
      <c r="K36" s="5">
        <v>2000</v>
      </c>
      <c r="L36" s="5">
        <f t="shared" si="9"/>
        <v>0</v>
      </c>
      <c r="M36" s="5">
        <f t="shared" si="15"/>
        <v>2000</v>
      </c>
      <c r="N36" s="5">
        <f t="shared" si="10"/>
        <v>12050</v>
      </c>
      <c r="O36" s="36">
        <f t="shared" si="11"/>
        <v>110.70539419087137</v>
      </c>
      <c r="P36" s="66">
        <f t="shared" si="12"/>
        <v>1.3339999999999999</v>
      </c>
      <c r="Q36" s="37">
        <f t="shared" si="13"/>
        <v>6.9390868356797808E-2</v>
      </c>
      <c r="R36" s="37">
        <f t="shared" si="16"/>
        <v>0.93060913164320214</v>
      </c>
      <c r="S36" s="5">
        <f t="shared" si="14"/>
        <v>836</v>
      </c>
      <c r="U36" s="53"/>
      <c r="V36" s="5">
        <v>12</v>
      </c>
      <c r="W36" s="58">
        <f t="shared" si="17"/>
        <v>1.7714240418277582E-4</v>
      </c>
    </row>
    <row r="37" spans="2:23" ht="15" thickBot="1" x14ac:dyDescent="0.35">
      <c r="B37" s="25" t="s">
        <v>41</v>
      </c>
      <c r="C37" s="13">
        <f>$G$10*$G$19*$G$12+$G$26*$G$35*$G$28+$G$42*$G$51*$G$44</f>
        <v>0</v>
      </c>
      <c r="D37" s="13" t="s">
        <v>13</v>
      </c>
      <c r="F37" s="71" t="s">
        <v>34</v>
      </c>
      <c r="G37" s="72"/>
      <c r="H37" s="73"/>
      <c r="K37" s="5">
        <v>2500</v>
      </c>
      <c r="L37" s="5">
        <f t="shared" si="9"/>
        <v>0</v>
      </c>
      <c r="M37" s="5">
        <f t="shared" si="15"/>
        <v>2500</v>
      </c>
      <c r="N37" s="5">
        <f t="shared" si="10"/>
        <v>15063</v>
      </c>
      <c r="O37" s="36">
        <f t="shared" si="11"/>
        <v>110.70539419087137</v>
      </c>
      <c r="P37" s="66">
        <f t="shared" si="12"/>
        <v>1.6675553526970954</v>
      </c>
      <c r="Q37" s="37">
        <f t="shared" si="13"/>
        <v>3.56106437027989E-2</v>
      </c>
      <c r="R37" s="37">
        <f t="shared" si="16"/>
        <v>0.96438935629720113</v>
      </c>
      <c r="S37" s="5">
        <f t="shared" si="14"/>
        <v>536</v>
      </c>
      <c r="U37" s="53"/>
      <c r="V37" s="5">
        <v>13</v>
      </c>
      <c r="W37" s="58">
        <f t="shared" si="17"/>
        <v>8.6234836812752367E-5</v>
      </c>
    </row>
    <row r="38" spans="2:23" ht="15" thickBot="1" x14ac:dyDescent="0.35">
      <c r="B38" s="25" t="s">
        <v>56</v>
      </c>
      <c r="C38" s="5">
        <f>$G$10*$G$19*$G$13+$G$26*$G$35*$G$29+$G$42*$G$51*$G$45</f>
        <v>0</v>
      </c>
      <c r="D38" s="5" t="s">
        <v>13</v>
      </c>
      <c r="F38" s="76" t="s">
        <v>15</v>
      </c>
      <c r="G38" s="77"/>
      <c r="H38" s="78"/>
      <c r="K38" s="5">
        <v>3000</v>
      </c>
      <c r="L38" s="5">
        <f t="shared" si="9"/>
        <v>0</v>
      </c>
      <c r="M38" s="5">
        <f t="shared" si="15"/>
        <v>3000</v>
      </c>
      <c r="N38" s="5">
        <f t="shared" si="10"/>
        <v>18075</v>
      </c>
      <c r="O38" s="36">
        <f t="shared" si="11"/>
        <v>110.70539419087137</v>
      </c>
      <c r="P38" s="66">
        <f t="shared" si="12"/>
        <v>2.0009999999999999</v>
      </c>
      <c r="Q38" s="37">
        <f t="shared" si="13"/>
        <v>1.8279044217825845E-2</v>
      </c>
      <c r="R38" s="37">
        <f t="shared" si="16"/>
        <v>0.98172095578217411</v>
      </c>
      <c r="S38" s="5">
        <f t="shared" si="14"/>
        <v>330</v>
      </c>
      <c r="U38" s="53"/>
      <c r="V38" s="5">
        <v>14</v>
      </c>
      <c r="W38" s="59">
        <f t="shared" si="17"/>
        <v>4.1980050538599965E-5</v>
      </c>
    </row>
    <row r="39" spans="2:23" x14ac:dyDescent="0.3">
      <c r="B39" s="25" t="s">
        <v>42</v>
      </c>
      <c r="C39" s="5">
        <f>$G$10*$G$19*$G$14+$G$26*$G$35*$G$30+$G$42*$G$51*$G$46</f>
        <v>0</v>
      </c>
      <c r="D39" s="5" t="s">
        <v>13</v>
      </c>
      <c r="F39" s="15" t="s">
        <v>17</v>
      </c>
      <c r="G39" s="16">
        <v>1</v>
      </c>
      <c r="H39" s="14" t="s">
        <v>18</v>
      </c>
      <c r="K39" s="5">
        <v>3500</v>
      </c>
      <c r="L39" s="5">
        <f t="shared" si="9"/>
        <v>0</v>
      </c>
      <c r="M39" s="5">
        <f t="shared" si="15"/>
        <v>3500</v>
      </c>
      <c r="N39" s="5">
        <f t="shared" si="10"/>
        <v>21088</v>
      </c>
      <c r="O39" s="36">
        <f t="shared" si="11"/>
        <v>110.70539419087137</v>
      </c>
      <c r="P39" s="66">
        <f t="shared" si="12"/>
        <v>2.3345553526970955</v>
      </c>
      <c r="Q39" s="37">
        <f t="shared" si="13"/>
        <v>9.3806079428451917E-3</v>
      </c>
      <c r="R39" s="37">
        <f t="shared" si="16"/>
        <v>0.99061939205715477</v>
      </c>
      <c r="S39" s="5">
        <f t="shared" si="14"/>
        <v>197</v>
      </c>
      <c r="U39" s="53"/>
      <c r="V39" s="5">
        <v>15</v>
      </c>
      <c r="W39" s="60">
        <f t="shared" si="17"/>
        <v>2.0436342299227214E-5</v>
      </c>
    </row>
    <row r="40" spans="2:23" x14ac:dyDescent="0.3">
      <c r="B40" s="79" t="s">
        <v>80</v>
      </c>
      <c r="C40" s="80"/>
      <c r="D40" s="81"/>
      <c r="F40" s="17" t="s">
        <v>48</v>
      </c>
      <c r="G40" s="10">
        <v>1</v>
      </c>
      <c r="H40" s="5" t="s">
        <v>19</v>
      </c>
    </row>
    <row r="41" spans="2:23" x14ac:dyDescent="0.3">
      <c r="B41" s="9" t="s">
        <v>67</v>
      </c>
      <c r="C41">
        <f>C42+C43+C44+C45</f>
        <v>0</v>
      </c>
      <c r="D41" s="5" t="s">
        <v>13</v>
      </c>
      <c r="F41" s="18" t="s">
        <v>20</v>
      </c>
      <c r="G41" s="12">
        <v>107</v>
      </c>
      <c r="H41" s="19" t="s">
        <v>21</v>
      </c>
    </row>
    <row r="42" spans="2:23" x14ac:dyDescent="0.3">
      <c r="B42" s="25" t="s">
        <v>63</v>
      </c>
      <c r="C42" s="5">
        <f>C36*$C$47</f>
        <v>0</v>
      </c>
      <c r="D42" s="5" t="s">
        <v>13</v>
      </c>
      <c r="F42" s="18" t="s">
        <v>50</v>
      </c>
      <c r="G42" s="101">
        <v>0</v>
      </c>
      <c r="H42" s="19" t="s">
        <v>22</v>
      </c>
    </row>
    <row r="43" spans="2:23" x14ac:dyDescent="0.3">
      <c r="B43" s="25" t="s">
        <v>64</v>
      </c>
      <c r="C43" s="5">
        <f>C37*$C$47</f>
        <v>0</v>
      </c>
      <c r="D43" s="13" t="s">
        <v>13</v>
      </c>
      <c r="F43" s="18" t="s">
        <v>23</v>
      </c>
      <c r="G43" s="12">
        <v>6</v>
      </c>
      <c r="H43" s="19" t="s">
        <v>26</v>
      </c>
    </row>
    <row r="44" spans="2:23" x14ac:dyDescent="0.3">
      <c r="B44" s="25" t="s">
        <v>65</v>
      </c>
      <c r="C44" s="5">
        <f>C38*$C$47</f>
        <v>0</v>
      </c>
      <c r="D44" s="5" t="s">
        <v>13</v>
      </c>
      <c r="F44" s="18" t="s">
        <v>24</v>
      </c>
      <c r="G44" s="12">
        <v>14</v>
      </c>
      <c r="H44" s="19" t="s">
        <v>26</v>
      </c>
    </row>
    <row r="45" spans="2:23" x14ac:dyDescent="0.3">
      <c r="B45" s="25" t="s">
        <v>66</v>
      </c>
      <c r="C45" s="5">
        <f>C39*$C$47</f>
        <v>0</v>
      </c>
      <c r="D45" s="5" t="s">
        <v>13</v>
      </c>
      <c r="F45" s="18" t="s">
        <v>89</v>
      </c>
      <c r="G45" s="12">
        <v>0</v>
      </c>
      <c r="H45" s="19" t="s">
        <v>26</v>
      </c>
    </row>
    <row r="46" spans="2:23" ht="15" thickBot="1" x14ac:dyDescent="0.35">
      <c r="F46" s="18" t="s">
        <v>25</v>
      </c>
      <c r="G46" s="12">
        <v>0</v>
      </c>
      <c r="H46" s="19" t="s">
        <v>26</v>
      </c>
    </row>
    <row r="47" spans="2:23" ht="15" thickBot="1" x14ac:dyDescent="0.35">
      <c r="B47" s="32" t="s">
        <v>73</v>
      </c>
      <c r="C47" s="33">
        <v>0.5</v>
      </c>
      <c r="D47" s="34"/>
      <c r="F47" s="76" t="s">
        <v>16</v>
      </c>
      <c r="G47" s="77"/>
      <c r="H47" s="78"/>
    </row>
    <row r="48" spans="2:23" x14ac:dyDescent="0.3">
      <c r="F48" s="15" t="s">
        <v>28</v>
      </c>
      <c r="G48" s="16">
        <f xml:space="preserve"> G39*G40/360</f>
        <v>2.7777777777777779E-3</v>
      </c>
      <c r="H48" s="20" t="s">
        <v>19</v>
      </c>
    </row>
    <row r="49" spans="2:8" x14ac:dyDescent="0.3">
      <c r="F49" s="17" t="s">
        <v>29</v>
      </c>
      <c r="G49" s="10">
        <f>G41*G39/360</f>
        <v>0.29722222222222222</v>
      </c>
      <c r="H49" s="19" t="s">
        <v>21</v>
      </c>
    </row>
    <row r="50" spans="2:8" x14ac:dyDescent="0.3">
      <c r="B50" t="s">
        <v>96</v>
      </c>
      <c r="C50">
        <f>C19*G41</f>
        <v>107</v>
      </c>
      <c r="F50" s="17" t="s">
        <v>30</v>
      </c>
      <c r="G50" s="10">
        <f>1/G48</f>
        <v>360</v>
      </c>
      <c r="H50" s="21" t="s">
        <v>27</v>
      </c>
    </row>
    <row r="51" spans="2:8" x14ac:dyDescent="0.3">
      <c r="B51" t="s">
        <v>97</v>
      </c>
      <c r="C51">
        <f>C15*G41</f>
        <v>537.67500000000007</v>
      </c>
      <c r="F51" s="17" t="s">
        <v>31</v>
      </c>
      <c r="G51" s="22">
        <f>G49*G50</f>
        <v>107</v>
      </c>
      <c r="H51" s="21" t="s">
        <v>21</v>
      </c>
    </row>
    <row r="52" spans="2:8" x14ac:dyDescent="0.3">
      <c r="B52" t="s">
        <v>98</v>
      </c>
      <c r="C52">
        <f>C41+C50+C51</f>
        <v>644.67500000000007</v>
      </c>
    </row>
  </sheetData>
  <mergeCells count="26">
    <mergeCell ref="B2:H3"/>
    <mergeCell ref="K5:S5"/>
    <mergeCell ref="K23:S23"/>
    <mergeCell ref="F38:H38"/>
    <mergeCell ref="B5:D5"/>
    <mergeCell ref="B6:D6"/>
    <mergeCell ref="B12:D12"/>
    <mergeCell ref="F5:H5"/>
    <mergeCell ref="F6:H6"/>
    <mergeCell ref="K2:W3"/>
    <mergeCell ref="U5:W5"/>
    <mergeCell ref="U23:W23"/>
    <mergeCell ref="F47:H47"/>
    <mergeCell ref="B21:D21"/>
    <mergeCell ref="B22:D22"/>
    <mergeCell ref="F15:H15"/>
    <mergeCell ref="F21:H21"/>
    <mergeCell ref="F22:H22"/>
    <mergeCell ref="F31:H31"/>
    <mergeCell ref="F37:H37"/>
    <mergeCell ref="B33:D33"/>
    <mergeCell ref="B28:D28"/>
    <mergeCell ref="B40:D40"/>
    <mergeCell ref="B23:D23"/>
    <mergeCell ref="B34:D34"/>
    <mergeCell ref="B17:D17"/>
  </mergeCells>
  <dataValidations count="1">
    <dataValidation type="whole" operator="greaterThan" allowBlank="1" showInputMessage="1" showErrorMessage="1" sqref="U7 U25" xr:uid="{00000000-0002-0000-0200-000000000000}">
      <formula1>0</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B22"/>
  <sheetViews>
    <sheetView topLeftCell="A3" zoomScale="120" zoomScaleNormal="120" workbookViewId="0">
      <selection activeCell="D7" sqref="D7"/>
    </sheetView>
  </sheetViews>
  <sheetFormatPr baseColWidth="10" defaultRowHeight="14.4" x14ac:dyDescent="0.3"/>
  <cols>
    <col min="2" max="2" width="100.6640625" customWidth="1"/>
  </cols>
  <sheetData>
    <row r="3" spans="2:2" x14ac:dyDescent="0.3">
      <c r="B3" s="28" t="s">
        <v>94</v>
      </c>
    </row>
    <row r="22" spans="2:2" x14ac:dyDescent="0.3">
      <c r="B22" s="28" t="s">
        <v>87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B22"/>
  <sheetViews>
    <sheetView workbookViewId="0">
      <selection activeCell="E7" sqref="E7"/>
    </sheetView>
  </sheetViews>
  <sheetFormatPr baseColWidth="10" defaultRowHeight="14.4" x14ac:dyDescent="0.3"/>
  <cols>
    <col min="2" max="2" width="100.6640625" customWidth="1"/>
  </cols>
  <sheetData>
    <row r="3" spans="2:2" x14ac:dyDescent="0.3">
      <c r="B3" s="28" t="s">
        <v>94</v>
      </c>
    </row>
    <row r="22" spans="2:2" x14ac:dyDescent="0.3">
      <c r="B22" s="28" t="s">
        <v>87</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51F1451EEC6704E8456D403E1E54E45" ma:contentTypeVersion="11" ma:contentTypeDescription="Create a new document." ma:contentTypeScope="" ma:versionID="fd60701ecbe8ce4f33aa71605babdb55">
  <xsd:schema xmlns:xsd="http://www.w3.org/2001/XMLSchema" xmlns:xs="http://www.w3.org/2001/XMLSchema" xmlns:p="http://schemas.microsoft.com/office/2006/metadata/properties" xmlns:ns2="ca356681-c2eb-4cf9-9820-8c65ac7a2758" xmlns:ns3="cc7b58bb-a95f-47d0-bde8-c397551755a3" targetNamespace="http://schemas.microsoft.com/office/2006/metadata/properties" ma:root="true" ma:fieldsID="df5c3cdd2fb60d3f6177b50830756bce" ns2:_="" ns3:_="">
    <xsd:import namespace="ca356681-c2eb-4cf9-9820-8c65ac7a2758"/>
    <xsd:import namespace="cc7b58bb-a95f-47d0-bde8-c397551755a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356681-c2eb-4cf9-9820-8c65ac7a2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c7b58bb-a95f-47d0-bde8-c397551755a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8076478-BEA1-419C-98E1-098A9465982A}">
  <ds:schemaRefs>
    <ds:schemaRef ds:uri="http://schemas.microsoft.com/sharepoint/v3/contenttype/forms"/>
  </ds:schemaRefs>
</ds:datastoreItem>
</file>

<file path=customXml/itemProps2.xml><?xml version="1.0" encoding="utf-8"?>
<ds:datastoreItem xmlns:ds="http://schemas.openxmlformats.org/officeDocument/2006/customXml" ds:itemID="{58E3858E-D854-402D-B9C7-8E3F69786B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356681-c2eb-4cf9-9820-8c65ac7a2758"/>
    <ds:schemaRef ds:uri="cc7b58bb-a95f-47d0-bde8-c397551755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24A50C6-A36B-4258-8AC6-A2F437D4D803}">
  <ds:schemaRefs>
    <ds:schemaRef ds:uri="http://purl.org/dc/terms/"/>
    <ds:schemaRef ds:uri="http://schemas.microsoft.com/office/2006/documentManagement/types"/>
    <ds:schemaRef ds:uri="http://schemas.microsoft.com/office/infopath/2007/PartnerControls"/>
    <ds:schemaRef ds:uri="http://purl.org/dc/dcmitype/"/>
    <ds:schemaRef ds:uri="ca356681-c2eb-4cf9-9820-8c65ac7a2758"/>
    <ds:schemaRef ds:uri="cc7b58bb-a95f-47d0-bde8-c397551755a3"/>
    <ds:schemaRef ds:uri="http://purl.org/dc/elements/1.1/"/>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Introduction</vt:lpstr>
      <vt:lpstr>ADS-B</vt:lpstr>
      <vt:lpstr>Simulator</vt:lpstr>
      <vt:lpstr>Graphics (Only Mode S)</vt:lpstr>
      <vt:lpstr>Graphics (Modes A,C,S)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Polo Álvarez, Daniel</dc:creator>
  <cp:lastModifiedBy>Daniel Polo</cp:lastModifiedBy>
  <dcterms:created xsi:type="dcterms:W3CDTF">2021-04-23T12:03:41Z</dcterms:created>
  <dcterms:modified xsi:type="dcterms:W3CDTF">2022-04-13T00:07:10Z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0x010100751F1451EEC6704E8456D403E1E54E45</vt:lpwstr>
  </property>
</Properties>
</file>