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a764fd31a193b07/Desktop/"/>
    </mc:Choice>
  </mc:AlternateContent>
  <xr:revisionPtr revIDLastSave="2" documentId="8_{2624AA73-CE52-4462-8252-07C6FBA84566}" xr6:coauthVersionLast="47" xr6:coauthVersionMax="47" xr10:uidLastSave="{A079535F-3704-44D2-A1A0-CE44B2AE460E}"/>
  <bookViews>
    <workbookView xWindow="-108" yWindow="-108" windowWidth="23256" windowHeight="12456" xr2:uid="{00000000-000D-0000-FFFF-FFFF00000000}"/>
  </bookViews>
  <sheets>
    <sheet name="SHEET DICOUNTED CASH FLOW" sheetId="1" r:id="rId1"/>
    <sheet name="income statement" sheetId="2" r:id="rId2"/>
    <sheet name="working capital schedule" sheetId="4" r:id="rId3"/>
    <sheet name="fixed asset schedule" sheetId="3" r:id="rId4"/>
    <sheet name="debt schedule new" sheetId="5" r:id="rId5"/>
    <sheet name="NESTLEIND.NS" sheetId="6" r:id="rId6"/>
    <sheet name="BSE.NS" sheetId="7" r:id="rId7"/>
    <sheet name="discount r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ilKkkf01ej98iCEP7dNfWAjyDvmQ=="/>
    </ext>
  </extLst>
</workbook>
</file>

<file path=xl/calcChain.xml><?xml version="1.0" encoding="utf-8"?>
<calcChain xmlns="http://schemas.openxmlformats.org/spreadsheetml/2006/main">
  <c r="C26" i="1" l="1"/>
  <c r="C18" i="1"/>
  <c r="C17" i="1"/>
  <c r="C16" i="1"/>
  <c r="C12" i="1"/>
  <c r="M16" i="8"/>
  <c r="G26" i="8"/>
  <c r="G23" i="8"/>
  <c r="G23" i="4"/>
  <c r="H23" i="4"/>
  <c r="I23" i="4"/>
  <c r="J23" i="4"/>
  <c r="G7" i="8"/>
  <c r="F23" i="4"/>
  <c r="G22" i="4"/>
  <c r="H22" i="4"/>
  <c r="I22" i="4"/>
  <c r="J22" i="4"/>
  <c r="F22" i="4"/>
  <c r="G20" i="4"/>
  <c r="H20" i="4"/>
  <c r="I20" i="4"/>
  <c r="J20" i="4"/>
  <c r="F20" i="4"/>
  <c r="F18" i="4"/>
  <c r="G18" i="4"/>
  <c r="H18" i="4"/>
  <c r="I18" i="4"/>
  <c r="J18" i="4"/>
  <c r="D4" i="5"/>
  <c r="D5" i="5" s="1"/>
  <c r="E4" i="5"/>
  <c r="E9" i="5" s="1"/>
  <c r="F4" i="5"/>
  <c r="G4" i="5"/>
  <c r="F9" i="5"/>
  <c r="C4" i="5"/>
  <c r="D6" i="5"/>
  <c r="E6" i="1"/>
  <c r="F6" i="1"/>
  <c r="G6" i="1"/>
  <c r="H6" i="1"/>
  <c r="F12" i="2"/>
  <c r="D6" i="1" s="1"/>
  <c r="G14" i="2"/>
  <c r="H14" i="2"/>
  <c r="I14" i="2"/>
  <c r="J14" i="2"/>
  <c r="F14" i="2"/>
  <c r="G13" i="2"/>
  <c r="H13" i="2"/>
  <c r="I13" i="2"/>
  <c r="J13" i="2"/>
  <c r="F13" i="2"/>
  <c r="G18" i="3"/>
  <c r="G16" i="3"/>
  <c r="H10" i="3"/>
  <c r="I10" i="3"/>
  <c r="J10" i="3"/>
  <c r="K10" i="3"/>
  <c r="G10" i="3"/>
  <c r="D17" i="3"/>
  <c r="E17" i="3"/>
  <c r="F17" i="3"/>
  <c r="C17" i="3"/>
  <c r="D16" i="3"/>
  <c r="E16" i="3"/>
  <c r="F16" i="3"/>
  <c r="C16" i="3"/>
  <c r="D18" i="3"/>
  <c r="E18" i="3"/>
  <c r="F18" i="3"/>
  <c r="C18" i="3"/>
  <c r="D19" i="3"/>
  <c r="E19" i="3"/>
  <c r="F19" i="3"/>
  <c r="C19" i="3"/>
  <c r="D7" i="3"/>
  <c r="E7" i="3"/>
  <c r="F7" i="3"/>
  <c r="C7" i="3"/>
  <c r="G4" i="3"/>
  <c r="D4" i="3"/>
  <c r="E4" i="3"/>
  <c r="F4" i="3"/>
  <c r="C4" i="3"/>
  <c r="G17" i="2"/>
  <c r="H17" i="2"/>
  <c r="I17" i="2"/>
  <c r="J17" i="2"/>
  <c r="F17" i="2"/>
  <c r="D17" i="2"/>
  <c r="E17" i="2"/>
  <c r="C17" i="2"/>
  <c r="G8" i="2"/>
  <c r="H8" i="2"/>
  <c r="I8" i="2"/>
  <c r="J8" i="2"/>
  <c r="F8" i="2"/>
  <c r="C8" i="2"/>
  <c r="D8" i="2"/>
  <c r="E8" i="2"/>
  <c r="B8" i="2"/>
  <c r="G3" i="2"/>
  <c r="H3" i="2" s="1"/>
  <c r="F3" i="2"/>
  <c r="K4" i="2"/>
  <c r="F4" i="2" s="1"/>
  <c r="G4" i="2" s="1"/>
  <c r="H4" i="2" s="1"/>
  <c r="I4" i="2" s="1"/>
  <c r="C4" i="2"/>
  <c r="G31" i="8"/>
  <c r="D22" i="8"/>
  <c r="G8" i="8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G14" i="8" s="1"/>
  <c r="D9" i="5"/>
  <c r="C9" i="5"/>
  <c r="F6" i="5"/>
  <c r="E6" i="5"/>
  <c r="C6" i="5"/>
  <c r="B6" i="5"/>
  <c r="E23" i="4"/>
  <c r="D23" i="4"/>
  <c r="C23" i="4"/>
  <c r="B23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3" i="4"/>
  <c r="C13" i="4"/>
  <c r="B13" i="4"/>
  <c r="E11" i="4"/>
  <c r="E22" i="4" s="1"/>
  <c r="D11" i="4"/>
  <c r="D13" i="4" s="1"/>
  <c r="E7" i="4"/>
  <c r="E15" i="4" s="1"/>
  <c r="D7" i="4"/>
  <c r="D15" i="4" s="1"/>
  <c r="C7" i="4"/>
  <c r="C15" i="4" s="1"/>
  <c r="B7" i="4"/>
  <c r="B15" i="4" s="1"/>
  <c r="F12" i="3"/>
  <c r="E12" i="3"/>
  <c r="D12" i="3"/>
  <c r="C12" i="3"/>
  <c r="F6" i="3"/>
  <c r="F10" i="3" s="1"/>
  <c r="E6" i="3"/>
  <c r="E5" i="3" s="1"/>
  <c r="D6" i="3"/>
  <c r="D5" i="3" s="1"/>
  <c r="C6" i="3"/>
  <c r="C5" i="3" s="1"/>
  <c r="K21" i="2"/>
  <c r="E21" i="2"/>
  <c r="D21" i="2"/>
  <c r="C21" i="2"/>
  <c r="B21" i="2"/>
  <c r="B17" i="2"/>
  <c r="E13" i="2"/>
  <c r="B13" i="2"/>
  <c r="E4" i="2"/>
  <c r="D4" i="2"/>
  <c r="C23" i="1"/>
  <c r="G15" i="8" l="1"/>
  <c r="G17" i="8" s="1"/>
  <c r="M15" i="8" s="1"/>
  <c r="E5" i="5"/>
  <c r="F5" i="5"/>
  <c r="G9" i="5"/>
  <c r="C5" i="5"/>
  <c r="G5" i="5" s="1"/>
  <c r="H5" i="5" s="1"/>
  <c r="H6" i="3"/>
  <c r="G6" i="3"/>
  <c r="G5" i="3" s="1"/>
  <c r="D8" i="1" s="1"/>
  <c r="F5" i="3"/>
  <c r="G9" i="8"/>
  <c r="M14" i="8" s="1"/>
  <c r="F21" i="2"/>
  <c r="G21" i="2" s="1"/>
  <c r="I6" i="3"/>
  <c r="I3" i="2"/>
  <c r="C16" i="4"/>
  <c r="G6" i="4"/>
  <c r="D16" i="4"/>
  <c r="E16" i="4"/>
  <c r="D22" i="4"/>
  <c r="C10" i="3"/>
  <c r="E10" i="3"/>
  <c r="D10" i="3"/>
  <c r="G8" i="5" l="1"/>
  <c r="F19" i="2" s="1"/>
  <c r="H9" i="5"/>
  <c r="G7" i="2"/>
  <c r="J3" i="2"/>
  <c r="K6" i="3" s="1"/>
  <c r="J6" i="3"/>
  <c r="I5" i="5"/>
  <c r="F7" i="2"/>
  <c r="F6" i="4"/>
  <c r="H21" i="2"/>
  <c r="H6" i="4"/>
  <c r="G6" i="5"/>
  <c r="H4" i="5" s="1"/>
  <c r="H6" i="5" s="1"/>
  <c r="I4" i="5" s="1"/>
  <c r="H8" i="5" l="1"/>
  <c r="G19" i="2" s="1"/>
  <c r="I9" i="5"/>
  <c r="G6" i="2"/>
  <c r="G5" i="4" s="1"/>
  <c r="H7" i="3"/>
  <c r="H8" i="3" s="1"/>
  <c r="I4" i="3" s="1"/>
  <c r="I5" i="3" s="1"/>
  <c r="F8" i="1" s="1"/>
  <c r="I7" i="3"/>
  <c r="I8" i="3" s="1"/>
  <c r="J4" i="3" s="1"/>
  <c r="J5" i="3" s="1"/>
  <c r="G8" i="1" s="1"/>
  <c r="F6" i="2"/>
  <c r="I6" i="5"/>
  <c r="J4" i="5" s="1"/>
  <c r="J5" i="5"/>
  <c r="J6" i="5" s="1"/>
  <c r="K4" i="5" s="1"/>
  <c r="G7" i="3"/>
  <c r="G8" i="3" s="1"/>
  <c r="H4" i="3" s="1"/>
  <c r="H5" i="3" s="1"/>
  <c r="E8" i="1" s="1"/>
  <c r="I21" i="2"/>
  <c r="I8" i="5" l="1"/>
  <c r="H19" i="2" s="1"/>
  <c r="J9" i="5"/>
  <c r="K5" i="5"/>
  <c r="K6" i="5" s="1"/>
  <c r="J7" i="3"/>
  <c r="J8" i="3" s="1"/>
  <c r="K4" i="3" s="1"/>
  <c r="K5" i="3" s="1"/>
  <c r="H8" i="1" s="1"/>
  <c r="G10" i="4"/>
  <c r="H7" i="2"/>
  <c r="I7" i="2"/>
  <c r="F10" i="4"/>
  <c r="F5" i="4"/>
  <c r="I6" i="4"/>
  <c r="J6" i="4"/>
  <c r="J8" i="5" l="1"/>
  <c r="I19" i="2" s="1"/>
  <c r="K9" i="5"/>
  <c r="K8" i="5" s="1"/>
  <c r="J19" i="2" s="1"/>
  <c r="K7" i="3"/>
  <c r="K8" i="3" s="1"/>
  <c r="J7" i="2"/>
  <c r="J6" i="2" s="1"/>
  <c r="J5" i="4" s="1"/>
  <c r="I6" i="2"/>
  <c r="H6" i="2"/>
  <c r="J10" i="4" l="1"/>
  <c r="I10" i="4"/>
  <c r="I5" i="4"/>
  <c r="H10" i="4"/>
  <c r="H5" i="4"/>
  <c r="G16" i="2"/>
  <c r="E3" i="1" s="1"/>
  <c r="I16" i="2"/>
  <c r="F16" i="2"/>
  <c r="F10" i="2" s="1"/>
  <c r="F12" i="4" s="1"/>
  <c r="G10" i="2" l="1"/>
  <c r="G12" i="4" s="1"/>
  <c r="J16" i="2"/>
  <c r="J10" i="2" s="1"/>
  <c r="J12" i="4" s="1"/>
  <c r="E4" i="1"/>
  <c r="E5" i="1"/>
  <c r="I10" i="2"/>
  <c r="I12" i="4" s="1"/>
  <c r="I22" i="2"/>
  <c r="I23" i="2" s="1"/>
  <c r="I11" i="4" s="1"/>
  <c r="I13" i="4" s="1"/>
  <c r="G3" i="1"/>
  <c r="H16" i="2"/>
  <c r="F22" i="2"/>
  <c r="F23" i="2" s="1"/>
  <c r="F11" i="4" s="1"/>
  <c r="F13" i="4" s="1"/>
  <c r="G22" i="2"/>
  <c r="G23" i="2" s="1"/>
  <c r="G11" i="4" s="1"/>
  <c r="G13" i="4" s="1"/>
  <c r="D3" i="1"/>
  <c r="J22" i="2" l="1"/>
  <c r="J23" i="2" s="1"/>
  <c r="J11" i="4" s="1"/>
  <c r="J13" i="4" s="1"/>
  <c r="H3" i="1"/>
  <c r="D4" i="1"/>
  <c r="D5" i="1" s="1"/>
  <c r="H22" i="2"/>
  <c r="H23" i="2" s="1"/>
  <c r="H11" i="4" s="1"/>
  <c r="H10" i="2"/>
  <c r="H12" i="4" s="1"/>
  <c r="F3" i="1"/>
  <c r="G4" i="1"/>
  <c r="G5" i="1" s="1"/>
  <c r="H4" i="1"/>
  <c r="H5" i="1" s="1"/>
  <c r="H13" i="4" l="1"/>
  <c r="F4" i="1"/>
  <c r="F5" i="1" s="1"/>
  <c r="I4" i="4"/>
  <c r="I7" i="4" s="1"/>
  <c r="I15" i="4" s="1"/>
  <c r="J4" i="4"/>
  <c r="J7" i="4"/>
  <c r="J15" i="4" s="1"/>
  <c r="G4" i="4"/>
  <c r="G7" i="4" s="1"/>
  <c r="G15" i="4" s="1"/>
  <c r="H4" i="4"/>
  <c r="H7" i="4"/>
  <c r="H15" i="4" s="1"/>
  <c r="J16" i="4" l="1"/>
  <c r="H7" i="1" s="1"/>
  <c r="H9" i="1" s="1"/>
  <c r="I16" i="4"/>
  <c r="G7" i="1" s="1"/>
  <c r="G9" i="1" s="1"/>
  <c r="H16" i="4"/>
  <c r="F7" i="1" s="1"/>
  <c r="F9" i="1" s="1"/>
  <c r="F4" i="4"/>
  <c r="F7" i="4" s="1"/>
  <c r="F15" i="4" s="1"/>
  <c r="F16" i="4" l="1"/>
  <c r="D7" i="1" s="1"/>
  <c r="D9" i="1" s="1"/>
  <c r="G16" i="4"/>
  <c r="E7" i="1" s="1"/>
  <c r="E9" i="1" s="1"/>
  <c r="G29" i="8"/>
  <c r="P14" i="8" s="1"/>
  <c r="P15" i="8" l="1"/>
  <c r="F10" i="1" l="1"/>
  <c r="D10" i="1"/>
  <c r="H10" i="1"/>
  <c r="G10" i="1"/>
  <c r="E10" i="1"/>
  <c r="C20" i="1" l="1"/>
  <c r="C22" i="1" s="1"/>
  <c r="C25" i="1" s="1"/>
  <c r="C27" i="1" s="1"/>
</calcChain>
</file>

<file path=xl/sharedStrings.xml><?xml version="1.0" encoding="utf-8"?>
<sst xmlns="http://schemas.openxmlformats.org/spreadsheetml/2006/main" count="163" uniqueCount="144">
  <si>
    <t>EBIT</t>
  </si>
  <si>
    <t>Less:taxes</t>
  </si>
  <si>
    <t>NOPAT</t>
  </si>
  <si>
    <t>Add:depriciation and amortization</t>
  </si>
  <si>
    <t>Add/less:working capital changes</t>
  </si>
  <si>
    <t>Less:investment in fixed assets</t>
  </si>
  <si>
    <t>FCFF</t>
  </si>
  <si>
    <t>Discount factor</t>
  </si>
  <si>
    <t>Present value of explicit period</t>
  </si>
  <si>
    <t>Exit multiple</t>
  </si>
  <si>
    <t>EV/EBITDA</t>
  </si>
  <si>
    <t>EBITDA</t>
  </si>
  <si>
    <t>Enterprise value(terminal value)</t>
  </si>
  <si>
    <t>Present value of terminal value</t>
  </si>
  <si>
    <t>Total present value of operations</t>
  </si>
  <si>
    <t>Add:non operating assets including cash</t>
  </si>
  <si>
    <t>Value of firm</t>
  </si>
  <si>
    <t>Less:Debt</t>
  </si>
  <si>
    <t>Less:Non controlling interest</t>
  </si>
  <si>
    <t>Value of equity</t>
  </si>
  <si>
    <t>Shares outstanding</t>
  </si>
  <si>
    <t>Value per share(23/07/21)</t>
  </si>
  <si>
    <t xml:space="preserve">                     </t>
  </si>
  <si>
    <t>HISTORICAL</t>
  </si>
  <si>
    <t>PROJECTED</t>
  </si>
  <si>
    <t>Growth rate%</t>
  </si>
  <si>
    <t>Gross profit margin</t>
  </si>
  <si>
    <t>Amortization</t>
  </si>
  <si>
    <t>Depriciation</t>
  </si>
  <si>
    <t>Operating profit margin%</t>
  </si>
  <si>
    <t>Assume they will earn around the same operating profit margin so average is taken</t>
  </si>
  <si>
    <t>TAX RATES</t>
  </si>
  <si>
    <t>FIGURES IN Mn</t>
  </si>
  <si>
    <r>
      <rPr>
        <sz val="11"/>
        <color theme="1"/>
        <rFont val="Calibri"/>
      </rPr>
      <t xml:space="preserve">  </t>
    </r>
    <r>
      <rPr>
        <b/>
        <sz val="11"/>
        <color theme="1"/>
        <rFont val="Calibri"/>
      </rPr>
      <t>HISTORICAL</t>
    </r>
  </si>
  <si>
    <t xml:space="preserve">    PROJECTED</t>
  </si>
  <si>
    <t>FIXED ASSET SCHEDULE</t>
  </si>
  <si>
    <t>opening balance</t>
  </si>
  <si>
    <t>add:net purchases</t>
  </si>
  <si>
    <t>TOTAL FIXED ASSETS</t>
  </si>
  <si>
    <t>less:depriciation</t>
  </si>
  <si>
    <t>Rate of depriciation</t>
  </si>
  <si>
    <t>Assume average of last 4 years</t>
  </si>
  <si>
    <t>Fixed asset turnover ratio</t>
  </si>
  <si>
    <t>Other intangible assets schedule</t>
  </si>
  <si>
    <t>Total other  intangible assets</t>
  </si>
  <si>
    <t>less:amortization</t>
  </si>
  <si>
    <t>Rate of amortization</t>
  </si>
  <si>
    <t xml:space="preserve">                    HISTORICAL</t>
  </si>
  <si>
    <t>Current assets</t>
  </si>
  <si>
    <t>TOTAL CURRENT ASSETS</t>
  </si>
  <si>
    <t>CURRENT LIABILITIES</t>
  </si>
  <si>
    <t>TOTAL CURRENT LIABILITIES</t>
  </si>
  <si>
    <t>Net working Capital</t>
  </si>
  <si>
    <t>Changes in working capital</t>
  </si>
  <si>
    <t>Debtor days</t>
  </si>
  <si>
    <t>Assume Average is taken of last 4 years</t>
  </si>
  <si>
    <t>Inventory days</t>
  </si>
  <si>
    <t>Other current assets as% of revenue</t>
  </si>
  <si>
    <t>Creditor days</t>
  </si>
  <si>
    <t>Assumed creditor days decreasing by 10 once covid situation is over</t>
  </si>
  <si>
    <t>Accrued income tax payable(as% of income tax)</t>
  </si>
  <si>
    <t>Assume Average of last 2 years</t>
  </si>
  <si>
    <t>Otheraccruals(as % of other operating expenses)</t>
  </si>
  <si>
    <t xml:space="preserve"> Assume Average of last 4 years </t>
  </si>
  <si>
    <t>FIGURES IN MN</t>
  </si>
  <si>
    <t xml:space="preserve">HISTORICAL </t>
  </si>
  <si>
    <t>DEBT SCHEDULE</t>
  </si>
  <si>
    <t xml:space="preserve">Opening balance </t>
  </si>
  <si>
    <t xml:space="preserve">add/less:debt taken(repaid) </t>
  </si>
  <si>
    <t>Assume debt taken is average of last 4 years</t>
  </si>
  <si>
    <t>due to covid</t>
  </si>
  <si>
    <t>Interest expenses</t>
  </si>
  <si>
    <t>Interest rate (pre tax)</t>
  </si>
  <si>
    <t>Date</t>
  </si>
  <si>
    <t>Adj Close</t>
  </si>
  <si>
    <t>return of nestle india</t>
  </si>
  <si>
    <t>Return of market</t>
  </si>
  <si>
    <t>Risk free rate</t>
  </si>
  <si>
    <t>23rd July 2021</t>
  </si>
  <si>
    <t> 6.12%</t>
  </si>
  <si>
    <t>Cost of debt</t>
  </si>
  <si>
    <t>Add:company risk premium</t>
  </si>
  <si>
    <t>Ashwath Damodran dataset</t>
  </si>
  <si>
    <t>Add:country risk premium</t>
  </si>
  <si>
    <t>Tax rates</t>
  </si>
  <si>
    <t>Marginal rate</t>
  </si>
  <si>
    <t>Post tax cost of debt</t>
  </si>
  <si>
    <t xml:space="preserve">             WACC calculation</t>
  </si>
  <si>
    <t>calculation</t>
  </si>
  <si>
    <t>Beta</t>
  </si>
  <si>
    <t>Weight of debt</t>
  </si>
  <si>
    <t>Return of markets</t>
  </si>
  <si>
    <t>Cost of equity</t>
  </si>
  <si>
    <t xml:space="preserve"> </t>
  </si>
  <si>
    <t>Weight of equity</t>
  </si>
  <si>
    <t>WACC</t>
  </si>
  <si>
    <t>Calculation of return of market</t>
  </si>
  <si>
    <t>Start date</t>
  </si>
  <si>
    <t>Valuation date</t>
  </si>
  <si>
    <t>Years</t>
  </si>
  <si>
    <t>CAGR</t>
  </si>
  <si>
    <t>Calculation of market value weights</t>
  </si>
  <si>
    <t>Price per share</t>
  </si>
  <si>
    <t>Value of equity shares</t>
  </si>
  <si>
    <t>Value of debt</t>
  </si>
  <si>
    <t>SALES(taken)</t>
  </si>
  <si>
    <t>COST OF SALES(taken)</t>
  </si>
  <si>
    <t>GROSS PROFIT(taken)</t>
  </si>
  <si>
    <t>OPERATING PROFITS(EBIT)(taken)</t>
  </si>
  <si>
    <t>DEPRICIATION AND AMORTISATION(taken)</t>
  </si>
  <si>
    <t>OTHER OPERATING EXPENSES(taken)</t>
  </si>
  <si>
    <t>INTEREST EXPENSES(taken)</t>
  </si>
  <si>
    <t>PBT(taken)</t>
  </si>
  <si>
    <t>TAX EXPENSES(taken)</t>
  </si>
  <si>
    <t>Inventory(taken)</t>
  </si>
  <si>
    <t>Debtors(trade receivables)(taken)</t>
  </si>
  <si>
    <t>Other current assets(taken)</t>
  </si>
  <si>
    <t>Creditors(taken)</t>
  </si>
  <si>
    <t>Accrued income tax payable(taken)</t>
  </si>
  <si>
    <t>Other accruals(taken)</t>
  </si>
  <si>
    <t>CLOSING BALANCE(taken)</t>
  </si>
  <si>
    <t>opening balance(taken)</t>
  </si>
  <si>
    <t>Closing balance(taken)</t>
  </si>
  <si>
    <t>Assume growth rate of sales each year(assume company will grow at 10% in long term which is by considering long term GDP growth rate)</t>
  </si>
  <si>
    <t>Assume in future it will grow in similar constant level till 2025 so average is taken of historical years.</t>
  </si>
  <si>
    <t xml:space="preserve">                                     </t>
  </si>
  <si>
    <t>This part comes from fixed asset schedule</t>
  </si>
  <si>
    <t>This part comes from debt schedule</t>
  </si>
  <si>
    <t>Assume marginal tax rate of INDIA will be around 30% in future(after 5 years)</t>
  </si>
  <si>
    <t>FIGURES IN(₹ million)</t>
  </si>
  <si>
    <t xml:space="preserve"> FIGURES IN (₹ million)</t>
  </si>
  <si>
    <t xml:space="preserve">  </t>
  </si>
  <si>
    <t>Assumed average of last 4 years</t>
  </si>
  <si>
    <t>Assumed the F.A turnover ratio would be around 6(optimistic), as it will not keep on increasing everyear</t>
  </si>
  <si>
    <t>Could'nt find data on amortization and intangible assets , datas were mostly on depriciation</t>
  </si>
  <si>
    <t xml:space="preserve">Assume remains on similar line as debtors days, and is constant </t>
  </si>
  <si>
    <t>AAA rating from crisil</t>
  </si>
  <si>
    <t>NSE</t>
  </si>
  <si>
    <t>COST of equity(CAPM USED)</t>
  </si>
  <si>
    <t>taken</t>
  </si>
  <si>
    <t>taken(in million)</t>
  </si>
  <si>
    <t>in Rs million</t>
  </si>
  <si>
    <t>Taken</t>
  </si>
  <si>
    <t>As per our calculation value is around Rs 21427.8 and currently it is trading around Rs 18143.95 so ideally one can invest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</si>
</sst>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0.0%"/>
    <numFmt numFmtId="166" formatCode="0.000%"/>
  </numFmts>
  <fonts count="21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  <font>
      <sz val="11"/>
      <color rgb="FFFF9999"/>
      <name val="Calibri"/>
    </font>
    <font>
      <b/>
      <sz val="14"/>
      <color theme="1"/>
      <name val="Calibri"/>
    </font>
    <font>
      <b/>
      <sz val="12"/>
      <color rgb="FF333333"/>
      <name val="Calibri"/>
    </font>
    <font>
      <sz val="12"/>
      <color theme="1"/>
      <name val="Calibri"/>
    </font>
    <font>
      <b/>
      <sz val="14"/>
      <color rgb="FF333333"/>
      <name val="Verdana"/>
    </font>
    <font>
      <b/>
      <sz val="14"/>
      <color rgb="FF333333"/>
      <name val="Arial"/>
    </font>
    <font>
      <b/>
      <sz val="12"/>
      <color rgb="FF181818"/>
      <name val="Arial"/>
    </font>
    <font>
      <sz val="14"/>
      <color rgb="FF333333"/>
      <name val="Arial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9999"/>
        <bgColor rgb="FFFF9999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rgb="FFFF9999"/>
      </patternFill>
    </fill>
    <fill>
      <patternFill patternType="solid">
        <fgColor rgb="FFFFC000"/>
        <bgColor theme="7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D1D1D1"/>
      </top>
      <bottom style="medium">
        <color rgb="FFE0E0E0"/>
      </bottom>
      <diagonal/>
    </border>
    <border>
      <left style="medium">
        <color rgb="FFDDDDDD"/>
      </left>
      <right/>
      <top/>
      <bottom style="medium">
        <color rgb="FFEEEEEE"/>
      </bottom>
      <diagonal/>
    </border>
    <border>
      <left/>
      <right/>
      <top style="medium">
        <color rgb="FFD1D1D1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2" fontId="3" fillId="3" borderId="1" xfId="0" applyNumberFormat="1" applyFont="1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3" fillId="3" borderId="1" xfId="0" applyFont="1" applyFill="1" applyBorder="1"/>
    <xf numFmtId="2" fontId="3" fillId="3" borderId="2" xfId="0" applyNumberFormat="1" applyFont="1" applyFill="1" applyBorder="1"/>
    <xf numFmtId="4" fontId="3" fillId="3" borderId="2" xfId="0" applyNumberFormat="1" applyFont="1" applyFill="1" applyBorder="1"/>
    <xf numFmtId="164" fontId="3" fillId="3" borderId="1" xfId="0" applyNumberFormat="1" applyFont="1" applyFill="1" applyBorder="1"/>
    <xf numFmtId="0" fontId="3" fillId="4" borderId="1" xfId="0" applyFont="1" applyFill="1" applyBorder="1"/>
    <xf numFmtId="0" fontId="2" fillId="4" borderId="1" xfId="0" applyFont="1" applyFill="1" applyBorder="1"/>
    <xf numFmtId="2" fontId="3" fillId="4" borderId="1" xfId="0" applyNumberFormat="1" applyFont="1" applyFill="1" applyBorder="1"/>
    <xf numFmtId="2" fontId="2" fillId="4" borderId="1" xfId="0" applyNumberFormat="1" applyFont="1" applyFill="1" applyBorder="1"/>
    <xf numFmtId="0" fontId="4" fillId="5" borderId="1" xfId="0" applyFont="1" applyFill="1" applyBorder="1"/>
    <xf numFmtId="0" fontId="2" fillId="5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3" fontId="1" fillId="3" borderId="1" xfId="0" applyNumberFormat="1" applyFont="1" applyFill="1" applyBorder="1"/>
    <xf numFmtId="3" fontId="3" fillId="3" borderId="1" xfId="0" applyNumberFormat="1" applyFont="1" applyFill="1" applyBorder="1"/>
    <xf numFmtId="4" fontId="1" fillId="3" borderId="1" xfId="0" applyNumberFormat="1" applyFont="1" applyFill="1" applyBorder="1"/>
    <xf numFmtId="0" fontId="2" fillId="6" borderId="1" xfId="0" applyFont="1" applyFill="1" applyBorder="1"/>
    <xf numFmtId="0" fontId="6" fillId="3" borderId="1" xfId="0" applyFont="1" applyFill="1" applyBorder="1"/>
    <xf numFmtId="10" fontId="1" fillId="3" borderId="1" xfId="0" applyNumberFormat="1" applyFont="1" applyFill="1" applyBorder="1"/>
    <xf numFmtId="0" fontId="2" fillId="0" borderId="0" xfId="0" applyFont="1"/>
    <xf numFmtId="0" fontId="6" fillId="0" borderId="0" xfId="0" applyFont="1"/>
    <xf numFmtId="10" fontId="6" fillId="0" borderId="0" xfId="0" applyNumberFormat="1" applyFont="1"/>
    <xf numFmtId="10" fontId="2" fillId="0" borderId="0" xfId="0" applyNumberFormat="1" applyFont="1"/>
    <xf numFmtId="4" fontId="1" fillId="3" borderId="3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7" fillId="3" borderId="1" xfId="0" applyFont="1" applyFill="1" applyBorder="1"/>
    <xf numFmtId="2" fontId="1" fillId="3" borderId="1" xfId="0" applyNumberFormat="1" applyFont="1" applyFill="1" applyBorder="1"/>
    <xf numFmtId="4" fontId="7" fillId="3" borderId="1" xfId="0" applyNumberFormat="1" applyFont="1" applyFill="1" applyBorder="1"/>
    <xf numFmtId="4" fontId="7" fillId="3" borderId="4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9" fillId="0" borderId="0" xfId="0" applyFont="1"/>
    <xf numFmtId="4" fontId="1" fillId="3" borderId="4" xfId="0" applyNumberFormat="1" applyFont="1" applyFill="1" applyBorder="1" applyAlignment="1">
      <alignment horizontal="right" vertical="top" wrapText="1"/>
    </xf>
    <xf numFmtId="4" fontId="10" fillId="7" borderId="1" xfId="0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0" applyNumberFormat="1" applyFont="1"/>
    <xf numFmtId="4" fontId="2" fillId="0" borderId="0" xfId="0" applyNumberFormat="1" applyFont="1"/>
    <xf numFmtId="4" fontId="1" fillId="3" borderId="5" xfId="0" applyNumberFormat="1" applyFont="1" applyFill="1" applyBorder="1" applyAlignment="1">
      <alignment horizontal="right" vertical="center" wrapText="1"/>
    </xf>
    <xf numFmtId="165" fontId="1" fillId="3" borderId="1" xfId="0" applyNumberFormat="1" applyFont="1" applyFill="1" applyBorder="1"/>
    <xf numFmtId="0" fontId="4" fillId="6" borderId="1" xfId="0" applyFont="1" applyFill="1" applyBorder="1"/>
    <xf numFmtId="165" fontId="6" fillId="0" borderId="0" xfId="0" applyNumberFormat="1" applyFont="1"/>
    <xf numFmtId="165" fontId="2" fillId="0" borderId="0" xfId="0" applyNumberFormat="1" applyFont="1"/>
    <xf numFmtId="0" fontId="11" fillId="3" borderId="1" xfId="0" applyFont="1" applyFill="1" applyBorder="1"/>
    <xf numFmtId="166" fontId="3" fillId="6" borderId="1" xfId="0" applyNumberFormat="1" applyFont="1" applyFill="1" applyBorder="1"/>
    <xf numFmtId="4" fontId="12" fillId="3" borderId="6" xfId="0" applyNumberFormat="1" applyFont="1" applyFill="1" applyBorder="1" applyAlignment="1">
      <alignment horizontal="right" vertical="top" wrapText="1"/>
    </xf>
    <xf numFmtId="2" fontId="7" fillId="3" borderId="2" xfId="0" applyNumberFormat="1" applyFont="1" applyFill="1" applyBorder="1"/>
    <xf numFmtId="2" fontId="1" fillId="3" borderId="2" xfId="0" applyNumberFormat="1" applyFont="1" applyFill="1" applyBorder="1"/>
    <xf numFmtId="0" fontId="3" fillId="5" borderId="1" xfId="0" applyFont="1" applyFill="1" applyBorder="1"/>
    <xf numFmtId="2" fontId="2" fillId="3" borderId="1" xfId="0" applyNumberFormat="1" applyFont="1" applyFill="1" applyBorder="1"/>
    <xf numFmtId="0" fontId="1" fillId="3" borderId="2" xfId="0" applyFont="1" applyFill="1" applyBorder="1"/>
    <xf numFmtId="0" fontId="8" fillId="3" borderId="1" xfId="0" applyFont="1" applyFill="1" applyBorder="1"/>
    <xf numFmtId="0" fontId="2" fillId="0" borderId="7" xfId="0" applyFont="1" applyBorder="1"/>
    <xf numFmtId="1" fontId="1" fillId="3" borderId="1" xfId="0" applyNumberFormat="1" applyFont="1" applyFill="1" applyBorder="1"/>
    <xf numFmtId="0" fontId="1" fillId="5" borderId="2" xfId="0" applyFont="1" applyFill="1" applyBorder="1"/>
    <xf numFmtId="0" fontId="1" fillId="5" borderId="8" xfId="0" applyFont="1" applyFill="1" applyBorder="1"/>
    <xf numFmtId="9" fontId="1" fillId="3" borderId="1" xfId="0" applyNumberFormat="1" applyFont="1" applyFill="1" applyBorder="1"/>
    <xf numFmtId="0" fontId="1" fillId="5" borderId="1" xfId="0" applyFont="1" applyFill="1" applyBorder="1"/>
    <xf numFmtId="0" fontId="1" fillId="0" borderId="0" xfId="0" applyFont="1"/>
    <xf numFmtId="14" fontId="3" fillId="3" borderId="1" xfId="0" applyNumberFormat="1" applyFont="1" applyFill="1" applyBorder="1"/>
    <xf numFmtId="10" fontId="3" fillId="3" borderId="1" xfId="0" applyNumberFormat="1" applyFont="1" applyFill="1" applyBorder="1"/>
    <xf numFmtId="0" fontId="2" fillId="8" borderId="1" xfId="0" applyFont="1" applyFill="1" applyBorder="1"/>
    <xf numFmtId="0" fontId="13" fillId="8" borderId="1" xfId="0" applyFont="1" applyFill="1" applyBorder="1"/>
    <xf numFmtId="10" fontId="8" fillId="3" borderId="1" xfId="0" applyNumberFormat="1" applyFont="1" applyFill="1" applyBorder="1"/>
    <xf numFmtId="10" fontId="2" fillId="3" borderId="1" xfId="0" applyNumberFormat="1" applyFont="1" applyFill="1" applyBorder="1"/>
    <xf numFmtId="10" fontId="8" fillId="3" borderId="2" xfId="0" applyNumberFormat="1" applyFont="1" applyFill="1" applyBorder="1"/>
    <xf numFmtId="10" fontId="3" fillId="3" borderId="2" xfId="0" applyNumberFormat="1" applyFont="1" applyFill="1" applyBorder="1"/>
    <xf numFmtId="0" fontId="14" fillId="8" borderId="1" xfId="0" applyFont="1" applyFill="1" applyBorder="1"/>
    <xf numFmtId="43" fontId="1" fillId="3" borderId="1" xfId="0" applyNumberFormat="1" applyFont="1" applyFill="1" applyBorder="1"/>
    <xf numFmtId="10" fontId="1" fillId="3" borderId="2" xfId="0" applyNumberFormat="1" applyFont="1" applyFill="1" applyBorder="1"/>
    <xf numFmtId="166" fontId="3" fillId="3" borderId="1" xfId="0" applyNumberFormat="1" applyFont="1" applyFill="1" applyBorder="1"/>
    <xf numFmtId="166" fontId="2" fillId="3" borderId="1" xfId="0" applyNumberFormat="1" applyFont="1" applyFill="1" applyBorder="1"/>
    <xf numFmtId="4" fontId="3" fillId="3" borderId="1" xfId="0" applyNumberFormat="1" applyFont="1" applyFill="1" applyBorder="1"/>
    <xf numFmtId="0" fontId="2" fillId="9" borderId="1" xfId="0" applyFont="1" applyFill="1" applyBorder="1"/>
    <xf numFmtId="0" fontId="3" fillId="9" borderId="1" xfId="0" applyFont="1" applyFill="1" applyBorder="1"/>
    <xf numFmtId="0" fontId="5" fillId="9" borderId="1" xfId="0" applyFont="1" applyFill="1" applyBorder="1"/>
    <xf numFmtId="0" fontId="2" fillId="0" borderId="1" xfId="0" applyFont="1" applyBorder="1"/>
    <xf numFmtId="0" fontId="16" fillId="9" borderId="1" xfId="0" applyFont="1" applyFill="1" applyBorder="1"/>
    <xf numFmtId="0" fontId="17" fillId="3" borderId="1" xfId="0" applyFont="1" applyFill="1" applyBorder="1"/>
    <xf numFmtId="0" fontId="18" fillId="2" borderId="1" xfId="0" applyFont="1" applyFill="1" applyBorder="1"/>
    <xf numFmtId="0" fontId="17" fillId="3" borderId="2" xfId="0" applyFont="1" applyFill="1" applyBorder="1"/>
    <xf numFmtId="0" fontId="1" fillId="3" borderId="9" xfId="0" applyFont="1" applyFill="1" applyBorder="1"/>
    <xf numFmtId="0" fontId="18" fillId="3" borderId="1" xfId="0" applyFont="1" applyFill="1" applyBorder="1"/>
    <xf numFmtId="0" fontId="1" fillId="9" borderId="1" xfId="0" applyFont="1" applyFill="1" applyBorder="1"/>
    <xf numFmtId="0" fontId="19" fillId="2" borderId="1" xfId="0" applyFont="1" applyFill="1" applyBorder="1"/>
    <xf numFmtId="0" fontId="15" fillId="0" borderId="0" xfId="0" applyFont="1"/>
    <xf numFmtId="0" fontId="19" fillId="3" borderId="1" xfId="0" applyFont="1" applyFill="1" applyBorder="1"/>
    <xf numFmtId="0" fontId="20" fillId="3" borderId="1" xfId="0" applyFont="1" applyFill="1" applyBorder="1"/>
    <xf numFmtId="0" fontId="19" fillId="10" borderId="1" xfId="0" applyFont="1" applyFill="1" applyBorder="1"/>
    <xf numFmtId="0" fontId="2" fillId="10" borderId="1" xfId="0" applyFont="1" applyFill="1" applyBorder="1"/>
    <xf numFmtId="0" fontId="0" fillId="11" borderId="0" xfId="0" applyFill="1"/>
    <xf numFmtId="10" fontId="1" fillId="10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10" fontId="3" fillId="10" borderId="1" xfId="0" applyNumberFormat="1" applyFont="1" applyFill="1" applyBorder="1"/>
    <xf numFmtId="10" fontId="8" fillId="10" borderId="1" xfId="0" applyNumberFormat="1" applyFont="1" applyFill="1" applyBorder="1"/>
    <xf numFmtId="0" fontId="3" fillId="10" borderId="1" xfId="0" applyFont="1" applyFill="1" applyBorder="1"/>
    <xf numFmtId="0" fontId="1" fillId="0" borderId="1" xfId="0" applyFont="1" applyBorder="1"/>
    <xf numFmtId="0" fontId="0" fillId="12" borderId="0" xfId="0" applyFill="1"/>
    <xf numFmtId="0" fontId="3" fillId="0" borderId="1" xfId="0" applyFont="1" applyBorder="1"/>
    <xf numFmtId="3" fontId="2" fillId="3" borderId="1" xfId="0" applyNumberFormat="1" applyFont="1" applyFill="1" applyBorder="1"/>
    <xf numFmtId="0" fontId="2" fillId="3" borderId="9" xfId="0" applyFont="1" applyFill="1" applyBorder="1"/>
    <xf numFmtId="3" fontId="2" fillId="3" borderId="9" xfId="0" applyNumberFormat="1" applyFont="1" applyFill="1" applyBorder="1"/>
    <xf numFmtId="0" fontId="19" fillId="5" borderId="1" xfId="0" applyFont="1" applyFill="1" applyBorder="1"/>
    <xf numFmtId="4" fontId="1" fillId="3" borderId="9" xfId="0" applyNumberFormat="1" applyFont="1" applyFill="1" applyBorder="1"/>
    <xf numFmtId="2" fontId="2" fillId="11" borderId="0" xfId="0" applyNumberFormat="1" applyFont="1" applyFill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164" fontId="0" fillId="0" borderId="0" xfId="0" applyNumberFormat="1"/>
    <xf numFmtId="164" fontId="1" fillId="3" borderId="9" xfId="0" applyNumberFormat="1" applyFont="1" applyFill="1" applyBorder="1"/>
    <xf numFmtId="164" fontId="2" fillId="0" borderId="7" xfId="0" applyNumberFormat="1" applyFont="1" applyBorder="1"/>
    <xf numFmtId="2" fontId="19" fillId="3" borderId="1" xfId="0" applyNumberFormat="1" applyFont="1" applyFill="1" applyBorder="1"/>
    <xf numFmtId="0" fontId="2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3</xdr:row>
      <xdr:rowOff>53340</xdr:rowOff>
    </xdr:from>
    <xdr:to>
      <xdr:col>16</xdr:col>
      <xdr:colOff>304800</xdr:colOff>
      <xdr:row>6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0398AA-55E1-7AB1-0DFF-9C4C4D5A91C1}"/>
            </a:ext>
          </a:extLst>
        </xdr:cNvPr>
        <xdr:cNvSpPr txBox="1"/>
      </xdr:nvSpPr>
      <xdr:spPr>
        <a:xfrm>
          <a:off x="11018520" y="579120"/>
          <a:ext cx="4762500" cy="6096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Company was growing around 10% pre covid and there was decline in gdp and company growth rate in covid times, so it is assumed that company will showly achieve its long term 10% growth rate by 2025</a:t>
          </a:r>
        </a:p>
      </xdr:txBody>
    </xdr:sp>
    <xdr:clientData/>
  </xdr:twoCellAnchor>
  <xdr:twoCellAnchor>
    <xdr:from>
      <xdr:col>0</xdr:col>
      <xdr:colOff>297180</xdr:colOff>
      <xdr:row>26</xdr:row>
      <xdr:rowOff>137160</xdr:rowOff>
    </xdr:from>
    <xdr:to>
      <xdr:col>1</xdr:col>
      <xdr:colOff>45720</xdr:colOff>
      <xdr:row>29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0A026B-885C-6A9A-A59E-C737566A5C47}"/>
            </a:ext>
          </a:extLst>
        </xdr:cNvPr>
        <xdr:cNvSpPr txBox="1"/>
      </xdr:nvSpPr>
      <xdr:spPr>
        <a:xfrm>
          <a:off x="297180" y="4777740"/>
          <a:ext cx="2606040" cy="46482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Amortization charged on intangible</a:t>
          </a:r>
          <a:r>
            <a:rPr lang="en-IN" sz="1100" b="1" baseline="0"/>
            <a:t> asset</a:t>
          </a:r>
        </a:p>
        <a:p>
          <a:r>
            <a:rPr lang="en-IN" sz="1100" b="1" baseline="0"/>
            <a:t>Depriciation charged on fixed asset</a:t>
          </a:r>
        </a:p>
        <a:p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6" workbookViewId="0">
      <selection activeCell="C20" sqref="C20"/>
    </sheetView>
  </sheetViews>
  <sheetFormatPr defaultColWidth="12.59765625" defaultRowHeight="15" customHeight="1" x14ac:dyDescent="0.25"/>
  <cols>
    <col min="1" max="1" width="30.09765625" customWidth="1"/>
    <col min="2" max="2" width="14.3984375" customWidth="1"/>
    <col min="3" max="3" width="10.09765625" customWidth="1"/>
    <col min="4" max="4" width="9.09765625" customWidth="1"/>
    <col min="5" max="5" width="13.3984375" customWidth="1"/>
    <col min="6" max="6" width="12.19921875" customWidth="1"/>
    <col min="7" max="7" width="12.09765625" customWidth="1"/>
    <col min="8" max="8" width="8.69921875" customWidth="1"/>
    <col min="9" max="26" width="7.59765625" customWidth="1"/>
  </cols>
  <sheetData>
    <row r="1" spans="1:8" ht="14.25" customHeight="1" x14ac:dyDescent="0.3">
      <c r="A1" s="1"/>
      <c r="B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</row>
    <row r="2" spans="1:8" ht="14.25" customHeight="1" x14ac:dyDescent="0.3">
      <c r="A2" s="1"/>
      <c r="B2" s="1"/>
      <c r="C2" s="1"/>
      <c r="D2" s="1">
        <v>2021</v>
      </c>
      <c r="E2" s="1">
        <v>2022</v>
      </c>
      <c r="F2" s="1">
        <v>2023</v>
      </c>
      <c r="G2" s="1">
        <v>2024</v>
      </c>
      <c r="H2" s="1">
        <v>2025</v>
      </c>
    </row>
    <row r="3" spans="1:8" ht="14.25" customHeight="1" x14ac:dyDescent="0.3">
      <c r="A3" s="2" t="s">
        <v>0</v>
      </c>
      <c r="B3" s="2"/>
      <c r="C3" s="2"/>
      <c r="D3" s="3">
        <f>'income statement'!F16</f>
        <v>29810.062101469226</v>
      </c>
      <c r="E3" s="3">
        <f>'income statement'!G16</f>
        <v>32449.750822614609</v>
      </c>
      <c r="F3" s="3">
        <f>'income statement'!H16</f>
        <v>35447.031744163927</v>
      </c>
      <c r="G3" s="3">
        <f>'income statement'!I16</f>
        <v>38856.448474847624</v>
      </c>
      <c r="H3" s="3">
        <f>'income statement'!J16</f>
        <v>42742.093322332388</v>
      </c>
    </row>
    <row r="4" spans="1:8" ht="14.25" customHeight="1" x14ac:dyDescent="0.3">
      <c r="A4" s="4" t="s">
        <v>1</v>
      </c>
      <c r="B4" s="5"/>
      <c r="C4" s="5"/>
      <c r="D4" s="5">
        <f>-'income statement'!F21*'SHEET DICOUNTED CASH FLOW'!D3</f>
        <v>-7980.911564619737</v>
      </c>
      <c r="E4" s="5">
        <f>-'income statement'!G21*'SHEET DICOUNTED CASH FLOW'!E3</f>
        <v>-8949.4488249901151</v>
      </c>
      <c r="F4" s="5">
        <f>-'income statement'!H21*'SHEET DICOUNTED CASH FLOW'!F3</f>
        <v>-10062.090592403651</v>
      </c>
      <c r="G4" s="5">
        <f>-'income statement'!I21*'SHEET DICOUNTED CASH FLOW'!G3</f>
        <v>-11343.415708586119</v>
      </c>
      <c r="H4" s="5">
        <f>-'income statement'!J21*'SHEET DICOUNTED CASH FLOW'!H3</f>
        <v>-12822.627996699715</v>
      </c>
    </row>
    <row r="5" spans="1:8" ht="14.25" customHeight="1" x14ac:dyDescent="0.3">
      <c r="A5" s="6" t="s">
        <v>2</v>
      </c>
      <c r="B5" s="6"/>
      <c r="C5" s="6"/>
      <c r="D5" s="3">
        <f t="shared" ref="D5:H5" si="0">SUM(D3:D4)</f>
        <v>21829.150536849491</v>
      </c>
      <c r="E5" s="3">
        <f t="shared" si="0"/>
        <v>23500.301997624494</v>
      </c>
      <c r="F5" s="3">
        <f t="shared" si="0"/>
        <v>25384.941151760278</v>
      </c>
      <c r="G5" s="3">
        <f t="shared" si="0"/>
        <v>27513.032766261505</v>
      </c>
      <c r="H5" s="3">
        <f t="shared" si="0"/>
        <v>29919.465325632671</v>
      </c>
    </row>
    <row r="6" spans="1:8" ht="14.25" customHeight="1" x14ac:dyDescent="0.3">
      <c r="A6" s="2" t="s">
        <v>3</v>
      </c>
      <c r="B6" s="6"/>
      <c r="C6" s="6"/>
      <c r="D6" s="3">
        <f>'income statement'!F12</f>
        <v>3280.1236831511983</v>
      </c>
      <c r="E6" s="6">
        <f>'income statement'!G12</f>
        <v>4887.49</v>
      </c>
      <c r="F6" s="6">
        <f>'income statement'!H12</f>
        <v>5510.45</v>
      </c>
      <c r="G6" s="6">
        <f>'income statement'!I12</f>
        <v>6001.52</v>
      </c>
      <c r="H6" s="6">
        <f>'income statement'!J12</f>
        <v>6452.44</v>
      </c>
    </row>
    <row r="7" spans="1:8" ht="14.25" customHeight="1" x14ac:dyDescent="0.3">
      <c r="A7" s="2" t="s">
        <v>4</v>
      </c>
      <c r="B7" s="2"/>
      <c r="C7" s="2"/>
      <c r="D7" s="3">
        <f>'working capital schedule'!F16</f>
        <v>1656.7962632676281</v>
      </c>
      <c r="E7" s="3">
        <f>'working capital schedule'!G16</f>
        <v>894.35932819113441</v>
      </c>
      <c r="F7" s="3">
        <f>'working capital schedule'!H16</f>
        <v>690.84038189050261</v>
      </c>
      <c r="G7" s="3">
        <f>'working capital schedule'!I16</f>
        <v>761.17622875937013</v>
      </c>
      <c r="H7" s="3">
        <f>'working capital schedule'!J16</f>
        <v>363.07454407384284</v>
      </c>
    </row>
    <row r="8" spans="1:8" ht="14.25" customHeight="1" x14ac:dyDescent="0.3">
      <c r="A8" s="4" t="s">
        <v>5</v>
      </c>
      <c r="B8" s="5"/>
      <c r="C8" s="5"/>
      <c r="D8" s="7">
        <f>-'fixed asset schedule'!G5</f>
        <v>-4347.2125616021331</v>
      </c>
      <c r="E8" s="8">
        <f>-'fixed asset schedule'!H5</f>
        <v>-5407.7395795400189</v>
      </c>
      <c r="F8" s="8">
        <f>-'fixed asset schedule'!I5</f>
        <v>-5986.4183236880272</v>
      </c>
      <c r="G8" s="8">
        <f>-'fixed asset schedule'!J5</f>
        <v>-6648.4071098562417</v>
      </c>
      <c r="H8" s="8">
        <f>-'fixed asset schedule'!K5</f>
        <v>-7407.403943785117</v>
      </c>
    </row>
    <row r="9" spans="1:8" ht="14.25" customHeight="1" x14ac:dyDescent="0.3">
      <c r="A9" s="6" t="s">
        <v>6</v>
      </c>
      <c r="B9" s="6"/>
      <c r="C9" s="6"/>
      <c r="D9" s="3">
        <f t="shared" ref="D9:H9" si="1">SUM(D5:D8)</f>
        <v>22418.857921666186</v>
      </c>
      <c r="E9" s="3">
        <f t="shared" si="1"/>
        <v>23874.411746275611</v>
      </c>
      <c r="F9" s="3">
        <f t="shared" si="1"/>
        <v>25599.813209962755</v>
      </c>
      <c r="G9" s="3">
        <f t="shared" si="1"/>
        <v>27627.321885164638</v>
      </c>
      <c r="H9" s="3">
        <f t="shared" si="1"/>
        <v>29327.575925921396</v>
      </c>
    </row>
    <row r="10" spans="1:8" ht="14.25" customHeight="1" x14ac:dyDescent="0.3">
      <c r="A10" s="2" t="s">
        <v>7</v>
      </c>
      <c r="B10" s="2"/>
      <c r="C10" s="2"/>
      <c r="D10" s="3">
        <f>1/(1+'discount rates'!$M$16)^('SHEET DICOUNTED CASH FLOW'!D1-0.5)</f>
        <v>0.970868158998207</v>
      </c>
      <c r="E10" s="3">
        <f>1/(1+'discount rates'!$M$16)^('SHEET DICOUNTED CASH FLOW'!E1-0.5)</f>
        <v>0.91512574632570465</v>
      </c>
      <c r="F10" s="3">
        <f>1/(1+'discount rates'!$M$16)^('SHEET DICOUNTED CASH FLOW'!F1-0.5)</f>
        <v>0.86258378527143009</v>
      </c>
      <c r="G10" s="3">
        <f>1/(1+'discount rates'!$M$16)^('SHEET DICOUNTED CASH FLOW'!G1-0.5)</f>
        <v>0.81305852184861549</v>
      </c>
      <c r="H10" s="3">
        <f>1/(1+'discount rates'!$M$16)^('SHEET DICOUNTED CASH FLOW'!H1-0.5)</f>
        <v>0.76637675230892255</v>
      </c>
    </row>
    <row r="11" spans="1:8" ht="14.25" customHeight="1" x14ac:dyDescent="0.25"/>
    <row r="12" spans="1:8" ht="14.25" customHeight="1" x14ac:dyDescent="0.3">
      <c r="A12" s="2" t="s">
        <v>8</v>
      </c>
      <c r="B12" s="2"/>
      <c r="C12" s="3">
        <f>SUMPRODUCT(D9:H9,D10:H10)</f>
        <v>110634.42985132812</v>
      </c>
      <c r="D12" s="2"/>
      <c r="E12" s="2"/>
      <c r="F12" s="2"/>
      <c r="G12" s="2"/>
      <c r="H12" s="2"/>
    </row>
    <row r="13" spans="1:8" ht="14.25" customHeight="1" x14ac:dyDescent="0.25"/>
    <row r="14" spans="1:8" ht="14.25" customHeight="1" x14ac:dyDescent="0.3">
      <c r="A14" s="2" t="s">
        <v>9</v>
      </c>
      <c r="B14" s="2"/>
      <c r="C14" s="2"/>
      <c r="D14" s="2"/>
      <c r="E14" s="2"/>
      <c r="F14" s="2"/>
      <c r="G14" s="2"/>
      <c r="H14" s="2"/>
    </row>
    <row r="15" spans="1:8" ht="14.25" customHeight="1" x14ac:dyDescent="0.3">
      <c r="A15" s="6" t="s">
        <v>10</v>
      </c>
      <c r="B15" s="6"/>
      <c r="C15" s="6">
        <v>53</v>
      </c>
      <c r="D15" s="6" t="s">
        <v>139</v>
      </c>
      <c r="E15" s="6"/>
      <c r="F15" s="6"/>
      <c r="G15" s="6"/>
      <c r="H15" s="6"/>
    </row>
    <row r="16" spans="1:8" ht="14.25" customHeight="1" x14ac:dyDescent="0.3">
      <c r="A16" s="2" t="s">
        <v>11</v>
      </c>
      <c r="B16" s="2"/>
      <c r="C16" s="113">
        <f>H3+H6</f>
        <v>49194.533322332391</v>
      </c>
      <c r="D16" s="2"/>
      <c r="E16" s="2"/>
      <c r="F16" s="2"/>
      <c r="G16" s="2"/>
      <c r="H16" s="3"/>
    </row>
    <row r="17" spans="1:10" ht="14.25" customHeight="1" x14ac:dyDescent="0.3">
      <c r="A17" s="6" t="s">
        <v>12</v>
      </c>
      <c r="B17" s="6"/>
      <c r="C17" s="6">
        <f>C15*C16</f>
        <v>2607310.2660836168</v>
      </c>
      <c r="D17" s="6"/>
      <c r="E17" s="6"/>
      <c r="F17" s="6"/>
      <c r="G17" s="6"/>
      <c r="H17" s="6"/>
    </row>
    <row r="18" spans="1:10" ht="14.25" customHeight="1" x14ac:dyDescent="0.3">
      <c r="A18" s="2" t="s">
        <v>13</v>
      </c>
      <c r="B18" s="2"/>
      <c r="C18" s="6">
        <f>C17/(1+'discount rates'!M16)^'SHEET DICOUNTED CASH FLOW'!H1</f>
        <v>1939971.2544241569</v>
      </c>
      <c r="D18" s="2"/>
      <c r="E18" s="2"/>
      <c r="F18" s="2"/>
      <c r="G18" s="2"/>
      <c r="H18" s="2"/>
    </row>
    <row r="19" spans="1:10" ht="14.25" customHeight="1" x14ac:dyDescent="0.25"/>
    <row r="20" spans="1:10" ht="14.25" customHeight="1" x14ac:dyDescent="0.3">
      <c r="A20" s="6" t="s">
        <v>14</v>
      </c>
      <c r="B20" s="6"/>
      <c r="C20" s="3">
        <f>C18+C12</f>
        <v>2050605.6842754849</v>
      </c>
      <c r="D20" s="6"/>
      <c r="E20" s="6"/>
      <c r="F20" s="6"/>
      <c r="G20" s="6"/>
      <c r="H20" s="6"/>
    </row>
    <row r="21" spans="1:10" ht="14.25" customHeight="1" x14ac:dyDescent="0.3">
      <c r="A21" s="4" t="s">
        <v>15</v>
      </c>
      <c r="B21" s="4"/>
      <c r="C21" s="5">
        <v>17698.7</v>
      </c>
      <c r="D21" s="114" t="s">
        <v>142</v>
      </c>
      <c r="E21" s="4"/>
      <c r="F21" s="4"/>
      <c r="G21" s="4"/>
      <c r="H21" s="4"/>
    </row>
    <row r="22" spans="1:10" ht="14.25" customHeight="1" x14ac:dyDescent="0.3">
      <c r="A22" s="6" t="s">
        <v>16</v>
      </c>
      <c r="B22" s="2"/>
      <c r="C22" s="3">
        <f>C20+C21</f>
        <v>2068304.3842754848</v>
      </c>
      <c r="D22" s="2"/>
      <c r="E22" s="2"/>
      <c r="F22" s="2"/>
      <c r="G22" s="2"/>
      <c r="H22" s="2"/>
    </row>
    <row r="23" spans="1:10" ht="14.25" customHeight="1" x14ac:dyDescent="0.3">
      <c r="A23" s="2" t="s">
        <v>17</v>
      </c>
      <c r="B23" s="2"/>
      <c r="C23" s="3">
        <f>-'discount rates'!G31</f>
        <v>-2078</v>
      </c>
      <c r="D23" s="2"/>
      <c r="E23" s="2"/>
      <c r="F23" s="2"/>
      <c r="G23" s="2"/>
      <c r="H23" s="2"/>
    </row>
    <row r="24" spans="1:10" ht="14.25" customHeight="1" x14ac:dyDescent="0.3">
      <c r="A24" s="4" t="s">
        <v>18</v>
      </c>
      <c r="B24" s="4"/>
      <c r="C24" s="5">
        <v>-250</v>
      </c>
      <c r="D24" s="4"/>
      <c r="E24" s="4"/>
      <c r="F24" s="4"/>
      <c r="G24" s="4"/>
      <c r="H24" s="4"/>
    </row>
    <row r="25" spans="1:10" ht="14.25" customHeight="1" x14ac:dyDescent="0.3">
      <c r="A25" s="6" t="s">
        <v>19</v>
      </c>
      <c r="B25" s="2"/>
      <c r="C25" s="3">
        <f>C22+C23+C24</f>
        <v>2065976.3842754848</v>
      </c>
      <c r="D25" s="2"/>
      <c r="E25" s="2"/>
      <c r="F25" s="2"/>
      <c r="G25" s="2"/>
      <c r="H25" s="2"/>
    </row>
    <row r="26" spans="1:10" ht="14.25" customHeight="1" x14ac:dyDescent="0.3">
      <c r="A26" s="2" t="s">
        <v>20</v>
      </c>
      <c r="B26" s="2"/>
      <c r="C26" s="9">
        <f>'discount rates'!G26</f>
        <v>96.415716000000003</v>
      </c>
      <c r="D26" s="2"/>
      <c r="E26" s="2"/>
      <c r="F26" s="2"/>
      <c r="G26" s="2"/>
      <c r="H26" s="2"/>
    </row>
    <row r="27" spans="1:10" ht="14.25" customHeight="1" x14ac:dyDescent="0.3">
      <c r="A27" s="10" t="s">
        <v>21</v>
      </c>
      <c r="B27" s="11"/>
      <c r="C27" s="12">
        <f>C25/C26</f>
        <v>21427.796940028788</v>
      </c>
      <c r="D27" s="13"/>
      <c r="E27" s="11"/>
      <c r="F27" s="11"/>
      <c r="G27" s="11"/>
      <c r="H27" s="11"/>
    </row>
    <row r="28" spans="1:10" ht="14.25" customHeight="1" x14ac:dyDescent="0.25"/>
    <row r="29" spans="1:10" ht="14.25" customHeight="1" x14ac:dyDescent="0.25"/>
    <row r="30" spans="1:10" ht="14.25" customHeight="1" x14ac:dyDescent="0.3">
      <c r="A30" s="14" t="s">
        <v>143</v>
      </c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activeCell="F16" sqref="F16"/>
    </sheetView>
  </sheetViews>
  <sheetFormatPr defaultColWidth="12.59765625" defaultRowHeight="15" customHeight="1" x14ac:dyDescent="0.25"/>
  <cols>
    <col min="1" max="1" width="37.5" customWidth="1"/>
    <col min="2" max="2" width="11.69921875" customWidth="1"/>
    <col min="3" max="3" width="12.59765625" customWidth="1"/>
    <col min="4" max="4" width="11.3984375" customWidth="1"/>
    <col min="5" max="5" width="8.8984375" bestFit="1" customWidth="1"/>
    <col min="6" max="6" width="10.69921875" customWidth="1"/>
    <col min="7" max="7" width="11" customWidth="1"/>
    <col min="8" max="8" width="12.09765625" customWidth="1"/>
    <col min="9" max="9" width="12" customWidth="1"/>
    <col min="10" max="10" width="12.09765625" customWidth="1"/>
    <col min="11" max="11" width="8.69921875" customWidth="1"/>
    <col min="12" max="12" width="25.3984375" customWidth="1"/>
    <col min="13" max="13" width="11.19921875" customWidth="1"/>
    <col min="14" max="26" width="7.59765625" customWidth="1"/>
  </cols>
  <sheetData>
    <row r="1" spans="1:20" ht="14.25" customHeight="1" x14ac:dyDescent="0.3">
      <c r="A1" s="82" t="s">
        <v>130</v>
      </c>
      <c r="B1" s="16" t="s">
        <v>125</v>
      </c>
      <c r="C1" s="16" t="s">
        <v>22</v>
      </c>
      <c r="D1" s="16" t="s">
        <v>23</v>
      </c>
      <c r="E1" s="17"/>
      <c r="F1" s="76"/>
      <c r="G1" s="76"/>
      <c r="H1" s="77" t="s">
        <v>24</v>
      </c>
      <c r="I1" s="76"/>
      <c r="J1" s="78"/>
      <c r="K1" s="79"/>
      <c r="L1" s="79"/>
      <c r="M1" s="79"/>
    </row>
    <row r="2" spans="1:20" ht="14.25" customHeight="1" x14ac:dyDescent="0.3">
      <c r="A2" s="16"/>
      <c r="B2" s="16">
        <v>2017</v>
      </c>
      <c r="C2" s="16">
        <v>2018</v>
      </c>
      <c r="D2" s="16">
        <v>2019</v>
      </c>
      <c r="E2" s="16">
        <v>2020</v>
      </c>
      <c r="F2" s="77">
        <v>2021</v>
      </c>
      <c r="G2" s="77">
        <v>2022</v>
      </c>
      <c r="H2" s="77">
        <v>2023</v>
      </c>
      <c r="I2" s="77">
        <v>2024</v>
      </c>
      <c r="J2" s="77">
        <v>2025</v>
      </c>
      <c r="K2" s="79"/>
      <c r="L2" s="79"/>
      <c r="M2" s="79"/>
    </row>
    <row r="3" spans="1:20" ht="14.25" customHeight="1" x14ac:dyDescent="0.3">
      <c r="A3" s="6" t="s">
        <v>105</v>
      </c>
      <c r="B3" s="18">
        <v>101351</v>
      </c>
      <c r="C3" s="19">
        <v>112162</v>
      </c>
      <c r="D3" s="18">
        <v>122953</v>
      </c>
      <c r="E3" s="19">
        <v>132902</v>
      </c>
      <c r="F3" s="18">
        <f>E3*(1+F4)</f>
        <v>144163.27536961279</v>
      </c>
      <c r="G3" s="18">
        <f t="shared" ref="G3:J3" si="0">F3*(1+G4)</f>
        <v>156928.97074794571</v>
      </c>
      <c r="H3" s="18">
        <f t="shared" si="0"/>
        <v>171424.00378016822</v>
      </c>
      <c r="I3" s="18">
        <f t="shared" si="0"/>
        <v>187912.15067910051</v>
      </c>
      <c r="J3" s="18">
        <f t="shared" si="0"/>
        <v>206703.36574701057</v>
      </c>
      <c r="K3" s="91" t="s">
        <v>123</v>
      </c>
      <c r="L3" s="92"/>
      <c r="M3" s="93"/>
      <c r="N3" s="93"/>
      <c r="O3" s="93"/>
      <c r="P3" s="93"/>
      <c r="Q3" s="93"/>
      <c r="R3" s="93"/>
      <c r="S3" s="93"/>
      <c r="T3" s="93"/>
    </row>
    <row r="4" spans="1:20" ht="14.25" customHeight="1" x14ac:dyDescent="0.35">
      <c r="A4" s="2" t="s">
        <v>25</v>
      </c>
      <c r="B4" s="22"/>
      <c r="C4" s="23">
        <f t="shared" ref="C4:E4" si="1">C3/B3-1</f>
        <v>0.10666890311886412</v>
      </c>
      <c r="D4" s="23">
        <f t="shared" si="1"/>
        <v>9.6209054760079127E-2</v>
      </c>
      <c r="E4" s="23">
        <f t="shared" si="1"/>
        <v>8.0917098403455068E-2</v>
      </c>
      <c r="F4" s="23">
        <f>E4+$K$4</f>
        <v>8.473367872276405E-2</v>
      </c>
      <c r="G4" s="23">
        <f t="shared" ref="G4:I4" si="2">F4+$K$4</f>
        <v>8.8550259042073032E-2</v>
      </c>
      <c r="H4" s="23">
        <f t="shared" si="2"/>
        <v>9.2366839361382014E-2</v>
      </c>
      <c r="I4" s="23">
        <f t="shared" si="2"/>
        <v>9.6183419680690996E-2</v>
      </c>
      <c r="J4" s="23">
        <v>0.1</v>
      </c>
      <c r="K4" s="94">
        <f>(J4-E4)/5</f>
        <v>3.8165803193089876E-3</v>
      </c>
      <c r="L4" s="92"/>
      <c r="M4" s="93"/>
      <c r="N4" s="93"/>
      <c r="O4" s="93"/>
      <c r="P4" s="93"/>
      <c r="Q4" s="93"/>
      <c r="R4" s="93"/>
      <c r="S4" s="93"/>
      <c r="T4" s="93"/>
    </row>
    <row r="5" spans="1:20" ht="14.25" customHeight="1" x14ac:dyDescent="0.35">
      <c r="A5" s="24"/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1:20" ht="14.25" customHeight="1" x14ac:dyDescent="0.3">
      <c r="A6" s="6" t="s">
        <v>106</v>
      </c>
      <c r="B6" s="28">
        <v>77523.8</v>
      </c>
      <c r="C6" s="28">
        <v>57596.1</v>
      </c>
      <c r="D6" s="28">
        <v>42334</v>
      </c>
      <c r="E6" s="28">
        <v>42334</v>
      </c>
      <c r="F6" s="28">
        <f t="shared" ref="F6:J6" si="3">F3-F7</f>
        <v>62626.836773692004</v>
      </c>
      <c r="G6" s="28">
        <f t="shared" si="3"/>
        <v>68172.45939298805</v>
      </c>
      <c r="H6" s="28">
        <f t="shared" si="3"/>
        <v>74469.333998610513</v>
      </c>
      <c r="I6" s="28">
        <f t="shared" si="3"/>
        <v>81632.04920394042</v>
      </c>
      <c r="J6" s="28">
        <f t="shared" si="3"/>
        <v>89795.254124334475</v>
      </c>
      <c r="K6" s="27"/>
    </row>
    <row r="7" spans="1:20" ht="14.25" customHeight="1" x14ac:dyDescent="0.3">
      <c r="A7" s="6" t="s">
        <v>107</v>
      </c>
      <c r="B7" s="95">
        <v>55378.2</v>
      </c>
      <c r="C7" s="30">
        <v>65356.9</v>
      </c>
      <c r="D7" s="30">
        <v>69828</v>
      </c>
      <c r="E7" s="30">
        <v>75130.899999999994</v>
      </c>
      <c r="F7" s="31">
        <f t="shared" ref="F7:J7" si="4">F8*F3</f>
        <v>81536.438595920787</v>
      </c>
      <c r="G7" s="31">
        <f t="shared" si="4"/>
        <v>88756.511354957664</v>
      </c>
      <c r="H7" s="31">
        <f t="shared" si="4"/>
        <v>96954.669781557706</v>
      </c>
      <c r="I7" s="31">
        <f t="shared" si="4"/>
        <v>106280.10147516009</v>
      </c>
      <c r="J7" s="31">
        <f t="shared" si="4"/>
        <v>116908.11162267609</v>
      </c>
      <c r="K7" s="27"/>
    </row>
    <row r="8" spans="1:20" ht="20.399999999999999" customHeight="1" x14ac:dyDescent="0.3">
      <c r="A8" s="2" t="s">
        <v>26</v>
      </c>
      <c r="B8" s="23">
        <f>B7/B3</f>
        <v>0.54640013418713185</v>
      </c>
      <c r="C8" s="23">
        <f t="shared" ref="C8:E8" si="5">C7/C3</f>
        <v>0.58270091474831054</v>
      </c>
      <c r="D8" s="23">
        <f t="shared" si="5"/>
        <v>0.56792432880856913</v>
      </c>
      <c r="E8" s="23">
        <f t="shared" si="5"/>
        <v>0.56531052956313665</v>
      </c>
      <c r="F8" s="23">
        <f>AVERAGE($B$8:$E$8)</f>
        <v>0.56558397682678696</v>
      </c>
      <c r="G8" s="23">
        <f t="shared" ref="G8:J8" si="6">AVERAGE($B$8:$E$8)</f>
        <v>0.56558397682678696</v>
      </c>
      <c r="H8" s="23">
        <f t="shared" si="6"/>
        <v>0.56558397682678696</v>
      </c>
      <c r="I8" s="23">
        <f t="shared" si="6"/>
        <v>0.56558397682678696</v>
      </c>
      <c r="J8" s="23">
        <f t="shared" si="6"/>
        <v>0.56558397682678696</v>
      </c>
      <c r="K8" s="96" t="s">
        <v>124</v>
      </c>
      <c r="L8" s="97"/>
      <c r="M8" s="98"/>
      <c r="N8" s="93"/>
      <c r="O8" s="93"/>
      <c r="P8" s="93"/>
      <c r="Q8" s="93"/>
    </row>
    <row r="9" spans="1:20" ht="14.25" customHeight="1" x14ac:dyDescent="0.35">
      <c r="A9" s="24"/>
      <c r="B9" s="26"/>
      <c r="C9" s="26"/>
      <c r="D9" s="26"/>
      <c r="E9" s="26"/>
      <c r="F9" s="27"/>
      <c r="G9" s="27"/>
      <c r="H9" s="27"/>
      <c r="I9" s="27"/>
      <c r="J9" s="27"/>
      <c r="K9" s="27"/>
    </row>
    <row r="10" spans="1:20" ht="14.25" customHeight="1" x14ac:dyDescent="0.3">
      <c r="A10" s="6" t="s">
        <v>110</v>
      </c>
      <c r="B10" s="32">
        <v>24811.1</v>
      </c>
      <c r="C10" s="32">
        <v>28565.599999999999</v>
      </c>
      <c r="D10" s="33">
        <v>29360.5</v>
      </c>
      <c r="E10" s="33">
        <v>29597</v>
      </c>
      <c r="F10" s="31">
        <f t="shared" ref="F10:J10" si="7">F7-F16-F12</f>
        <v>48446.252811300357</v>
      </c>
      <c r="G10" s="31">
        <f t="shared" si="7"/>
        <v>51419.270532343056</v>
      </c>
      <c r="H10" s="31">
        <f t="shared" si="7"/>
        <v>55997.188037393782</v>
      </c>
      <c r="I10" s="31">
        <f t="shared" si="7"/>
        <v>61422.13300031246</v>
      </c>
      <c r="J10" s="31">
        <f t="shared" si="7"/>
        <v>67713.57830034371</v>
      </c>
      <c r="K10" s="27"/>
      <c r="M10" s="27"/>
    </row>
    <row r="11" spans="1:20" ht="14.25" customHeight="1" x14ac:dyDescent="0.3">
      <c r="A11" s="34"/>
      <c r="B11" s="35"/>
      <c r="C11" s="35"/>
      <c r="D11" s="35"/>
      <c r="E11" s="35"/>
      <c r="K11" s="27"/>
    </row>
    <row r="12" spans="1:20" ht="14.25" customHeight="1" x14ac:dyDescent="0.3">
      <c r="A12" s="6" t="s">
        <v>109</v>
      </c>
      <c r="B12" s="36">
        <v>3422.5</v>
      </c>
      <c r="C12" s="29">
        <v>3356.7</v>
      </c>
      <c r="D12" s="36">
        <v>3701.5</v>
      </c>
      <c r="E12" s="20">
        <v>3703.8</v>
      </c>
      <c r="F12" s="31">
        <f>F13+F14</f>
        <v>3280.1236831511983</v>
      </c>
      <c r="G12" s="29">
        <v>4887.49</v>
      </c>
      <c r="H12" s="29">
        <v>5510.45</v>
      </c>
      <c r="I12" s="29">
        <v>6001.52</v>
      </c>
      <c r="J12" s="29">
        <v>6452.44</v>
      </c>
      <c r="L12" s="99"/>
    </row>
    <row r="13" spans="1:20" ht="14.25" customHeight="1" x14ac:dyDescent="0.3">
      <c r="A13" s="2" t="s">
        <v>27</v>
      </c>
      <c r="B13" s="18">
        <f t="shared" ref="B13:E13" si="8">B12-B14</f>
        <v>0</v>
      </c>
      <c r="C13" s="18">
        <v>0</v>
      </c>
      <c r="D13" s="18">
        <v>0</v>
      </c>
      <c r="E13" s="18">
        <f t="shared" si="8"/>
        <v>0</v>
      </c>
      <c r="F13" s="29">
        <f>'fixed asset schedule'!G19</f>
        <v>0</v>
      </c>
      <c r="G13" s="29">
        <f>'fixed asset schedule'!H19</f>
        <v>0</v>
      </c>
      <c r="H13" s="29">
        <f>'fixed asset schedule'!I19</f>
        <v>0</v>
      </c>
      <c r="I13" s="29">
        <f>'fixed asset schedule'!J19</f>
        <v>0</v>
      </c>
      <c r="J13" s="29">
        <f>'fixed asset schedule'!K19</f>
        <v>0</v>
      </c>
      <c r="L13" t="s">
        <v>126</v>
      </c>
    </row>
    <row r="14" spans="1:20" ht="14.25" customHeight="1" x14ac:dyDescent="0.3">
      <c r="A14" s="2" t="s">
        <v>28</v>
      </c>
      <c r="B14" s="36">
        <v>3422.5</v>
      </c>
      <c r="C14" s="29">
        <v>3356.7</v>
      </c>
      <c r="D14" s="36">
        <v>3701.5</v>
      </c>
      <c r="E14" s="32">
        <v>3703.8</v>
      </c>
      <c r="F14" s="31">
        <f>'fixed asset schedule'!G7</f>
        <v>3280.1236831511983</v>
      </c>
      <c r="G14" s="31">
        <f>'fixed asset schedule'!H7</f>
        <v>3570.5794849842755</v>
      </c>
      <c r="H14" s="31">
        <f>'fixed asset schedule'!I7</f>
        <v>3900.382626700864</v>
      </c>
      <c r="I14" s="31">
        <f>'fixed asset schedule'!J7</f>
        <v>4275.5347658001092</v>
      </c>
      <c r="J14" s="31">
        <f>'fixed asset schedule'!K7</f>
        <v>4703.0882423801204</v>
      </c>
    </row>
    <row r="15" spans="1:20" ht="14.25" customHeight="1" x14ac:dyDescent="0.3">
      <c r="A15" s="34"/>
      <c r="B15" s="37"/>
      <c r="C15" s="38"/>
      <c r="D15" s="37"/>
      <c r="E15" s="39"/>
      <c r="H15" s="40"/>
    </row>
    <row r="16" spans="1:20" ht="14.25" customHeight="1" x14ac:dyDescent="0.3">
      <c r="A16" s="6" t="s">
        <v>108</v>
      </c>
      <c r="B16" s="20">
        <v>18393</v>
      </c>
      <c r="C16" s="20">
        <v>24289.5</v>
      </c>
      <c r="D16" s="20">
        <v>26734.9</v>
      </c>
      <c r="E16" s="41">
        <v>28127.9</v>
      </c>
      <c r="F16" s="31">
        <f t="shared" ref="F16:J16" si="9">F3*F17</f>
        <v>29810.062101469226</v>
      </c>
      <c r="G16" s="31">
        <f t="shared" si="9"/>
        <v>32449.750822614609</v>
      </c>
      <c r="H16" s="31">
        <f t="shared" si="9"/>
        <v>35447.031744163927</v>
      </c>
      <c r="I16" s="31">
        <f t="shared" si="9"/>
        <v>38856.448474847624</v>
      </c>
      <c r="J16" s="31">
        <f t="shared" si="9"/>
        <v>42742.093322332388</v>
      </c>
    </row>
    <row r="17" spans="1:17" ht="14.25" customHeight="1" x14ac:dyDescent="0.3">
      <c r="A17" s="2" t="s">
        <v>29</v>
      </c>
      <c r="B17" s="42">
        <f>B16/B3</f>
        <v>0.18147822912452763</v>
      </c>
      <c r="C17" s="42">
        <f>C16/C3</f>
        <v>0.21655730104670032</v>
      </c>
      <c r="D17" s="42">
        <f t="shared" ref="D17:E17" si="10">D16/D3</f>
        <v>0.21743999739737949</v>
      </c>
      <c r="E17" s="42">
        <f t="shared" si="10"/>
        <v>0.21164391807497254</v>
      </c>
      <c r="F17" s="42">
        <f>AVERAGE($B$17:$E$17)</f>
        <v>0.20677986141089499</v>
      </c>
      <c r="G17" s="42">
        <f t="shared" ref="G17:J17" si="11">AVERAGE($B$17:$E$17)</f>
        <v>0.20677986141089499</v>
      </c>
      <c r="H17" s="42">
        <f t="shared" si="11"/>
        <v>0.20677986141089499</v>
      </c>
      <c r="I17" s="42">
        <f t="shared" si="11"/>
        <v>0.20677986141089499</v>
      </c>
      <c r="J17" s="42">
        <f t="shared" si="11"/>
        <v>0.20677986141089499</v>
      </c>
      <c r="K17" s="43" t="s">
        <v>30</v>
      </c>
      <c r="L17" s="21"/>
      <c r="M17" s="21"/>
      <c r="N17" s="100"/>
      <c r="O17" s="100"/>
      <c r="P17" s="100"/>
      <c r="Q17" s="100"/>
    </row>
    <row r="18" spans="1:17" ht="14.25" customHeight="1" x14ac:dyDescent="0.35">
      <c r="A18" s="24"/>
      <c r="B18" s="44"/>
      <c r="C18" s="44"/>
      <c r="D18" s="44"/>
      <c r="E18" s="44" t="s">
        <v>93</v>
      </c>
      <c r="F18" s="45"/>
      <c r="G18" s="45"/>
      <c r="H18" s="45"/>
      <c r="I18" s="45"/>
      <c r="J18" s="45"/>
    </row>
    <row r="19" spans="1:17" ht="14.25" customHeight="1" x14ac:dyDescent="0.3">
      <c r="A19" s="6" t="s">
        <v>111</v>
      </c>
      <c r="B19" s="29">
        <v>919</v>
      </c>
      <c r="C19" s="29">
        <v>1119.5</v>
      </c>
      <c r="D19" s="46">
        <v>1198.3</v>
      </c>
      <c r="E19" s="46">
        <v>1641.8</v>
      </c>
      <c r="F19" s="31">
        <f>'debt schedule new'!G8</f>
        <v>1911.8556620661645</v>
      </c>
      <c r="G19" s="31">
        <f>'debt schedule new'!H8</f>
        <v>2159.1753291274686</v>
      </c>
      <c r="H19" s="31">
        <f>'debt schedule new'!I8</f>
        <v>2360.890567874319</v>
      </c>
      <c r="I19" s="31">
        <f>'debt schedule new'!J8</f>
        <v>2522.7250955379773</v>
      </c>
      <c r="J19" s="31">
        <f>'debt schedule new'!K8</f>
        <v>2753.3478446986887</v>
      </c>
      <c r="L19" t="s">
        <v>127</v>
      </c>
    </row>
    <row r="20" spans="1:17" ht="14.25" customHeight="1" x14ac:dyDescent="0.35">
      <c r="A20" s="34"/>
      <c r="B20" s="25"/>
      <c r="C20" s="25"/>
      <c r="D20" s="25"/>
      <c r="E20" s="25"/>
    </row>
    <row r="21" spans="1:17" ht="14.25" customHeight="1" x14ac:dyDescent="0.3">
      <c r="A21" s="6" t="s">
        <v>31</v>
      </c>
      <c r="B21" s="23">
        <f t="shared" ref="B21:E21" si="12">B23/B22</f>
        <v>0.33388245528190075</v>
      </c>
      <c r="C21" s="23">
        <f t="shared" si="12"/>
        <v>0.33842606887749854</v>
      </c>
      <c r="D21" s="23">
        <f t="shared" si="12"/>
        <v>0.26371895911336868</v>
      </c>
      <c r="E21" s="23">
        <f t="shared" si="12"/>
        <v>0.2596567820562502</v>
      </c>
      <c r="F21" s="23">
        <f>E21+K21</f>
        <v>0.26772542564500018</v>
      </c>
      <c r="G21" s="23">
        <f t="shared" ref="G21:I21" si="13">F21+$K$21</f>
        <v>0.27579406923375016</v>
      </c>
      <c r="H21" s="23">
        <f t="shared" si="13"/>
        <v>0.28386271282250014</v>
      </c>
      <c r="I21" s="23">
        <f t="shared" si="13"/>
        <v>0.29193135641125012</v>
      </c>
      <c r="J21" s="23">
        <v>0.3</v>
      </c>
      <c r="K21" s="47">
        <f>(-E21+J21)/5</f>
        <v>8.0686435887499571E-3</v>
      </c>
      <c r="L21" s="93" t="s">
        <v>128</v>
      </c>
      <c r="M21" s="93"/>
      <c r="N21" s="93"/>
      <c r="O21" s="93"/>
      <c r="P21" s="93"/>
      <c r="Q21" s="93"/>
    </row>
    <row r="22" spans="1:17" ht="14.25" customHeight="1" x14ac:dyDescent="0.3">
      <c r="A22" s="6" t="s">
        <v>112</v>
      </c>
      <c r="B22" s="28">
        <v>18393</v>
      </c>
      <c r="C22" s="28">
        <v>24289.5</v>
      </c>
      <c r="D22" s="28">
        <v>26734.9</v>
      </c>
      <c r="E22" s="28">
        <v>28127.9</v>
      </c>
      <c r="F22" s="20">
        <f t="shared" ref="F22:J22" si="14">F16-F19</f>
        <v>27898.20643940306</v>
      </c>
      <c r="G22" s="20">
        <f t="shared" si="14"/>
        <v>30290.57549348714</v>
      </c>
      <c r="H22" s="20">
        <f t="shared" si="14"/>
        <v>33086.14117628961</v>
      </c>
      <c r="I22" s="20">
        <f t="shared" si="14"/>
        <v>36333.723379309646</v>
      </c>
      <c r="J22" s="20">
        <f t="shared" si="14"/>
        <v>39988.745477633696</v>
      </c>
      <c r="K22" s="40"/>
    </row>
    <row r="23" spans="1:17" ht="14.25" customHeight="1" x14ac:dyDescent="0.3">
      <c r="A23" s="6" t="s">
        <v>113</v>
      </c>
      <c r="B23" s="28">
        <v>6141.1</v>
      </c>
      <c r="C23" s="28">
        <v>8220.2000000000007</v>
      </c>
      <c r="D23" s="28">
        <v>7050.5</v>
      </c>
      <c r="E23" s="28">
        <v>7303.6</v>
      </c>
      <c r="F23" s="31">
        <f t="shared" ref="F23:J23" si="15">F22*F21</f>
        <v>7469.0591937212694</v>
      </c>
      <c r="G23" s="31">
        <f t="shared" si="15"/>
        <v>8353.9610747809274</v>
      </c>
      <c r="H23" s="31">
        <f t="shared" si="15"/>
        <v>9391.9217911297947</v>
      </c>
      <c r="I23" s="31">
        <f t="shared" si="15"/>
        <v>10606.953149593015</v>
      </c>
      <c r="J23" s="31">
        <f t="shared" si="15"/>
        <v>11996.623643290108</v>
      </c>
    </row>
    <row r="24" spans="1:17" ht="14.25" customHeight="1" x14ac:dyDescent="0.25"/>
    <row r="25" spans="1:17" ht="14.25" customHeight="1" x14ac:dyDescent="0.3">
      <c r="B25" s="101"/>
      <c r="C25" s="79"/>
      <c r="D25" s="79"/>
      <c r="E25" s="79"/>
      <c r="F25" s="79"/>
      <c r="G25" s="79"/>
    </row>
    <row r="26" spans="1:17" ht="14.25" customHeight="1" x14ac:dyDescent="0.25"/>
    <row r="27" spans="1:17" ht="14.25" customHeight="1" x14ac:dyDescent="0.25"/>
    <row r="28" spans="1:17" ht="14.25" customHeight="1" x14ac:dyDescent="0.25"/>
    <row r="29" spans="1:17" ht="14.25" customHeight="1" x14ac:dyDescent="0.25"/>
    <row r="30" spans="1:17" ht="14.25" customHeight="1" x14ac:dyDescent="0.25"/>
    <row r="31" spans="1:17" ht="14.25" customHeight="1" x14ac:dyDescent="0.25"/>
    <row r="32" spans="1:1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E16" sqref="E16"/>
    </sheetView>
  </sheetViews>
  <sheetFormatPr defaultColWidth="12.59765625" defaultRowHeight="15" customHeight="1" x14ac:dyDescent="0.25"/>
  <cols>
    <col min="1" max="1" width="53" customWidth="1"/>
    <col min="2" max="2" width="11.296875" customWidth="1"/>
    <col min="3" max="3" width="8.19921875" customWidth="1"/>
    <col min="4" max="4" width="9.09765625" customWidth="1"/>
    <col min="5" max="5" width="10.296875" customWidth="1"/>
    <col min="6" max="6" width="14" customWidth="1"/>
    <col min="7" max="7" width="13.69921875" customWidth="1"/>
    <col min="8" max="8" width="12.59765625" customWidth="1"/>
    <col min="9" max="9" width="12.5" customWidth="1"/>
    <col min="10" max="10" width="12.19921875" customWidth="1"/>
    <col min="11" max="11" width="48.59765625" customWidth="1"/>
    <col min="12" max="12" width="15.5" customWidth="1"/>
    <col min="13" max="26" width="7.59765625" customWidth="1"/>
  </cols>
  <sheetData>
    <row r="1" spans="1:10" ht="14.25" customHeight="1" x14ac:dyDescent="0.3">
      <c r="A1" s="82" t="s">
        <v>129</v>
      </c>
      <c r="B1" s="1" t="s">
        <v>47</v>
      </c>
      <c r="C1" s="1"/>
      <c r="D1" s="1"/>
      <c r="E1" s="1"/>
      <c r="F1" s="80"/>
      <c r="G1" s="80" t="s">
        <v>24</v>
      </c>
      <c r="H1" s="80"/>
      <c r="I1" s="80"/>
      <c r="J1" s="80"/>
    </row>
    <row r="2" spans="1:10" ht="14.25" customHeight="1" x14ac:dyDescent="0.3">
      <c r="A2" s="1"/>
      <c r="B2" s="1">
        <v>2017</v>
      </c>
      <c r="C2" s="1">
        <v>2018</v>
      </c>
      <c r="D2" s="1">
        <v>2019</v>
      </c>
      <c r="E2" s="1">
        <v>2020</v>
      </c>
      <c r="F2" s="80">
        <v>2021</v>
      </c>
      <c r="G2" s="80">
        <v>2022</v>
      </c>
      <c r="H2" s="80">
        <v>2023</v>
      </c>
      <c r="I2" s="80">
        <v>2024</v>
      </c>
      <c r="J2" s="80">
        <v>2025</v>
      </c>
    </row>
    <row r="3" spans="1:10" ht="14.25" customHeight="1" x14ac:dyDescent="0.3">
      <c r="A3" s="53" t="s">
        <v>48</v>
      </c>
      <c r="B3" s="4"/>
      <c r="C3" s="4"/>
      <c r="D3" s="4"/>
      <c r="E3" s="4"/>
      <c r="F3" s="4"/>
      <c r="G3" s="4"/>
      <c r="H3" s="4"/>
      <c r="I3" s="4"/>
      <c r="J3" s="4"/>
    </row>
    <row r="4" spans="1:10" ht="14.25" customHeight="1" x14ac:dyDescent="0.3">
      <c r="A4" s="81" t="s">
        <v>115</v>
      </c>
      <c r="B4" s="29">
        <v>889.7</v>
      </c>
      <c r="C4" s="29">
        <v>1245.9000000000001</v>
      </c>
      <c r="D4" s="29">
        <v>1243.3</v>
      </c>
      <c r="E4" s="29">
        <v>1649.3</v>
      </c>
      <c r="F4" s="108">
        <f>'income statement'!F3/(365/F18)</f>
        <v>1528.4310812608935</v>
      </c>
      <c r="G4" s="108">
        <f>'income statement'!G3/(365/G18)</f>
        <v>1663.7740494345014</v>
      </c>
      <c r="H4" s="108">
        <f>'income statement'!H3/(365/H18)</f>
        <v>1817.451599792254</v>
      </c>
      <c r="I4" s="108">
        <f>'income statement'!I3/(365/I18)</f>
        <v>1992.2603097644158</v>
      </c>
      <c r="J4" s="108">
        <f>'income statement'!J3/(365/J18)</f>
        <v>2191.4863407408575</v>
      </c>
    </row>
    <row r="5" spans="1:10" ht="14.25" customHeight="1" x14ac:dyDescent="0.3">
      <c r="A5" s="81" t="s">
        <v>114</v>
      </c>
      <c r="B5" s="20">
        <v>9024.7000000000007</v>
      </c>
      <c r="C5" s="20">
        <v>9655.5</v>
      </c>
      <c r="D5" s="20">
        <v>12830.7</v>
      </c>
      <c r="E5" s="20">
        <v>14164.8</v>
      </c>
      <c r="F5" s="108">
        <f>'income statement'!F6/(365/F19)</f>
        <v>20932.805716138148</v>
      </c>
      <c r="G5" s="108">
        <f>'income statement'!G6/(365/G19)</f>
        <v>22786.411084779567</v>
      </c>
      <c r="H5" s="108">
        <f>'income statement'!H6/(365/H19)</f>
        <v>24891.119857069814</v>
      </c>
      <c r="I5" s="108">
        <f>'income statement'!I6/(365/I19)</f>
        <v>27285.232884604742</v>
      </c>
      <c r="J5" s="108">
        <f>'income statement'!J6/(365/J19)</f>
        <v>30013.75617306522</v>
      </c>
    </row>
    <row r="6" spans="1:10" ht="14.25" customHeight="1" x14ac:dyDescent="0.3">
      <c r="A6" s="83" t="s">
        <v>116</v>
      </c>
      <c r="B6" s="50">
        <v>169.6</v>
      </c>
      <c r="C6" s="50">
        <v>223.9</v>
      </c>
      <c r="D6" s="50">
        <v>260.2</v>
      </c>
      <c r="E6" s="50">
        <v>386.8</v>
      </c>
      <c r="F6" s="109">
        <f>F20*'income statement'!F3</f>
        <v>313.42116811784666</v>
      </c>
      <c r="G6" s="109">
        <f>G20*'income statement'!G3</f>
        <v>341.17469374395108</v>
      </c>
      <c r="H6" s="109">
        <f>H20*'income statement'!H3</f>
        <v>372.68792187516732</v>
      </c>
      <c r="I6" s="109">
        <f>I20*'income statement'!I3</f>
        <v>408.53432067481111</v>
      </c>
      <c r="J6" s="109">
        <f>J20*'income statement'!J3</f>
        <v>449.38775274229226</v>
      </c>
    </row>
    <row r="7" spans="1:10" ht="14.25" customHeight="1" x14ac:dyDescent="0.3">
      <c r="A7" s="29" t="s">
        <v>49</v>
      </c>
      <c r="B7" s="29">
        <f t="shared" ref="B7:J7" si="0">SUM(B4:B6)</f>
        <v>10084.000000000002</v>
      </c>
      <c r="C7" s="29">
        <f t="shared" si="0"/>
        <v>11125.3</v>
      </c>
      <c r="D7" s="29">
        <f t="shared" si="0"/>
        <v>14334.2</v>
      </c>
      <c r="E7" s="29">
        <f t="shared" si="0"/>
        <v>16200.899999999998</v>
      </c>
      <c r="F7" s="108">
        <f t="shared" si="0"/>
        <v>22774.657965516886</v>
      </c>
      <c r="G7" s="108">
        <f t="shared" si="0"/>
        <v>24791.359827958018</v>
      </c>
      <c r="H7" s="108">
        <f t="shared" si="0"/>
        <v>27081.259378737235</v>
      </c>
      <c r="I7" s="108">
        <f t="shared" si="0"/>
        <v>29686.02751504397</v>
      </c>
      <c r="J7" s="108">
        <f t="shared" si="0"/>
        <v>32654.630266548371</v>
      </c>
    </row>
    <row r="8" spans="1:10" ht="14.25" customHeight="1" x14ac:dyDescent="0.25">
      <c r="F8" s="110"/>
      <c r="G8" s="110"/>
      <c r="H8" s="110"/>
      <c r="I8" s="110"/>
      <c r="J8" s="110"/>
    </row>
    <row r="9" spans="1:10" ht="14.25" customHeight="1" x14ac:dyDescent="0.3">
      <c r="A9" s="84" t="s">
        <v>50</v>
      </c>
      <c r="B9" s="84"/>
      <c r="C9" s="84"/>
      <c r="D9" s="84"/>
      <c r="E9" s="84"/>
      <c r="F9" s="111"/>
      <c r="G9" s="111"/>
      <c r="H9" s="111"/>
      <c r="I9" s="111"/>
      <c r="J9" s="111"/>
    </row>
    <row r="10" spans="1:10" ht="14.25" customHeight="1" x14ac:dyDescent="0.3">
      <c r="A10" s="81" t="s">
        <v>117</v>
      </c>
      <c r="B10" s="29">
        <v>9846.4</v>
      </c>
      <c r="C10" s="29">
        <v>12403.7</v>
      </c>
      <c r="D10" s="29">
        <v>16265.8</v>
      </c>
      <c r="E10" s="29">
        <v>18559</v>
      </c>
      <c r="F10" s="108">
        <f>'income statement'!F6/(365/F21)</f>
        <v>25737.056208366579</v>
      </c>
      <c r="G10" s="108">
        <f>'income statement'!G6/(365/G21)</f>
        <v>26148.340589091305</v>
      </c>
      <c r="H10" s="108">
        <f>'income statement'!H6/(365/H21)</f>
        <v>26523.32443786128</v>
      </c>
      <c r="I10" s="108">
        <f>'income statement'!I6/(365/I21)</f>
        <v>26837.933984857125</v>
      </c>
      <c r="J10" s="108">
        <f>'income statement'!J6/(365/J21)</f>
        <v>27061.583434730936</v>
      </c>
    </row>
    <row r="11" spans="1:10" ht="14.25" customHeight="1" x14ac:dyDescent="0.3">
      <c r="A11" s="81" t="s">
        <v>118</v>
      </c>
      <c r="B11" s="29">
        <v>9856</v>
      </c>
      <c r="C11" s="29">
        <v>12405</v>
      </c>
      <c r="D11" s="29">
        <f>14916+19</f>
        <v>14935</v>
      </c>
      <c r="E11" s="29">
        <f>15167+98</f>
        <v>15265</v>
      </c>
      <c r="F11" s="108">
        <f>F22*'income statement'!F23</f>
        <v>15716.225018242383</v>
      </c>
      <c r="G11" s="108">
        <f>G22*'income statement'!G23</f>
        <v>17578.215494029544</v>
      </c>
      <c r="H11" s="108">
        <f>H22*'income statement'!H23</f>
        <v>19762.268900909483</v>
      </c>
      <c r="I11" s="108">
        <f>I22*'income statement'!I23</f>
        <v>22318.910338412235</v>
      </c>
      <c r="J11" s="108">
        <f>J22*'income statement'!J23</f>
        <v>25243.023484886588</v>
      </c>
    </row>
    <row r="12" spans="1:10" ht="14.25" customHeight="1" x14ac:dyDescent="0.3">
      <c r="A12" s="83" t="s">
        <v>119</v>
      </c>
      <c r="B12" s="53">
        <v>1677</v>
      </c>
      <c r="C12" s="53">
        <v>1872</v>
      </c>
      <c r="D12" s="53">
        <v>2179</v>
      </c>
      <c r="E12" s="53">
        <v>2747</v>
      </c>
      <c r="F12" s="109">
        <f>F23*'income statement'!F10</f>
        <v>3348.2730021755565</v>
      </c>
      <c r="G12" s="109">
        <f>G23*'income statement'!G10</f>
        <v>3986.0593362959307</v>
      </c>
      <c r="H12" s="109">
        <f>H23*'income statement'!H10</f>
        <v>4407.7620133157398</v>
      </c>
      <c r="I12" s="109">
        <f>I23*'income statement'!I10</f>
        <v>4902.455393883246</v>
      </c>
      <c r="J12" s="109">
        <f>J23*'income statement'!J10</f>
        <v>5086.3700931133262</v>
      </c>
    </row>
    <row r="13" spans="1:10" ht="14.25" customHeight="1" x14ac:dyDescent="0.3">
      <c r="A13" s="29" t="s">
        <v>51</v>
      </c>
      <c r="B13" s="29">
        <f t="shared" ref="B13:J13" si="1">SUM(B10:B12)</f>
        <v>21379.4</v>
      </c>
      <c r="C13" s="29">
        <f t="shared" si="1"/>
        <v>26680.7</v>
      </c>
      <c r="D13" s="29">
        <f t="shared" si="1"/>
        <v>33379.800000000003</v>
      </c>
      <c r="E13" s="29">
        <f t="shared" si="1"/>
        <v>36571</v>
      </c>
      <c r="F13" s="108">
        <f t="shared" si="1"/>
        <v>44801.554228784516</v>
      </c>
      <c r="G13" s="108">
        <f t="shared" si="1"/>
        <v>47712.615419416783</v>
      </c>
      <c r="H13" s="108">
        <f t="shared" si="1"/>
        <v>50693.355352086503</v>
      </c>
      <c r="I13" s="108">
        <f t="shared" si="1"/>
        <v>54059.299717152608</v>
      </c>
      <c r="J13" s="108">
        <f t="shared" si="1"/>
        <v>57390.977012730851</v>
      </c>
    </row>
    <row r="14" spans="1:10" ht="14.25" customHeight="1" x14ac:dyDescent="0.3">
      <c r="A14" s="55"/>
      <c r="B14" s="55"/>
      <c r="C14" s="55"/>
      <c r="D14" s="55"/>
      <c r="E14" s="55"/>
      <c r="F14" s="112"/>
      <c r="G14" s="112"/>
      <c r="H14" s="112"/>
      <c r="I14" s="112"/>
      <c r="J14" s="112"/>
    </row>
    <row r="15" spans="1:10" ht="14.25" customHeight="1" x14ac:dyDescent="0.3">
      <c r="A15" s="6" t="s">
        <v>52</v>
      </c>
      <c r="B15" s="29">
        <f t="shared" ref="B15:J15" si="2">B7-B13</f>
        <v>-11295.4</v>
      </c>
      <c r="C15" s="29">
        <f t="shared" si="2"/>
        <v>-15555.400000000001</v>
      </c>
      <c r="D15" s="29">
        <f t="shared" si="2"/>
        <v>-19045.600000000002</v>
      </c>
      <c r="E15" s="29">
        <f t="shared" si="2"/>
        <v>-20370.100000000002</v>
      </c>
      <c r="F15" s="108">
        <f t="shared" si="2"/>
        <v>-22026.89626326763</v>
      </c>
      <c r="G15" s="108">
        <f t="shared" si="2"/>
        <v>-22921.255591458765</v>
      </c>
      <c r="H15" s="108">
        <f t="shared" si="2"/>
        <v>-23612.095973349267</v>
      </c>
      <c r="I15" s="108">
        <f t="shared" si="2"/>
        <v>-24373.272202108637</v>
      </c>
      <c r="J15" s="108">
        <f t="shared" si="2"/>
        <v>-24736.34674618248</v>
      </c>
    </row>
    <row r="16" spans="1:10" ht="14.25" customHeight="1" x14ac:dyDescent="0.3">
      <c r="A16" s="29" t="s">
        <v>53</v>
      </c>
      <c r="B16" s="29"/>
      <c r="C16" s="29">
        <f t="shared" ref="C16:J16" si="3">-(C15-B15)</f>
        <v>4260.0000000000018</v>
      </c>
      <c r="D16" s="29">
        <f t="shared" si="3"/>
        <v>3490.2000000000007</v>
      </c>
      <c r="E16" s="29">
        <f t="shared" si="3"/>
        <v>1324.5</v>
      </c>
      <c r="F16" s="108">
        <f t="shared" si="3"/>
        <v>1656.7962632676281</v>
      </c>
      <c r="G16" s="108">
        <f t="shared" si="3"/>
        <v>894.35932819113441</v>
      </c>
      <c r="H16" s="108">
        <f t="shared" si="3"/>
        <v>690.84038189050261</v>
      </c>
      <c r="I16" s="108">
        <f t="shared" si="3"/>
        <v>761.17622875937013</v>
      </c>
      <c r="J16" s="108">
        <f t="shared" si="3"/>
        <v>363.07454407384284</v>
      </c>
    </row>
    <row r="17" spans="1:12" ht="14.25" customHeight="1" x14ac:dyDescent="0.25"/>
    <row r="18" spans="1:12" ht="14.25" customHeight="1" x14ac:dyDescent="0.3">
      <c r="A18" s="54" t="s">
        <v>54</v>
      </c>
      <c r="B18" s="56">
        <f>365/('income statement'!B3/'working capital schedule'!B4)</f>
        <v>3.2041173742735647</v>
      </c>
      <c r="C18" s="56">
        <f>365/('income statement'!C3/'working capital schedule'!C4)</f>
        <v>4.054434657013962</v>
      </c>
      <c r="D18" s="56">
        <f>365/('income statement'!D3/'working capital schedule'!D4)</f>
        <v>3.690877815100079</v>
      </c>
      <c r="E18" s="56">
        <f>365/('income statement'!E3/'working capital schedule'!E4)</f>
        <v>4.5296120449654635</v>
      </c>
      <c r="F18" s="56">
        <f>AVERAGE($B$18:$E$18)</f>
        <v>3.8697604728382675</v>
      </c>
      <c r="G18" s="56">
        <f t="shared" ref="G18:J18" si="4">AVERAGE($B$18:$E$18)</f>
        <v>3.8697604728382675</v>
      </c>
      <c r="H18" s="56">
        <f t="shared" si="4"/>
        <v>3.8697604728382675</v>
      </c>
      <c r="I18" s="56">
        <f t="shared" si="4"/>
        <v>3.8697604728382675</v>
      </c>
      <c r="J18" s="56">
        <f t="shared" si="4"/>
        <v>3.8697604728382675</v>
      </c>
      <c r="K18" s="57" t="s">
        <v>55</v>
      </c>
    </row>
    <row r="19" spans="1:12" ht="14.25" customHeight="1" x14ac:dyDescent="0.3">
      <c r="A19" s="54" t="s">
        <v>56</v>
      </c>
      <c r="B19" s="56">
        <f>365/('income statement'!B6/'working capital schedule'!B5)</f>
        <v>42.490377148694982</v>
      </c>
      <c r="C19" s="56">
        <f>365/('income statement'!C6/'working capital schedule'!C5)</f>
        <v>61.18916905832166</v>
      </c>
      <c r="D19" s="56">
        <f>365/('income statement'!D6/'working capital schedule'!D5)</f>
        <v>110.62515944630793</v>
      </c>
      <c r="E19" s="56">
        <f>365/('income statement'!E6/'working capital schedule'!E5)</f>
        <v>122.1276515330467</v>
      </c>
      <c r="F19" s="56">
        <v>122</v>
      </c>
      <c r="G19" s="56">
        <v>122</v>
      </c>
      <c r="H19" s="56">
        <v>122</v>
      </c>
      <c r="I19" s="56">
        <v>122</v>
      </c>
      <c r="J19" s="56">
        <v>122</v>
      </c>
      <c r="K19" s="58" t="s">
        <v>135</v>
      </c>
    </row>
    <row r="20" spans="1:12" ht="14.25" customHeight="1" x14ac:dyDescent="0.3">
      <c r="A20" s="54" t="s">
        <v>57</v>
      </c>
      <c r="B20" s="23">
        <f>B6/('income statement'!B3)</f>
        <v>1.6733924677605548E-3</v>
      </c>
      <c r="C20" s="23">
        <f>C6/('income statement'!C3)</f>
        <v>1.996219753570728E-3</v>
      </c>
      <c r="D20" s="23">
        <f>D6/('income statement'!D3)</f>
        <v>2.1162558050637236E-3</v>
      </c>
      <c r="E20" s="23">
        <f>E6/('income statement'!E3)</f>
        <v>2.9104151931498398E-3</v>
      </c>
      <c r="F20" s="23">
        <f>AVERAGE($B$20:$E$20)</f>
        <v>2.1740708048862117E-3</v>
      </c>
      <c r="G20" s="23">
        <f t="shared" ref="G20:J20" si="5">AVERAGE($B$20:$E$20)</f>
        <v>2.1740708048862117E-3</v>
      </c>
      <c r="H20" s="23">
        <f t="shared" si="5"/>
        <v>2.1740708048862117E-3</v>
      </c>
      <c r="I20" s="23">
        <f t="shared" si="5"/>
        <v>2.1740708048862117E-3</v>
      </c>
      <c r="J20" s="23">
        <f t="shared" si="5"/>
        <v>2.1740708048862117E-3</v>
      </c>
      <c r="K20" s="58" t="s">
        <v>41</v>
      </c>
    </row>
    <row r="21" spans="1:12" ht="14.25" customHeight="1" x14ac:dyDescent="0.3">
      <c r="A21" s="54" t="s">
        <v>58</v>
      </c>
      <c r="B21" s="56">
        <f>365/('income statement'!B6/B10)</f>
        <v>46.359131002350239</v>
      </c>
      <c r="C21" s="56">
        <f>365/('income statement'!C6/C10)</f>
        <v>78.605157293636211</v>
      </c>
      <c r="D21" s="56">
        <f>365/('income statement'!D6/D10)</f>
        <v>140.24228752303114</v>
      </c>
      <c r="E21" s="56">
        <f>365/('income statement'!E6/E10)</f>
        <v>160.01405489677327</v>
      </c>
      <c r="F21" s="56">
        <v>150</v>
      </c>
      <c r="G21" s="56">
        <v>140</v>
      </c>
      <c r="H21" s="56">
        <v>130</v>
      </c>
      <c r="I21" s="56">
        <v>120</v>
      </c>
      <c r="J21" s="56">
        <v>110</v>
      </c>
      <c r="K21" s="58" t="s">
        <v>59</v>
      </c>
      <c r="L21" s="15"/>
    </row>
    <row r="22" spans="1:12" ht="14.25" customHeight="1" x14ac:dyDescent="0.3">
      <c r="A22" s="54" t="s">
        <v>60</v>
      </c>
      <c r="B22" s="59">
        <f>B11/('income statement'!B23)</f>
        <v>1.6049241992476917</v>
      </c>
      <c r="C22" s="59">
        <f>C11/('income statement'!C23)</f>
        <v>1.5090873701369796</v>
      </c>
      <c r="D22" s="59">
        <f>D11/('income statement'!D23)</f>
        <v>2.1182894830153889</v>
      </c>
      <c r="E22" s="59">
        <f>E11/('income statement'!E23)</f>
        <v>2.0900651733391751</v>
      </c>
      <c r="F22" s="59">
        <f>AVERAGE($D$22:$E$22)</f>
        <v>2.1041773281772818</v>
      </c>
      <c r="G22" s="59">
        <f t="shared" ref="G22:J22" si="6">AVERAGE($D$22:$E$22)</f>
        <v>2.1041773281772818</v>
      </c>
      <c r="H22" s="59">
        <f t="shared" si="6"/>
        <v>2.1041773281772818</v>
      </c>
      <c r="I22" s="59">
        <f t="shared" si="6"/>
        <v>2.1041773281772818</v>
      </c>
      <c r="J22" s="59">
        <f t="shared" si="6"/>
        <v>2.1041773281772818</v>
      </c>
      <c r="K22" s="58" t="s">
        <v>61</v>
      </c>
    </row>
    <row r="23" spans="1:12" ht="14.25" customHeight="1" x14ac:dyDescent="0.3">
      <c r="A23" s="54" t="s">
        <v>62</v>
      </c>
      <c r="B23" s="23">
        <f>B12/('income statement'!B10)</f>
        <v>6.7590715445909291E-2</v>
      </c>
      <c r="C23" s="23">
        <f>C12/('income statement'!C10)</f>
        <v>6.5533368807236675E-2</v>
      </c>
      <c r="D23" s="23">
        <f>D12/('income statement'!D10)</f>
        <v>7.421535736789224E-2</v>
      </c>
      <c r="E23" s="23">
        <f>E12/('income statement'!E10)</f>
        <v>9.2813460823732138E-2</v>
      </c>
      <c r="F23" s="23">
        <f>AVERAGE($B$23:$D$23)</f>
        <v>6.911314720701274E-2</v>
      </c>
      <c r="G23" s="23">
        <f t="shared" ref="G23:J23" si="7">AVERAGE(C23:E23)</f>
        <v>7.7520728999620356E-2</v>
      </c>
      <c r="H23" s="23">
        <f t="shared" si="7"/>
        <v>7.8713988466212373E-2</v>
      </c>
      <c r="I23" s="23">
        <f t="shared" si="7"/>
        <v>7.9815779010121754E-2</v>
      </c>
      <c r="J23" s="23">
        <f t="shared" si="7"/>
        <v>7.511595489094848E-2</v>
      </c>
      <c r="K23" s="60" t="s">
        <v>63</v>
      </c>
    </row>
    <row r="24" spans="1:12" ht="14.25" customHeight="1" x14ac:dyDescent="0.3">
      <c r="A24" s="34"/>
    </row>
    <row r="25" spans="1:12" ht="14.25" customHeight="1" x14ac:dyDescent="0.25"/>
    <row r="26" spans="1:12" ht="14.25" customHeight="1" x14ac:dyDescent="0.25"/>
    <row r="27" spans="1:12" ht="14.25" customHeight="1" x14ac:dyDescent="0.25"/>
    <row r="28" spans="1:12" ht="14.25" customHeight="1" x14ac:dyDescent="0.25"/>
    <row r="29" spans="1:12" ht="14.25" customHeight="1" x14ac:dyDescent="0.25"/>
    <row r="30" spans="1:12" ht="14.25" customHeight="1" x14ac:dyDescent="0.25"/>
    <row r="31" spans="1:12" ht="14.25" customHeight="1" x14ac:dyDescent="0.25"/>
    <row r="32" spans="1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opLeftCell="Z1" workbookViewId="0">
      <selection activeCell="G10" sqref="G10"/>
    </sheetView>
  </sheetViews>
  <sheetFormatPr defaultColWidth="12.59765625" defaultRowHeight="15" customHeight="1" x14ac:dyDescent="0.25"/>
  <cols>
    <col min="1" max="1" width="31.09765625" customWidth="1"/>
    <col min="2" max="2" width="9.09765625" customWidth="1"/>
    <col min="3" max="3" width="9.19921875" customWidth="1"/>
    <col min="4" max="4" width="10.09765625" customWidth="1"/>
    <col min="5" max="5" width="9.69921875" customWidth="1"/>
    <col min="6" max="6" width="11" customWidth="1"/>
    <col min="7" max="7" width="15.09765625" customWidth="1"/>
    <col min="8" max="8" width="9.69921875" customWidth="1"/>
    <col min="9" max="9" width="9.09765625" customWidth="1"/>
    <col min="10" max="10" width="8.8984375" customWidth="1"/>
    <col min="11" max="11" width="9.19921875" customWidth="1"/>
    <col min="12" max="12" width="39.8984375" customWidth="1"/>
    <col min="13" max="13" width="14.59765625" customWidth="1"/>
    <col min="14" max="26" width="7.59765625" customWidth="1"/>
  </cols>
  <sheetData>
    <row r="1" spans="1:16" ht="14.25" customHeight="1" x14ac:dyDescent="0.3">
      <c r="A1" s="16" t="s">
        <v>32</v>
      </c>
      <c r="B1" s="17"/>
      <c r="C1" s="17"/>
      <c r="D1" s="17" t="s">
        <v>33</v>
      </c>
      <c r="E1" s="17"/>
      <c r="F1" s="17"/>
      <c r="G1" s="76"/>
      <c r="H1" s="77" t="s">
        <v>34</v>
      </c>
      <c r="I1" s="76"/>
      <c r="J1" s="76"/>
      <c r="K1" s="76"/>
    </row>
    <row r="2" spans="1:16" ht="14.25" customHeight="1" x14ac:dyDescent="0.3">
      <c r="A2" s="17"/>
      <c r="B2" s="17">
        <v>2016</v>
      </c>
      <c r="C2" s="16">
        <v>2017</v>
      </c>
      <c r="D2" s="16">
        <v>2018</v>
      </c>
      <c r="E2" s="16">
        <v>2019</v>
      </c>
      <c r="F2" s="16">
        <v>2020</v>
      </c>
      <c r="G2" s="77">
        <v>2021</v>
      </c>
      <c r="H2" s="77">
        <v>2022</v>
      </c>
      <c r="I2" s="77">
        <v>2023</v>
      </c>
      <c r="J2" s="77">
        <v>2024</v>
      </c>
      <c r="K2" s="77">
        <v>2025</v>
      </c>
    </row>
    <row r="3" spans="1:16" ht="14.25" customHeight="1" x14ac:dyDescent="0.3">
      <c r="A3" s="6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6" ht="14.25" customHeight="1" x14ac:dyDescent="0.3">
      <c r="A4" s="90" t="s">
        <v>121</v>
      </c>
      <c r="B4" s="2"/>
      <c r="C4" s="20">
        <f>B8</f>
        <v>27301.4</v>
      </c>
      <c r="D4" s="20">
        <f t="shared" ref="D4:K4" si="0">C8</f>
        <v>26161.8</v>
      </c>
      <c r="E4" s="20">
        <f t="shared" si="0"/>
        <v>24006.2</v>
      </c>
      <c r="F4" s="20">
        <f t="shared" si="0"/>
        <v>21088.1</v>
      </c>
      <c r="G4" s="20">
        <f t="shared" si="0"/>
        <v>19680</v>
      </c>
      <c r="H4" s="20">
        <f t="shared" si="0"/>
        <v>20747.088878450933</v>
      </c>
      <c r="I4" s="20">
        <f t="shared" si="0"/>
        <v>22584.248973006677</v>
      </c>
      <c r="J4" s="20">
        <f t="shared" si="0"/>
        <v>24670.284669993842</v>
      </c>
      <c r="K4" s="20">
        <f t="shared" si="0"/>
        <v>27043.157014049975</v>
      </c>
      <c r="L4" s="88" t="s">
        <v>131</v>
      </c>
    </row>
    <row r="5" spans="1:16" ht="14.25" customHeight="1" x14ac:dyDescent="0.3">
      <c r="A5" s="103" t="s">
        <v>37</v>
      </c>
      <c r="B5" s="103"/>
      <c r="C5" s="106">
        <f t="shared" ref="C5:K5" si="1">C6-C4</f>
        <v>2282.8999999999978</v>
      </c>
      <c r="D5" s="106">
        <f t="shared" si="1"/>
        <v>1201.1000000000022</v>
      </c>
      <c r="E5" s="106">
        <f t="shared" si="1"/>
        <v>783.39999999999782</v>
      </c>
      <c r="F5" s="106">
        <f t="shared" si="1"/>
        <v>2295.7000000000007</v>
      </c>
      <c r="G5" s="106">
        <f t="shared" si="1"/>
        <v>4347.2125616021331</v>
      </c>
      <c r="H5" s="106">
        <f t="shared" si="1"/>
        <v>5407.7395795400189</v>
      </c>
      <c r="I5" s="106">
        <f t="shared" si="1"/>
        <v>5986.4183236880272</v>
      </c>
      <c r="J5" s="106">
        <f t="shared" si="1"/>
        <v>6648.4071098562417</v>
      </c>
      <c r="K5" s="106">
        <f t="shared" si="1"/>
        <v>7407.403943785117</v>
      </c>
    </row>
    <row r="6" spans="1:16" ht="14.25" customHeight="1" thickBot="1" x14ac:dyDescent="0.35">
      <c r="A6" s="6" t="s">
        <v>38</v>
      </c>
      <c r="B6" s="2"/>
      <c r="C6" s="20">
        <f t="shared" ref="C6:F6" si="2">C8+C7</f>
        <v>29584.3</v>
      </c>
      <c r="D6" s="20">
        <f t="shared" si="2"/>
        <v>27362.9</v>
      </c>
      <c r="E6" s="20">
        <f t="shared" si="2"/>
        <v>24789.599999999999</v>
      </c>
      <c r="F6" s="20">
        <f t="shared" si="2"/>
        <v>23383.8</v>
      </c>
      <c r="G6" s="20">
        <f>'income statement'!F3/'fixed asset schedule'!G12</f>
        <v>24027.212561602133</v>
      </c>
      <c r="H6" s="20">
        <f>'income statement'!G3/'fixed asset schedule'!H12</f>
        <v>26154.828457990952</v>
      </c>
      <c r="I6" s="20">
        <f>'income statement'!H3/'fixed asset schedule'!I12</f>
        <v>28570.667296694704</v>
      </c>
      <c r="J6" s="20">
        <f>'income statement'!I3/'fixed asset schedule'!J12</f>
        <v>31318.691779850084</v>
      </c>
      <c r="K6" s="20">
        <f>'income statement'!J3/'fixed asset schedule'!K12</f>
        <v>34450.560957835092</v>
      </c>
    </row>
    <row r="7" spans="1:16" ht="14.25" customHeight="1" thickBot="1" x14ac:dyDescent="0.35">
      <c r="A7" s="4" t="s">
        <v>39</v>
      </c>
      <c r="B7" s="48"/>
      <c r="C7" s="49">
        <f>'income statement'!B14</f>
        <v>3422.5</v>
      </c>
      <c r="D7" s="49">
        <f>'income statement'!C14</f>
        <v>3356.7</v>
      </c>
      <c r="E7" s="49">
        <f>'income statement'!D14</f>
        <v>3701.5</v>
      </c>
      <c r="F7" s="49">
        <f>'income statement'!E14</f>
        <v>3703.8</v>
      </c>
      <c r="G7" s="50">
        <f t="shared" ref="G7:K7" si="3">G6*G10</f>
        <v>3280.1236831511983</v>
      </c>
      <c r="H7" s="50">
        <f t="shared" si="3"/>
        <v>3570.5794849842755</v>
      </c>
      <c r="I7" s="50">
        <f t="shared" si="3"/>
        <v>3900.382626700864</v>
      </c>
      <c r="J7" s="50">
        <f t="shared" si="3"/>
        <v>4275.5347658001092</v>
      </c>
      <c r="K7" s="50">
        <f t="shared" si="3"/>
        <v>4703.0882423801204</v>
      </c>
    </row>
    <row r="8" spans="1:16" ht="14.25" customHeight="1" x14ac:dyDescent="0.3">
      <c r="A8" s="89" t="s">
        <v>120</v>
      </c>
      <c r="B8" s="20">
        <v>27301.4</v>
      </c>
      <c r="C8" s="20">
        <v>26161.8</v>
      </c>
      <c r="D8" s="29">
        <v>24006.2</v>
      </c>
      <c r="E8" s="20">
        <v>21088.1</v>
      </c>
      <c r="F8" s="20">
        <v>19680</v>
      </c>
      <c r="G8" s="20">
        <f t="shared" ref="G8:K8" si="4">G6-G7</f>
        <v>20747.088878450933</v>
      </c>
      <c r="H8" s="20">
        <f t="shared" si="4"/>
        <v>22584.248973006677</v>
      </c>
      <c r="I8" s="20">
        <f t="shared" si="4"/>
        <v>24670.284669993842</v>
      </c>
      <c r="J8" s="20">
        <f t="shared" si="4"/>
        <v>27043.157014049975</v>
      </c>
      <c r="K8" s="20">
        <f t="shared" si="4"/>
        <v>29747.472715454973</v>
      </c>
    </row>
    <row r="9" spans="1:16" ht="14.25" customHeight="1" x14ac:dyDescent="0.25"/>
    <row r="10" spans="1:16" ht="14.25" customHeight="1" x14ac:dyDescent="0.3">
      <c r="A10" s="6" t="s">
        <v>40</v>
      </c>
      <c r="B10" s="2"/>
      <c r="C10" s="23">
        <f t="shared" ref="C10:F10" si="5">C7/C6</f>
        <v>0.11568636067103159</v>
      </c>
      <c r="D10" s="23">
        <f t="shared" si="5"/>
        <v>0.12267340084567059</v>
      </c>
      <c r="E10" s="23">
        <f t="shared" si="5"/>
        <v>0.14931664891728791</v>
      </c>
      <c r="F10" s="23">
        <f t="shared" si="5"/>
        <v>0.15839170707926001</v>
      </c>
      <c r="G10" s="23">
        <f>AVERAGE($C$10:$F$10)</f>
        <v>0.13651702937831253</v>
      </c>
      <c r="H10" s="23">
        <f t="shared" ref="H10:K10" si="6">AVERAGE($C$10:$F$10)</f>
        <v>0.13651702937831253</v>
      </c>
      <c r="I10" s="23">
        <f t="shared" si="6"/>
        <v>0.13651702937831253</v>
      </c>
      <c r="J10" s="23">
        <f t="shared" si="6"/>
        <v>0.13651702937831253</v>
      </c>
      <c r="K10" s="23">
        <f t="shared" si="6"/>
        <v>0.13651702937831253</v>
      </c>
      <c r="L10" s="105" t="s">
        <v>132</v>
      </c>
    </row>
    <row r="11" spans="1:16" ht="14.25" customHeight="1" x14ac:dyDescent="0.3">
      <c r="A11" s="34"/>
      <c r="C11" s="27"/>
      <c r="D11" s="27"/>
      <c r="E11" s="27"/>
      <c r="F11" s="27"/>
      <c r="G11" s="27"/>
      <c r="H11" s="27"/>
      <c r="I11" s="27"/>
      <c r="J11" s="27"/>
      <c r="K11" s="27"/>
    </row>
    <row r="12" spans="1:16" ht="14.25" customHeight="1" x14ac:dyDescent="0.3">
      <c r="A12" s="6" t="s">
        <v>42</v>
      </c>
      <c r="B12" s="2"/>
      <c r="C12" s="31">
        <f>'income statement'!B3/'fixed asset schedule'!C6</f>
        <v>3.4258373529202992</v>
      </c>
      <c r="D12" s="31">
        <f>'income statement'!C3/'fixed asset schedule'!D6</f>
        <v>4.0990538283588362</v>
      </c>
      <c r="E12" s="31">
        <f>'income statement'!D3/'fixed asset schedule'!E6</f>
        <v>4.9598622002775361</v>
      </c>
      <c r="F12" s="31">
        <f>'income statement'!E3/'fixed asset schedule'!F6</f>
        <v>5.6835073854548881</v>
      </c>
      <c r="G12" s="31">
        <v>6</v>
      </c>
      <c r="H12" s="31">
        <v>6</v>
      </c>
      <c r="I12" s="31">
        <v>6</v>
      </c>
      <c r="J12" s="31">
        <v>6</v>
      </c>
      <c r="K12" s="31">
        <v>6</v>
      </c>
      <c r="L12" s="105" t="s">
        <v>133</v>
      </c>
      <c r="M12" s="107"/>
      <c r="N12" s="93"/>
      <c r="O12" s="93"/>
      <c r="P12" s="93"/>
    </row>
    <row r="13" spans="1:16" ht="14.25" customHeight="1" x14ac:dyDescent="0.3">
      <c r="A13" s="6"/>
      <c r="B13" s="2"/>
      <c r="C13" s="52"/>
      <c r="D13" s="52"/>
      <c r="E13" s="52"/>
      <c r="F13" s="52"/>
      <c r="G13" s="52"/>
      <c r="H13" s="52"/>
      <c r="I13" s="52"/>
      <c r="J13" s="52"/>
      <c r="K13" s="52"/>
      <c r="L13" s="51"/>
      <c r="M13" s="93"/>
      <c r="N13" s="93"/>
      <c r="O13" s="93"/>
      <c r="P13" s="93"/>
    </row>
    <row r="14" spans="1:16" ht="14.2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6" ht="14.25" customHeight="1" x14ac:dyDescent="0.3">
      <c r="A15" s="6" t="s">
        <v>43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6" ht="14.25" customHeight="1" x14ac:dyDescent="0.3">
      <c r="A16" s="2" t="s">
        <v>36</v>
      </c>
      <c r="B16" s="2"/>
      <c r="C16" s="2">
        <f>B20</f>
        <v>0</v>
      </c>
      <c r="D16" s="2">
        <f t="shared" ref="D16:F16" si="7">C20</f>
        <v>0</v>
      </c>
      <c r="E16" s="2">
        <f t="shared" si="7"/>
        <v>0</v>
      </c>
      <c r="F16" s="2">
        <f t="shared" si="7"/>
        <v>0</v>
      </c>
      <c r="G16" s="102">
        <f>F20</f>
        <v>0</v>
      </c>
      <c r="H16" s="2">
        <v>0</v>
      </c>
      <c r="I16" s="2">
        <v>0</v>
      </c>
      <c r="J16" s="2">
        <v>0</v>
      </c>
      <c r="K16" s="2">
        <v>0</v>
      </c>
    </row>
    <row r="17" spans="1:11" ht="14.25" customHeight="1" x14ac:dyDescent="0.3">
      <c r="A17" s="103" t="s">
        <v>37</v>
      </c>
      <c r="B17" s="103"/>
      <c r="C17" s="104">
        <f>C18-C15</f>
        <v>0</v>
      </c>
      <c r="D17" s="104">
        <f t="shared" ref="D17:F17" si="8">D18-D15</f>
        <v>0</v>
      </c>
      <c r="E17" s="104">
        <f t="shared" si="8"/>
        <v>0</v>
      </c>
      <c r="F17" s="104">
        <f t="shared" si="8"/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</row>
    <row r="18" spans="1:11" ht="14.25" customHeight="1" x14ac:dyDescent="0.3">
      <c r="A18" s="6" t="s">
        <v>44</v>
      </c>
      <c r="B18" s="2"/>
      <c r="C18" s="102">
        <f>C19+C20</f>
        <v>0</v>
      </c>
      <c r="D18" s="102">
        <f t="shared" ref="D18:F18" si="9">D19+D20</f>
        <v>0</v>
      </c>
      <c r="E18" s="102">
        <f t="shared" si="9"/>
        <v>0</v>
      </c>
      <c r="F18" s="102">
        <f t="shared" si="9"/>
        <v>0</v>
      </c>
      <c r="G18" s="102">
        <f>G16+G17</f>
        <v>0</v>
      </c>
      <c r="H18" s="2">
        <v>0</v>
      </c>
      <c r="I18" s="2">
        <v>0</v>
      </c>
      <c r="J18" s="2">
        <v>0</v>
      </c>
      <c r="K18" s="2">
        <v>0</v>
      </c>
    </row>
    <row r="19" spans="1:11" ht="14.25" customHeight="1" x14ac:dyDescent="0.3">
      <c r="A19" s="103" t="s">
        <v>45</v>
      </c>
      <c r="B19" s="104"/>
      <c r="C19" s="104">
        <f>'income statement'!B13</f>
        <v>0</v>
      </c>
      <c r="D19" s="104">
        <f>'income statement'!C13</f>
        <v>0</v>
      </c>
      <c r="E19" s="104">
        <f>'income statement'!D13</f>
        <v>0</v>
      </c>
      <c r="F19" s="104">
        <f>'income statement'!E13</f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</row>
    <row r="20" spans="1:11" ht="14.25" customHeight="1" x14ac:dyDescent="0.3">
      <c r="A20" s="89" t="s">
        <v>122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ht="14.25" customHeight="1" x14ac:dyDescent="0.25"/>
    <row r="22" spans="1:11" ht="14.25" customHeight="1" x14ac:dyDescent="0.3">
      <c r="A22" s="34" t="s">
        <v>46</v>
      </c>
      <c r="C22" s="88" t="s">
        <v>134</v>
      </c>
      <c r="F22" s="24"/>
    </row>
    <row r="23" spans="1:11" ht="14.25" customHeight="1" x14ac:dyDescent="0.25"/>
    <row r="24" spans="1:11" ht="14.25" customHeight="1" x14ac:dyDescent="0.25"/>
    <row r="25" spans="1:11" ht="14.25" customHeight="1" x14ac:dyDescent="0.25"/>
    <row r="26" spans="1:11" ht="14.25" customHeight="1" x14ac:dyDescent="0.25"/>
    <row r="27" spans="1:11" ht="14.25" customHeight="1" x14ac:dyDescent="0.25"/>
    <row r="28" spans="1:11" ht="14.25" customHeight="1" x14ac:dyDescent="0.25"/>
    <row r="29" spans="1:11" ht="14.25" customHeight="1" x14ac:dyDescent="0.25"/>
    <row r="30" spans="1:11" ht="14.25" customHeight="1" x14ac:dyDescent="0.25"/>
    <row r="31" spans="1:11" ht="14.25" customHeight="1" x14ac:dyDescent="0.25"/>
    <row r="32" spans="1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selection activeCell="J16" sqref="J16"/>
    </sheetView>
  </sheetViews>
  <sheetFormatPr defaultColWidth="12.59765625" defaultRowHeight="15" customHeight="1" x14ac:dyDescent="0.25"/>
  <cols>
    <col min="1" max="1" width="26.59765625" customWidth="1"/>
    <col min="2" max="2" width="10.19921875" customWidth="1"/>
    <col min="3" max="3" width="10.796875" customWidth="1"/>
    <col min="4" max="4" width="16.3984375" customWidth="1"/>
    <col min="5" max="6" width="9.09765625" customWidth="1"/>
    <col min="7" max="7" width="8.19921875" customWidth="1"/>
    <col min="8" max="11" width="7.69921875" customWidth="1"/>
    <col min="12" max="12" width="36.8984375" customWidth="1"/>
    <col min="13" max="26" width="7.59765625" customWidth="1"/>
  </cols>
  <sheetData>
    <row r="1" spans="1:12" ht="14.25" customHeight="1" x14ac:dyDescent="0.3">
      <c r="A1" s="1" t="s">
        <v>64</v>
      </c>
      <c r="B1" s="1"/>
      <c r="C1" s="1"/>
      <c r="D1" s="1" t="s">
        <v>65</v>
      </c>
      <c r="E1" s="1"/>
      <c r="F1" s="1"/>
      <c r="G1" s="86"/>
      <c r="H1" s="86" t="s">
        <v>24</v>
      </c>
      <c r="I1" s="86"/>
      <c r="J1" s="86"/>
      <c r="K1" s="86"/>
    </row>
    <row r="2" spans="1:12" ht="14.25" customHeight="1" x14ac:dyDescent="0.3">
      <c r="A2" s="1" t="s">
        <v>66</v>
      </c>
      <c r="B2" s="87">
        <v>2016</v>
      </c>
      <c r="C2" s="1">
        <v>2017</v>
      </c>
      <c r="D2" s="1">
        <v>2018</v>
      </c>
      <c r="E2" s="1">
        <v>2019</v>
      </c>
      <c r="F2" s="1">
        <v>2020</v>
      </c>
      <c r="G2" s="86">
        <v>2021</v>
      </c>
      <c r="H2" s="86">
        <v>2022</v>
      </c>
      <c r="I2" s="86">
        <v>2023</v>
      </c>
      <c r="J2" s="86">
        <v>2024</v>
      </c>
      <c r="K2" s="86">
        <v>2025</v>
      </c>
    </row>
    <row r="3" spans="1:12" ht="14.25" customHeight="1" x14ac:dyDescent="0.3">
      <c r="A3" s="61"/>
    </row>
    <row r="4" spans="1:12" ht="14.25" customHeight="1" x14ac:dyDescent="0.3">
      <c r="A4" s="29" t="s">
        <v>67</v>
      </c>
      <c r="B4" s="2"/>
      <c r="C4" s="29">
        <f>B6</f>
        <v>996</v>
      </c>
      <c r="D4" s="29">
        <f t="shared" ref="D4:K4" si="0">C6</f>
        <v>1053</v>
      </c>
      <c r="E4" s="29">
        <f t="shared" si="0"/>
        <v>1053</v>
      </c>
      <c r="F4" s="29">
        <f t="shared" si="0"/>
        <v>2951</v>
      </c>
      <c r="G4" s="29">
        <f t="shared" si="0"/>
        <v>2078</v>
      </c>
      <c r="H4" s="29">
        <f t="shared" si="0"/>
        <v>2348.5</v>
      </c>
      <c r="I4" s="29">
        <f t="shared" si="0"/>
        <v>2672.375</v>
      </c>
      <c r="J4" s="29">
        <f t="shared" si="0"/>
        <v>3077.21875</v>
      </c>
      <c r="K4" s="29">
        <f t="shared" si="0"/>
        <v>3108.7734375</v>
      </c>
    </row>
    <row r="5" spans="1:12" ht="14.25" customHeight="1" x14ac:dyDescent="0.3">
      <c r="A5" s="53" t="s">
        <v>68</v>
      </c>
      <c r="B5" s="53"/>
      <c r="C5" s="53">
        <f t="shared" ref="C5:F5" si="1">C6-C4</f>
        <v>57</v>
      </c>
      <c r="D5" s="53">
        <f t="shared" si="1"/>
        <v>0</v>
      </c>
      <c r="E5" s="53">
        <f t="shared" si="1"/>
        <v>1898</v>
      </c>
      <c r="F5" s="53">
        <f t="shared" si="1"/>
        <v>-873</v>
      </c>
      <c r="G5" s="53">
        <f t="shared" ref="G5:K5" si="2">AVERAGE(C5:F5)</f>
        <v>270.5</v>
      </c>
      <c r="H5" s="50">
        <f t="shared" si="2"/>
        <v>323.875</v>
      </c>
      <c r="I5" s="50">
        <f t="shared" si="2"/>
        <v>404.84375</v>
      </c>
      <c r="J5" s="50">
        <f t="shared" si="2"/>
        <v>31.5546875</v>
      </c>
      <c r="K5" s="50">
        <f t="shared" si="2"/>
        <v>257.693359375</v>
      </c>
      <c r="L5" s="60" t="s">
        <v>69</v>
      </c>
    </row>
    <row r="6" spans="1:12" ht="14.25" customHeight="1" x14ac:dyDescent="0.3">
      <c r="A6" s="85" t="s">
        <v>120</v>
      </c>
      <c r="B6" s="29">
        <f>332+332+332</f>
        <v>996</v>
      </c>
      <c r="C6" s="29">
        <f t="shared" ref="C6:D6" si="3">351+351+351</f>
        <v>1053</v>
      </c>
      <c r="D6" s="29">
        <f t="shared" si="3"/>
        <v>1053</v>
      </c>
      <c r="E6" s="29">
        <f>462 +1427+531+531</f>
        <v>2951</v>
      </c>
      <c r="F6" s="29">
        <f>975+317+317+469</f>
        <v>2078</v>
      </c>
      <c r="G6" s="29">
        <f t="shared" ref="G6:K6" si="4">G4+G5</f>
        <v>2348.5</v>
      </c>
      <c r="H6" s="31">
        <f t="shared" si="4"/>
        <v>2672.375</v>
      </c>
      <c r="I6" s="31">
        <f t="shared" si="4"/>
        <v>3077.21875</v>
      </c>
      <c r="J6" s="31">
        <f t="shared" si="4"/>
        <v>3108.7734375</v>
      </c>
      <c r="K6" s="31">
        <f t="shared" si="4"/>
        <v>3366.466796875</v>
      </c>
      <c r="L6" s="60" t="s">
        <v>70</v>
      </c>
    </row>
    <row r="7" spans="1:12" ht="14.25" customHeight="1" x14ac:dyDescent="0.3">
      <c r="A7" s="61"/>
    </row>
    <row r="8" spans="1:12" ht="14.25" customHeight="1" x14ac:dyDescent="0.3">
      <c r="A8" s="29" t="s">
        <v>71</v>
      </c>
      <c r="B8" s="2"/>
      <c r="C8" s="29">
        <v>919</v>
      </c>
      <c r="D8" s="29">
        <v>1119.5</v>
      </c>
      <c r="E8" s="29">
        <v>1198.3</v>
      </c>
      <c r="F8" s="29">
        <v>1641.8</v>
      </c>
      <c r="G8" s="29">
        <f t="shared" ref="G8:K8" si="5">G4*G9</f>
        <v>1911.8556620661645</v>
      </c>
      <c r="H8" s="29">
        <f t="shared" si="5"/>
        <v>2159.1753291274686</v>
      </c>
      <c r="I8" s="29">
        <f t="shared" si="5"/>
        <v>2360.890567874319</v>
      </c>
      <c r="J8" s="29">
        <f t="shared" si="5"/>
        <v>2522.7250955379773</v>
      </c>
      <c r="K8" s="29">
        <f t="shared" si="5"/>
        <v>2753.3478446986887</v>
      </c>
    </row>
    <row r="9" spans="1:12" ht="14.25" customHeight="1" x14ac:dyDescent="0.3">
      <c r="A9" s="29" t="s">
        <v>72</v>
      </c>
      <c r="B9" s="2"/>
      <c r="C9" s="23">
        <f t="shared" ref="C9:F9" si="6">C8/C4</f>
        <v>0.92269076305220887</v>
      </c>
      <c r="D9" s="23">
        <f t="shared" si="6"/>
        <v>1.0631528964862298</v>
      </c>
      <c r="E9" s="23">
        <f t="shared" si="6"/>
        <v>1.1379867046533714</v>
      </c>
      <c r="F9" s="23">
        <f t="shared" si="6"/>
        <v>0.55635377838021005</v>
      </c>
      <c r="G9" s="23">
        <f t="shared" ref="G9:K9" si="7">AVERAGE(C9:F9)</f>
        <v>0.92004603564300502</v>
      </c>
      <c r="H9" s="23">
        <f t="shared" si="7"/>
        <v>0.91938485379070412</v>
      </c>
      <c r="I9" s="23">
        <f t="shared" si="7"/>
        <v>0.88344284311682264</v>
      </c>
      <c r="J9" s="23">
        <f t="shared" si="7"/>
        <v>0.81980687773268546</v>
      </c>
      <c r="K9" s="23">
        <f t="shared" si="7"/>
        <v>0.88567015257080428</v>
      </c>
    </row>
    <row r="10" spans="1:12" ht="14.25" customHeight="1" x14ac:dyDescent="0.3">
      <c r="A10" s="61"/>
    </row>
    <row r="11" spans="1:12" ht="14.25" customHeight="1" x14ac:dyDescent="0.25"/>
    <row r="12" spans="1:12" ht="14.25" customHeight="1" x14ac:dyDescent="0.3">
      <c r="D12" s="27"/>
    </row>
    <row r="13" spans="1:12" ht="14.25" customHeight="1" x14ac:dyDescent="0.25"/>
    <row r="14" spans="1:12" ht="14.25" customHeight="1" x14ac:dyDescent="0.25"/>
    <row r="15" spans="1:12" ht="14.25" customHeight="1" x14ac:dyDescent="0.25">
      <c r="C15" s="88" t="s">
        <v>93</v>
      </c>
    </row>
    <row r="16" spans="1:1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2.59765625" defaultRowHeight="15" customHeight="1" x14ac:dyDescent="0.25"/>
  <cols>
    <col min="1" max="1" width="9.5" customWidth="1"/>
    <col min="2" max="2" width="9.09765625" customWidth="1"/>
    <col min="3" max="3" width="7.59765625" customWidth="1"/>
    <col min="4" max="4" width="10.19921875" customWidth="1"/>
    <col min="5" max="26" width="7.59765625" customWidth="1"/>
  </cols>
  <sheetData>
    <row r="1" spans="1:4" ht="14.25" customHeight="1" x14ac:dyDescent="0.3">
      <c r="A1" s="1" t="s">
        <v>73</v>
      </c>
      <c r="B1" s="1" t="s">
        <v>74</v>
      </c>
      <c r="C1" s="1" t="s">
        <v>75</v>
      </c>
      <c r="D1" s="1"/>
    </row>
    <row r="2" spans="1:4" ht="14.25" customHeight="1" x14ac:dyDescent="0.3">
      <c r="A2" s="62">
        <v>43304</v>
      </c>
      <c r="B2" s="6">
        <v>9714.1748050000006</v>
      </c>
      <c r="C2" s="63"/>
    </row>
    <row r="3" spans="1:4" ht="14.25" customHeight="1" x14ac:dyDescent="0.3">
      <c r="A3" s="62">
        <v>43311</v>
      </c>
      <c r="B3" s="6">
        <v>9752.3837889999995</v>
      </c>
      <c r="C3" s="63">
        <f t="shared" ref="C3:C159" si="0">B3/B2-1</f>
        <v>3.9333226719713288E-3</v>
      </c>
    </row>
    <row r="4" spans="1:4" ht="14.25" customHeight="1" x14ac:dyDescent="0.3">
      <c r="A4" s="62">
        <v>43318</v>
      </c>
      <c r="B4" s="6">
        <v>10093.798828000001</v>
      </c>
      <c r="C4" s="63">
        <f t="shared" si="0"/>
        <v>3.5008367839778121E-2</v>
      </c>
    </row>
    <row r="5" spans="1:4" ht="14.25" customHeight="1" x14ac:dyDescent="0.3">
      <c r="A5" s="62">
        <v>43325</v>
      </c>
      <c r="B5" s="6">
        <v>10289.298828000001</v>
      </c>
      <c r="C5" s="63">
        <f t="shared" si="0"/>
        <v>1.9368327359337467E-2</v>
      </c>
    </row>
    <row r="6" spans="1:4" ht="14.25" customHeight="1" x14ac:dyDescent="0.3">
      <c r="A6" s="62">
        <v>43332</v>
      </c>
      <c r="B6" s="6">
        <v>10752.708984000001</v>
      </c>
      <c r="C6" s="63">
        <f t="shared" si="0"/>
        <v>4.5038069527044255E-2</v>
      </c>
    </row>
    <row r="7" spans="1:4" ht="14.25" customHeight="1" x14ac:dyDescent="0.3">
      <c r="A7" s="62">
        <v>43339</v>
      </c>
      <c r="B7" s="6">
        <v>10960.472656</v>
      </c>
      <c r="C7" s="63">
        <f t="shared" si="0"/>
        <v>1.9321984098067846E-2</v>
      </c>
    </row>
    <row r="8" spans="1:4" ht="14.25" customHeight="1" x14ac:dyDescent="0.3">
      <c r="A8" s="62">
        <v>43346</v>
      </c>
      <c r="B8" s="6">
        <v>9885.7402340000008</v>
      </c>
      <c r="C8" s="63">
        <f t="shared" si="0"/>
        <v>-9.8055298866300933E-2</v>
      </c>
    </row>
    <row r="9" spans="1:4" ht="14.25" customHeight="1" x14ac:dyDescent="0.3">
      <c r="A9" s="62">
        <v>43353</v>
      </c>
      <c r="B9" s="6">
        <v>9780.6064449999994</v>
      </c>
      <c r="C9" s="63">
        <f t="shared" si="0"/>
        <v>-1.0634892937851581E-2</v>
      </c>
    </row>
    <row r="10" spans="1:4" ht="14.25" customHeight="1" x14ac:dyDescent="0.3">
      <c r="A10" s="62">
        <v>43360</v>
      </c>
      <c r="B10" s="6">
        <v>9226.2070309999999</v>
      </c>
      <c r="C10" s="63">
        <f t="shared" si="0"/>
        <v>-5.6683541773978385E-2</v>
      </c>
    </row>
    <row r="11" spans="1:4" ht="14.25" customHeight="1" x14ac:dyDescent="0.3">
      <c r="A11" s="62">
        <v>43367</v>
      </c>
      <c r="B11" s="6">
        <v>9178.9384769999997</v>
      </c>
      <c r="C11" s="63">
        <f t="shared" si="0"/>
        <v>-5.1232921439089418E-3</v>
      </c>
    </row>
    <row r="12" spans="1:4" ht="14.25" customHeight="1" x14ac:dyDescent="0.3">
      <c r="A12" s="62">
        <v>43374</v>
      </c>
      <c r="B12" s="6">
        <v>8913.2607420000004</v>
      </c>
      <c r="C12" s="63">
        <f t="shared" si="0"/>
        <v>-2.894427669013333E-2</v>
      </c>
    </row>
    <row r="13" spans="1:4" ht="14.25" customHeight="1" x14ac:dyDescent="0.3">
      <c r="A13" s="62">
        <v>43381</v>
      </c>
      <c r="B13" s="6">
        <v>9179.1259769999997</v>
      </c>
      <c r="C13" s="63">
        <f t="shared" si="0"/>
        <v>2.9828055376773799E-2</v>
      </c>
    </row>
    <row r="14" spans="1:4" ht="14.25" customHeight="1" x14ac:dyDescent="0.3">
      <c r="A14" s="62">
        <v>43388</v>
      </c>
      <c r="B14" s="6">
        <v>9093.2021480000003</v>
      </c>
      <c r="C14" s="63">
        <f t="shared" si="0"/>
        <v>-9.3607854620687547E-3</v>
      </c>
    </row>
    <row r="15" spans="1:4" ht="14.25" customHeight="1" x14ac:dyDescent="0.3">
      <c r="A15" s="62">
        <v>43395</v>
      </c>
      <c r="B15" s="6">
        <v>9055.7294920000004</v>
      </c>
      <c r="C15" s="63">
        <f t="shared" si="0"/>
        <v>-4.1209527062193718E-3</v>
      </c>
    </row>
    <row r="16" spans="1:4" ht="14.25" customHeight="1" x14ac:dyDescent="0.3">
      <c r="A16" s="62">
        <v>43402</v>
      </c>
      <c r="B16" s="6">
        <v>9680.4873050000006</v>
      </c>
      <c r="C16" s="63">
        <f t="shared" si="0"/>
        <v>6.8990335185246332E-2</v>
      </c>
    </row>
    <row r="17" spans="1:3" ht="14.25" customHeight="1" x14ac:dyDescent="0.3">
      <c r="A17" s="62">
        <v>43409</v>
      </c>
      <c r="B17" s="6">
        <v>9677.03125</v>
      </c>
      <c r="C17" s="63">
        <f t="shared" si="0"/>
        <v>-3.5701250268826978E-4</v>
      </c>
    </row>
    <row r="18" spans="1:3" ht="14.25" customHeight="1" x14ac:dyDescent="0.3">
      <c r="A18" s="62">
        <v>43416</v>
      </c>
      <c r="B18" s="6">
        <v>10113.520508</v>
      </c>
      <c r="C18" s="63">
        <f t="shared" si="0"/>
        <v>4.510569891980043E-2</v>
      </c>
    </row>
    <row r="19" spans="1:3" ht="14.25" customHeight="1" x14ac:dyDescent="0.3">
      <c r="A19" s="62">
        <v>43423</v>
      </c>
      <c r="B19" s="6">
        <v>9750.1357420000004</v>
      </c>
      <c r="C19" s="63">
        <f t="shared" si="0"/>
        <v>-3.5930590708997401E-2</v>
      </c>
    </row>
    <row r="20" spans="1:3" ht="14.25" customHeight="1" x14ac:dyDescent="0.3">
      <c r="A20" s="62">
        <v>43430</v>
      </c>
      <c r="B20" s="6">
        <v>10186.953125</v>
      </c>
      <c r="C20" s="63">
        <f t="shared" si="0"/>
        <v>4.4801159138569746E-2</v>
      </c>
    </row>
    <row r="21" spans="1:3" ht="14.25" customHeight="1" x14ac:dyDescent="0.3">
      <c r="A21" s="62">
        <v>43437</v>
      </c>
      <c r="B21" s="6">
        <v>9846.0439449999994</v>
      </c>
      <c r="C21" s="63">
        <f t="shared" si="0"/>
        <v>-3.3465274240181642E-2</v>
      </c>
    </row>
    <row r="22" spans="1:3" ht="14.25" customHeight="1" x14ac:dyDescent="0.3">
      <c r="A22" s="62">
        <v>43444</v>
      </c>
      <c r="B22" s="6">
        <v>10396.137694999999</v>
      </c>
      <c r="C22" s="63">
        <f t="shared" si="0"/>
        <v>5.5869520090792157E-2</v>
      </c>
    </row>
    <row r="23" spans="1:3" ht="14.25" customHeight="1" x14ac:dyDescent="0.3">
      <c r="A23" s="62">
        <v>43451</v>
      </c>
      <c r="B23" s="6">
        <v>10468.541992</v>
      </c>
      <c r="C23" s="63">
        <f t="shared" si="0"/>
        <v>6.9645380932981116E-3</v>
      </c>
    </row>
    <row r="24" spans="1:3" ht="14.25" customHeight="1" x14ac:dyDescent="0.3">
      <c r="A24" s="62">
        <v>43458</v>
      </c>
      <c r="B24" s="6">
        <v>10704.525390999999</v>
      </c>
      <c r="C24" s="63">
        <f t="shared" si="0"/>
        <v>2.2542145714306239E-2</v>
      </c>
    </row>
    <row r="25" spans="1:3" ht="14.25" customHeight="1" x14ac:dyDescent="0.3">
      <c r="A25" s="62">
        <v>43465</v>
      </c>
      <c r="B25" s="6">
        <v>10317.176758</v>
      </c>
      <c r="C25" s="63">
        <f t="shared" si="0"/>
        <v>-3.6185502752477894E-2</v>
      </c>
    </row>
    <row r="26" spans="1:3" ht="14.25" customHeight="1" x14ac:dyDescent="0.3">
      <c r="A26" s="62">
        <v>43472</v>
      </c>
      <c r="B26" s="6">
        <v>10718.217773</v>
      </c>
      <c r="C26" s="63">
        <f t="shared" si="0"/>
        <v>3.8871197460975004E-2</v>
      </c>
    </row>
    <row r="27" spans="1:3" ht="14.25" customHeight="1" x14ac:dyDescent="0.3">
      <c r="A27" s="62">
        <v>43479</v>
      </c>
      <c r="B27" s="6">
        <v>10694.827148</v>
      </c>
      <c r="C27" s="63">
        <f t="shared" si="0"/>
        <v>-2.1823241041922792E-3</v>
      </c>
    </row>
    <row r="28" spans="1:3" ht="14.25" customHeight="1" x14ac:dyDescent="0.3">
      <c r="A28" s="62">
        <v>43486</v>
      </c>
      <c r="B28" s="6">
        <v>10806.261719</v>
      </c>
      <c r="C28" s="63">
        <f t="shared" si="0"/>
        <v>1.0419483125619244E-2</v>
      </c>
    </row>
    <row r="29" spans="1:3" ht="14.25" customHeight="1" x14ac:dyDescent="0.3">
      <c r="A29" s="62">
        <v>43493</v>
      </c>
      <c r="B29" s="6">
        <v>10987.813477</v>
      </c>
      <c r="C29" s="63">
        <f t="shared" si="0"/>
        <v>1.6800607159161096E-2</v>
      </c>
    </row>
    <row r="30" spans="1:3" ht="14.25" customHeight="1" x14ac:dyDescent="0.3">
      <c r="A30" s="62">
        <v>43500</v>
      </c>
      <c r="B30" s="6">
        <v>10689.411133</v>
      </c>
      <c r="C30" s="63">
        <f t="shared" si="0"/>
        <v>-2.7157572762281035E-2</v>
      </c>
    </row>
    <row r="31" spans="1:3" ht="14.25" customHeight="1" x14ac:dyDescent="0.3">
      <c r="A31" s="62">
        <v>43507</v>
      </c>
      <c r="B31" s="6">
        <v>10016.965819999999</v>
      </c>
      <c r="C31" s="63">
        <f t="shared" si="0"/>
        <v>-6.2907610590825613E-2</v>
      </c>
    </row>
    <row r="32" spans="1:3" ht="14.25" customHeight="1" x14ac:dyDescent="0.3">
      <c r="A32" s="62">
        <v>43514</v>
      </c>
      <c r="B32" s="6">
        <v>10159.583984000001</v>
      </c>
      <c r="C32" s="63">
        <f t="shared" si="0"/>
        <v>1.4237661040556571E-2</v>
      </c>
    </row>
    <row r="33" spans="1:3" ht="14.25" customHeight="1" x14ac:dyDescent="0.3">
      <c r="A33" s="62">
        <v>43521</v>
      </c>
      <c r="B33" s="6">
        <v>9937.4326170000004</v>
      </c>
      <c r="C33" s="63">
        <f t="shared" si="0"/>
        <v>-2.1866187370453316E-2</v>
      </c>
    </row>
    <row r="34" spans="1:3" ht="14.25" customHeight="1" x14ac:dyDescent="0.3">
      <c r="A34" s="62">
        <v>43528</v>
      </c>
      <c r="B34" s="6">
        <v>9598.3339840000008</v>
      </c>
      <c r="C34" s="63">
        <f t="shared" si="0"/>
        <v>-3.4123364260090883E-2</v>
      </c>
    </row>
    <row r="35" spans="1:3" ht="14.25" customHeight="1" x14ac:dyDescent="0.3">
      <c r="A35" s="62">
        <v>43535</v>
      </c>
      <c r="B35" s="6">
        <v>9783.5019530000009</v>
      </c>
      <c r="C35" s="63">
        <f t="shared" si="0"/>
        <v>1.9291678046280403E-2</v>
      </c>
    </row>
    <row r="36" spans="1:3" ht="14.25" customHeight="1" x14ac:dyDescent="0.3">
      <c r="A36" s="62">
        <v>43542</v>
      </c>
      <c r="B36" s="6">
        <v>10078.959961</v>
      </c>
      <c r="C36" s="63">
        <f t="shared" si="0"/>
        <v>3.0199616601435997E-2</v>
      </c>
    </row>
    <row r="37" spans="1:3" ht="14.25" customHeight="1" x14ac:dyDescent="0.3">
      <c r="A37" s="62">
        <v>43549</v>
      </c>
      <c r="B37" s="6">
        <v>10421.524414</v>
      </c>
      <c r="C37" s="63">
        <f t="shared" si="0"/>
        <v>3.3988075587712885E-2</v>
      </c>
    </row>
    <row r="38" spans="1:3" ht="14.25" customHeight="1" x14ac:dyDescent="0.3">
      <c r="A38" s="62">
        <v>43556</v>
      </c>
      <c r="B38" s="6">
        <v>10440.351563</v>
      </c>
      <c r="C38" s="63">
        <f t="shared" si="0"/>
        <v>1.8065638242625859E-3</v>
      </c>
    </row>
    <row r="39" spans="1:3" ht="14.25" customHeight="1" x14ac:dyDescent="0.3">
      <c r="A39" s="62">
        <v>43563</v>
      </c>
      <c r="B39" s="6">
        <v>10433.742188</v>
      </c>
      <c r="C39" s="63">
        <f t="shared" si="0"/>
        <v>-6.3306057847933861E-4</v>
      </c>
    </row>
    <row r="40" spans="1:3" ht="14.25" customHeight="1" x14ac:dyDescent="0.3">
      <c r="A40" s="62">
        <v>43570</v>
      </c>
      <c r="B40" s="6">
        <v>10415.344727</v>
      </c>
      <c r="C40" s="63">
        <f t="shared" si="0"/>
        <v>-1.763265822416038E-3</v>
      </c>
    </row>
    <row r="41" spans="1:3" ht="14.25" customHeight="1" x14ac:dyDescent="0.3">
      <c r="A41" s="62">
        <v>43577</v>
      </c>
      <c r="B41" s="6">
        <v>10431.318359000001</v>
      </c>
      <c r="C41" s="63">
        <f t="shared" si="0"/>
        <v>1.5336633033942171E-3</v>
      </c>
    </row>
    <row r="42" spans="1:3" ht="14.25" customHeight="1" x14ac:dyDescent="0.3">
      <c r="A42" s="62">
        <v>43584</v>
      </c>
      <c r="B42" s="6">
        <v>9969.6650389999995</v>
      </c>
      <c r="C42" s="63">
        <f t="shared" si="0"/>
        <v>-4.4256469231589768E-2</v>
      </c>
    </row>
    <row r="43" spans="1:3" ht="14.25" customHeight="1" x14ac:dyDescent="0.3">
      <c r="A43" s="62">
        <v>43591</v>
      </c>
      <c r="B43" s="6">
        <v>9772.2607420000004</v>
      </c>
      <c r="C43" s="63">
        <f t="shared" si="0"/>
        <v>-1.9800494422609005E-2</v>
      </c>
    </row>
    <row r="44" spans="1:3" ht="14.25" customHeight="1" x14ac:dyDescent="0.3">
      <c r="A44" s="62">
        <v>43598</v>
      </c>
      <c r="B44" s="6">
        <v>10018.21875</v>
      </c>
      <c r="C44" s="63">
        <f t="shared" si="0"/>
        <v>2.5168997685755645E-2</v>
      </c>
    </row>
    <row r="45" spans="1:3" ht="14.25" customHeight="1" x14ac:dyDescent="0.3">
      <c r="A45" s="62">
        <v>43605</v>
      </c>
      <c r="B45" s="6">
        <v>10204.305664</v>
      </c>
      <c r="C45" s="63">
        <f t="shared" si="0"/>
        <v>1.8574850344528437E-2</v>
      </c>
    </row>
    <row r="46" spans="1:3" ht="14.25" customHeight="1" x14ac:dyDescent="0.3">
      <c r="A46" s="62">
        <v>43612</v>
      </c>
      <c r="B46" s="6">
        <v>11006.527344</v>
      </c>
      <c r="C46" s="63">
        <f t="shared" si="0"/>
        <v>7.8615998620090055E-2</v>
      </c>
    </row>
    <row r="47" spans="1:3" ht="14.25" customHeight="1" x14ac:dyDescent="0.3">
      <c r="A47" s="62">
        <v>43619</v>
      </c>
      <c r="B47" s="6">
        <v>11012.030273</v>
      </c>
      <c r="C47" s="63">
        <f t="shared" si="0"/>
        <v>4.9996959331588542E-4</v>
      </c>
    </row>
    <row r="48" spans="1:3" ht="14.25" customHeight="1" x14ac:dyDescent="0.3">
      <c r="A48" s="62">
        <v>43626</v>
      </c>
      <c r="B48" s="6">
        <v>10997.815430000001</v>
      </c>
      <c r="C48" s="63">
        <f t="shared" si="0"/>
        <v>-1.2908467056118589E-3</v>
      </c>
    </row>
    <row r="49" spans="1:3" ht="14.25" customHeight="1" x14ac:dyDescent="0.3">
      <c r="A49" s="62">
        <v>43633</v>
      </c>
      <c r="B49" s="6">
        <v>11104.932617</v>
      </c>
      <c r="C49" s="63">
        <f t="shared" si="0"/>
        <v>9.7398604006213585E-3</v>
      </c>
    </row>
    <row r="50" spans="1:3" ht="14.25" customHeight="1" x14ac:dyDescent="0.3">
      <c r="A50" s="62">
        <v>43640</v>
      </c>
      <c r="B50" s="6">
        <v>11403.306640999999</v>
      </c>
      <c r="C50" s="63">
        <f t="shared" si="0"/>
        <v>2.6868602835395272E-2</v>
      </c>
    </row>
    <row r="51" spans="1:3" ht="14.25" customHeight="1" x14ac:dyDescent="0.3">
      <c r="A51" s="62">
        <v>43647</v>
      </c>
      <c r="B51" s="6">
        <v>11445.712890999999</v>
      </c>
      <c r="C51" s="63">
        <f t="shared" si="0"/>
        <v>3.7187678394554613E-3</v>
      </c>
    </row>
    <row r="52" spans="1:3" ht="14.25" customHeight="1" x14ac:dyDescent="0.3">
      <c r="A52" s="62">
        <v>43654</v>
      </c>
      <c r="B52" s="6">
        <v>11173.136719</v>
      </c>
      <c r="C52" s="63">
        <f t="shared" si="0"/>
        <v>-2.381469591241725E-2</v>
      </c>
    </row>
    <row r="53" spans="1:3" ht="14.25" customHeight="1" x14ac:dyDescent="0.3">
      <c r="A53" s="62">
        <v>43661</v>
      </c>
      <c r="B53" s="6">
        <v>11053.384765999999</v>
      </c>
      <c r="C53" s="63">
        <f t="shared" si="0"/>
        <v>-1.0717845490636591E-2</v>
      </c>
    </row>
    <row r="54" spans="1:3" ht="14.25" customHeight="1" x14ac:dyDescent="0.3">
      <c r="A54" s="62">
        <v>43668</v>
      </c>
      <c r="B54" s="6">
        <v>11126.326171999999</v>
      </c>
      <c r="C54" s="63">
        <f t="shared" si="0"/>
        <v>6.599010849994702E-3</v>
      </c>
    </row>
    <row r="55" spans="1:3" ht="14.25" customHeight="1" x14ac:dyDescent="0.3">
      <c r="A55" s="62">
        <v>43675</v>
      </c>
      <c r="B55" s="6">
        <v>10923.629883</v>
      </c>
      <c r="C55" s="63">
        <f t="shared" si="0"/>
        <v>-1.821771947600237E-2</v>
      </c>
    </row>
    <row r="56" spans="1:3" ht="14.25" customHeight="1" x14ac:dyDescent="0.3">
      <c r="A56" s="62">
        <v>43682</v>
      </c>
      <c r="B56" s="6">
        <v>11480.557617</v>
      </c>
      <c r="C56" s="63">
        <f t="shared" si="0"/>
        <v>5.0983760889475427E-2</v>
      </c>
    </row>
    <row r="57" spans="1:3" ht="14.25" customHeight="1" x14ac:dyDescent="0.3">
      <c r="A57" s="62">
        <v>43689</v>
      </c>
      <c r="B57" s="6">
        <v>11668.572265999999</v>
      </c>
      <c r="C57" s="63">
        <f t="shared" si="0"/>
        <v>1.6376787197304177E-2</v>
      </c>
    </row>
    <row r="58" spans="1:3" ht="14.25" customHeight="1" x14ac:dyDescent="0.3">
      <c r="A58" s="62">
        <v>43696</v>
      </c>
      <c r="B58" s="6">
        <v>12090.673828000001</v>
      </c>
      <c r="C58" s="63">
        <f t="shared" si="0"/>
        <v>3.6174225293177154E-2</v>
      </c>
    </row>
    <row r="59" spans="1:3" ht="14.25" customHeight="1" x14ac:dyDescent="0.3">
      <c r="A59" s="62">
        <v>43703</v>
      </c>
      <c r="B59" s="6">
        <v>12515.011719</v>
      </c>
      <c r="C59" s="63">
        <f t="shared" si="0"/>
        <v>3.5096297943072674E-2</v>
      </c>
    </row>
    <row r="60" spans="1:3" ht="14.25" customHeight="1" x14ac:dyDescent="0.3">
      <c r="A60" s="62">
        <v>43710</v>
      </c>
      <c r="B60" s="6">
        <v>12261.070313</v>
      </c>
      <c r="C60" s="63">
        <f t="shared" si="0"/>
        <v>-2.0290944323645532E-2</v>
      </c>
    </row>
    <row r="61" spans="1:3" ht="14.25" customHeight="1" x14ac:dyDescent="0.3">
      <c r="A61" s="62">
        <v>43717</v>
      </c>
      <c r="B61" s="6">
        <v>12334.311523</v>
      </c>
      <c r="C61" s="63">
        <f t="shared" si="0"/>
        <v>5.9734760612493165E-3</v>
      </c>
    </row>
    <row r="62" spans="1:3" ht="14.25" customHeight="1" x14ac:dyDescent="0.3">
      <c r="A62" s="62">
        <v>43724</v>
      </c>
      <c r="B62" s="6">
        <v>13121.75</v>
      </c>
      <c r="C62" s="63">
        <f t="shared" si="0"/>
        <v>6.3841299575712052E-2</v>
      </c>
    </row>
    <row r="63" spans="1:3" ht="14.25" customHeight="1" x14ac:dyDescent="0.3">
      <c r="A63" s="62">
        <v>43731</v>
      </c>
      <c r="B63" s="6">
        <v>13356.493164</v>
      </c>
      <c r="C63" s="63">
        <f t="shared" si="0"/>
        <v>1.7889623259092602E-2</v>
      </c>
    </row>
    <row r="64" spans="1:3" ht="14.25" customHeight="1" x14ac:dyDescent="0.3">
      <c r="A64" s="62">
        <v>43738</v>
      </c>
      <c r="B64" s="6">
        <v>13064.982421999999</v>
      </c>
      <c r="C64" s="63">
        <f t="shared" si="0"/>
        <v>-2.1825395215692933E-2</v>
      </c>
    </row>
    <row r="65" spans="1:3" ht="14.25" customHeight="1" x14ac:dyDescent="0.3">
      <c r="A65" s="62">
        <v>43745</v>
      </c>
      <c r="B65" s="6">
        <v>13639.838867</v>
      </c>
      <c r="C65" s="63">
        <f t="shared" si="0"/>
        <v>4.3999787097455778E-2</v>
      </c>
    </row>
    <row r="66" spans="1:3" ht="14.25" customHeight="1" x14ac:dyDescent="0.3">
      <c r="A66" s="62">
        <v>43752</v>
      </c>
      <c r="B66" s="6">
        <v>14420.422852</v>
      </c>
      <c r="C66" s="63">
        <f t="shared" si="0"/>
        <v>5.7228240935347952E-2</v>
      </c>
    </row>
    <row r="67" spans="1:3" ht="14.25" customHeight="1" x14ac:dyDescent="0.3">
      <c r="A67" s="62">
        <v>43759</v>
      </c>
      <c r="B67" s="6">
        <v>14398.990234000001</v>
      </c>
      <c r="C67" s="63">
        <f t="shared" si="0"/>
        <v>-1.4862683445532321E-3</v>
      </c>
    </row>
    <row r="68" spans="1:3" ht="14.25" customHeight="1" x14ac:dyDescent="0.3">
      <c r="A68" s="62">
        <v>43766</v>
      </c>
      <c r="B68" s="6">
        <v>14541.294921999999</v>
      </c>
      <c r="C68" s="63">
        <f t="shared" si="0"/>
        <v>9.8829630194467999E-3</v>
      </c>
    </row>
    <row r="69" spans="1:3" ht="14.25" customHeight="1" x14ac:dyDescent="0.3">
      <c r="A69" s="62">
        <v>43773</v>
      </c>
      <c r="B69" s="6">
        <v>14066.458984000001</v>
      </c>
      <c r="C69" s="63">
        <f t="shared" si="0"/>
        <v>-3.2654309024542472E-2</v>
      </c>
    </row>
    <row r="70" spans="1:3" ht="14.25" customHeight="1" x14ac:dyDescent="0.3">
      <c r="A70" s="62">
        <v>43780</v>
      </c>
      <c r="B70" s="6">
        <v>13895.626953000001</v>
      </c>
      <c r="C70" s="63">
        <f t="shared" si="0"/>
        <v>-1.2144636485579952E-2</v>
      </c>
    </row>
    <row r="71" spans="1:3" ht="14.25" customHeight="1" x14ac:dyDescent="0.3">
      <c r="A71" s="62">
        <v>43787</v>
      </c>
      <c r="B71" s="6">
        <v>13775.047852</v>
      </c>
      <c r="C71" s="63">
        <f t="shared" si="0"/>
        <v>-8.6774854713531635E-3</v>
      </c>
    </row>
    <row r="72" spans="1:3" ht="14.25" customHeight="1" x14ac:dyDescent="0.3">
      <c r="A72" s="62">
        <v>43794</v>
      </c>
      <c r="B72" s="6">
        <v>14049.596680000001</v>
      </c>
      <c r="C72" s="63">
        <f t="shared" si="0"/>
        <v>1.993088016461142E-2</v>
      </c>
    </row>
    <row r="73" spans="1:3" ht="14.25" customHeight="1" x14ac:dyDescent="0.3">
      <c r="A73" s="62">
        <v>43801</v>
      </c>
      <c r="B73" s="6">
        <v>13769.991211</v>
      </c>
      <c r="C73" s="63">
        <f t="shared" si="0"/>
        <v>-1.9901316412735626E-2</v>
      </c>
    </row>
    <row r="74" spans="1:3" ht="14.25" customHeight="1" x14ac:dyDescent="0.3">
      <c r="A74" s="62">
        <v>43808</v>
      </c>
      <c r="B74" s="6">
        <v>13901.505859000001</v>
      </c>
      <c r="C74" s="63">
        <f t="shared" si="0"/>
        <v>9.5508156820711676E-3</v>
      </c>
    </row>
    <row r="75" spans="1:3" ht="14.25" customHeight="1" x14ac:dyDescent="0.3">
      <c r="A75" s="62">
        <v>43815</v>
      </c>
      <c r="B75" s="6">
        <v>14498.613281</v>
      </c>
      <c r="C75" s="63">
        <f t="shared" si="0"/>
        <v>4.2952715199082059E-2</v>
      </c>
    </row>
    <row r="76" spans="1:3" ht="14.25" customHeight="1" x14ac:dyDescent="0.3">
      <c r="A76" s="62">
        <v>43822</v>
      </c>
      <c r="B76" s="6">
        <v>14309.211914</v>
      </c>
      <c r="C76" s="63">
        <f t="shared" si="0"/>
        <v>-1.3063412571201249E-2</v>
      </c>
    </row>
    <row r="77" spans="1:3" ht="14.25" customHeight="1" x14ac:dyDescent="0.3">
      <c r="A77" s="62">
        <v>43829</v>
      </c>
      <c r="B77" s="6">
        <v>14240.367188</v>
      </c>
      <c r="C77" s="63">
        <f t="shared" si="0"/>
        <v>-4.8112171665193326E-3</v>
      </c>
    </row>
    <row r="78" spans="1:3" ht="14.25" customHeight="1" x14ac:dyDescent="0.3">
      <c r="A78" s="62">
        <v>43836</v>
      </c>
      <c r="B78" s="6">
        <v>14330.385742</v>
      </c>
      <c r="C78" s="63">
        <f t="shared" si="0"/>
        <v>6.321364667889684E-3</v>
      </c>
    </row>
    <row r="79" spans="1:3" ht="14.25" customHeight="1" x14ac:dyDescent="0.3">
      <c r="A79" s="62">
        <v>43843</v>
      </c>
      <c r="B79" s="6">
        <v>15065.745117</v>
      </c>
      <c r="C79" s="63">
        <f t="shared" si="0"/>
        <v>5.1314695098875207E-2</v>
      </c>
    </row>
    <row r="80" spans="1:3" ht="14.25" customHeight="1" x14ac:dyDescent="0.3">
      <c r="A80" s="62">
        <v>43850</v>
      </c>
      <c r="B80" s="6">
        <v>15374.145508</v>
      </c>
      <c r="C80" s="63">
        <f t="shared" si="0"/>
        <v>2.0470304562102637E-2</v>
      </c>
    </row>
    <row r="81" spans="1:3" ht="14.25" customHeight="1" x14ac:dyDescent="0.3">
      <c r="A81" s="62">
        <v>43857</v>
      </c>
      <c r="B81" s="6">
        <v>15148.982421999999</v>
      </c>
      <c r="C81" s="63">
        <f t="shared" si="0"/>
        <v>-1.4645567513513869E-2</v>
      </c>
    </row>
    <row r="82" spans="1:3" ht="14.25" customHeight="1" x14ac:dyDescent="0.3">
      <c r="A82" s="62">
        <v>43864</v>
      </c>
      <c r="B82" s="6">
        <v>15932.59375</v>
      </c>
      <c r="C82" s="63">
        <f t="shared" si="0"/>
        <v>5.1726994340029586E-2</v>
      </c>
    </row>
    <row r="83" spans="1:3" ht="14.25" customHeight="1" x14ac:dyDescent="0.3">
      <c r="A83" s="62">
        <v>43871</v>
      </c>
      <c r="B83" s="6">
        <v>15960.549805000001</v>
      </c>
      <c r="C83" s="63">
        <f t="shared" si="0"/>
        <v>1.7546455673609351E-3</v>
      </c>
    </row>
    <row r="84" spans="1:3" ht="14.25" customHeight="1" x14ac:dyDescent="0.3">
      <c r="A84" s="62">
        <v>43878</v>
      </c>
      <c r="B84" s="6">
        <v>16139.169921999999</v>
      </c>
      <c r="C84" s="63">
        <f t="shared" si="0"/>
        <v>1.1191351124009596E-2</v>
      </c>
    </row>
    <row r="85" spans="1:3" ht="14.25" customHeight="1" x14ac:dyDescent="0.3">
      <c r="A85" s="62">
        <v>43885</v>
      </c>
      <c r="B85" s="6">
        <v>15396.930664</v>
      </c>
      <c r="C85" s="63">
        <f t="shared" si="0"/>
        <v>-4.5989927709244927E-2</v>
      </c>
    </row>
    <row r="86" spans="1:3" ht="14.25" customHeight="1" x14ac:dyDescent="0.3">
      <c r="A86" s="62">
        <v>43892</v>
      </c>
      <c r="B86" s="6">
        <v>16031.637694999999</v>
      </c>
      <c r="C86" s="63">
        <f t="shared" si="0"/>
        <v>4.1222958318830827E-2</v>
      </c>
    </row>
    <row r="87" spans="1:3" ht="14.25" customHeight="1" x14ac:dyDescent="0.3">
      <c r="A87" s="62">
        <v>43899</v>
      </c>
      <c r="B87" s="6">
        <v>14628.930664</v>
      </c>
      <c r="C87" s="63">
        <f t="shared" si="0"/>
        <v>-8.7496178349731557E-2</v>
      </c>
    </row>
    <row r="88" spans="1:3" ht="14.25" customHeight="1" x14ac:dyDescent="0.3">
      <c r="A88" s="62">
        <v>43906</v>
      </c>
      <c r="B88" s="6">
        <v>13803.114258</v>
      </c>
      <c r="C88" s="63">
        <f t="shared" si="0"/>
        <v>-5.6450907107806092E-2</v>
      </c>
    </row>
    <row r="89" spans="1:3" ht="14.25" customHeight="1" x14ac:dyDescent="0.3">
      <c r="A89" s="62">
        <v>43913</v>
      </c>
      <c r="B89" s="6">
        <v>14742.902344</v>
      </c>
      <c r="C89" s="63">
        <f t="shared" si="0"/>
        <v>6.8085221090980808E-2</v>
      </c>
    </row>
    <row r="90" spans="1:3" ht="14.25" customHeight="1" x14ac:dyDescent="0.3">
      <c r="A90" s="62">
        <v>43920</v>
      </c>
      <c r="B90" s="6">
        <v>14739.049805000001</v>
      </c>
      <c r="C90" s="63">
        <f t="shared" si="0"/>
        <v>-2.6131482866176281E-4</v>
      </c>
    </row>
    <row r="91" spans="1:3" ht="14.25" customHeight="1" x14ac:dyDescent="0.3">
      <c r="A91" s="62">
        <v>43927</v>
      </c>
      <c r="B91" s="6">
        <v>16432.101563</v>
      </c>
      <c r="C91" s="63">
        <f t="shared" si="0"/>
        <v>0.11486844677230534</v>
      </c>
    </row>
    <row r="92" spans="1:3" ht="14.25" customHeight="1" x14ac:dyDescent="0.3">
      <c r="A92" s="62">
        <v>43934</v>
      </c>
      <c r="B92" s="6">
        <v>16904.972656000002</v>
      </c>
      <c r="C92" s="63">
        <f t="shared" si="0"/>
        <v>2.8777274238905637E-2</v>
      </c>
    </row>
    <row r="93" spans="1:3" ht="14.25" customHeight="1" x14ac:dyDescent="0.3">
      <c r="A93" s="62">
        <v>43941</v>
      </c>
      <c r="B93" s="6">
        <v>16984.744140999999</v>
      </c>
      <c r="C93" s="63">
        <f t="shared" si="0"/>
        <v>4.7188177480834703E-3</v>
      </c>
    </row>
    <row r="94" spans="1:3" ht="14.25" customHeight="1" x14ac:dyDescent="0.3">
      <c r="A94" s="62">
        <v>43948</v>
      </c>
      <c r="B94" s="6">
        <v>17490.791015999999</v>
      </c>
      <c r="C94" s="63">
        <f t="shared" si="0"/>
        <v>2.9794200654364777E-2</v>
      </c>
    </row>
    <row r="95" spans="1:3" ht="14.25" customHeight="1" x14ac:dyDescent="0.3">
      <c r="A95" s="62">
        <v>43955</v>
      </c>
      <c r="B95" s="6">
        <v>17372.037109000001</v>
      </c>
      <c r="C95" s="63">
        <f t="shared" si="0"/>
        <v>-6.7895103709927351E-3</v>
      </c>
    </row>
    <row r="96" spans="1:3" ht="14.25" customHeight="1" x14ac:dyDescent="0.3">
      <c r="A96" s="62">
        <v>43962</v>
      </c>
      <c r="B96" s="6">
        <v>16045.787109000001</v>
      </c>
      <c r="C96" s="63">
        <f t="shared" si="0"/>
        <v>-7.6343953888568628E-2</v>
      </c>
    </row>
    <row r="97" spans="1:3" ht="14.25" customHeight="1" x14ac:dyDescent="0.3">
      <c r="A97" s="62">
        <v>43969</v>
      </c>
      <c r="B97" s="6">
        <v>15941.207031</v>
      </c>
      <c r="C97" s="63">
        <f t="shared" si="0"/>
        <v>-6.5176034861725851E-3</v>
      </c>
    </row>
    <row r="98" spans="1:3" ht="14.25" customHeight="1" x14ac:dyDescent="0.3">
      <c r="A98" s="62">
        <v>43976</v>
      </c>
      <c r="B98" s="6">
        <v>17244.460938</v>
      </c>
      <c r="C98" s="63">
        <f t="shared" si="0"/>
        <v>8.1753778397434695E-2</v>
      </c>
    </row>
    <row r="99" spans="1:3" ht="14.25" customHeight="1" x14ac:dyDescent="0.3">
      <c r="A99" s="62">
        <v>43983</v>
      </c>
      <c r="B99" s="6">
        <v>16808.011718999998</v>
      </c>
      <c r="C99" s="63">
        <f t="shared" si="0"/>
        <v>-2.5309531018058107E-2</v>
      </c>
    </row>
    <row r="100" spans="1:3" ht="14.25" customHeight="1" x14ac:dyDescent="0.3">
      <c r="A100" s="62">
        <v>43990</v>
      </c>
      <c r="B100" s="6">
        <v>16217.607421999999</v>
      </c>
      <c r="C100" s="63">
        <f t="shared" si="0"/>
        <v>-3.5126361575093301E-2</v>
      </c>
    </row>
    <row r="101" spans="1:3" ht="14.25" customHeight="1" x14ac:dyDescent="0.3">
      <c r="A101" s="62">
        <v>43997</v>
      </c>
      <c r="B101" s="6">
        <v>15881.529296999999</v>
      </c>
      <c r="C101" s="63">
        <f t="shared" si="0"/>
        <v>-2.0723039857537429E-2</v>
      </c>
    </row>
    <row r="102" spans="1:3" ht="14.25" customHeight="1" x14ac:dyDescent="0.3">
      <c r="A102" s="62">
        <v>44004</v>
      </c>
      <c r="B102" s="6">
        <v>16456.457031000002</v>
      </c>
      <c r="C102" s="63">
        <f t="shared" si="0"/>
        <v>3.6201030974303272E-2</v>
      </c>
    </row>
    <row r="103" spans="1:3" ht="14.25" customHeight="1" x14ac:dyDescent="0.3">
      <c r="A103" s="62">
        <v>44011</v>
      </c>
      <c r="B103" s="6">
        <v>16474.318359000001</v>
      </c>
      <c r="C103" s="63">
        <f t="shared" si="0"/>
        <v>1.0853689810845779E-3</v>
      </c>
    </row>
    <row r="104" spans="1:3" ht="14.25" customHeight="1" x14ac:dyDescent="0.3">
      <c r="A104" s="62">
        <v>44018</v>
      </c>
      <c r="B104" s="6">
        <v>16609.996093999998</v>
      </c>
      <c r="C104" s="63">
        <f t="shared" si="0"/>
        <v>8.2357116114535334E-3</v>
      </c>
    </row>
    <row r="105" spans="1:3" ht="14.25" customHeight="1" x14ac:dyDescent="0.3">
      <c r="A105" s="62">
        <v>44025</v>
      </c>
      <c r="B105" s="6">
        <v>17001.583984000001</v>
      </c>
      <c r="C105" s="63">
        <f t="shared" si="0"/>
        <v>2.3575435405517986E-2</v>
      </c>
    </row>
    <row r="106" spans="1:3" ht="14.25" customHeight="1" x14ac:dyDescent="0.3">
      <c r="A106" s="62">
        <v>44032</v>
      </c>
      <c r="B106" s="6">
        <v>17023.195313</v>
      </c>
      <c r="C106" s="63">
        <f t="shared" si="0"/>
        <v>1.2711362082695743E-3</v>
      </c>
    </row>
    <row r="107" spans="1:3" ht="14.25" customHeight="1" x14ac:dyDescent="0.3">
      <c r="A107" s="62">
        <v>44039</v>
      </c>
      <c r="B107" s="6">
        <v>16303.214844</v>
      </c>
      <c r="C107" s="63">
        <f t="shared" si="0"/>
        <v>-4.2294084968300671E-2</v>
      </c>
    </row>
    <row r="108" spans="1:3" ht="14.25" customHeight="1" x14ac:dyDescent="0.3">
      <c r="A108" s="62">
        <v>44046</v>
      </c>
      <c r="B108" s="6">
        <v>16566.083984000001</v>
      </c>
      <c r="C108" s="63">
        <f t="shared" si="0"/>
        <v>1.6123761019854577E-2</v>
      </c>
    </row>
    <row r="109" spans="1:3" ht="14.25" customHeight="1" x14ac:dyDescent="0.3">
      <c r="A109" s="62">
        <v>44053</v>
      </c>
      <c r="B109" s="6">
        <v>16137.936523</v>
      </c>
      <c r="C109" s="63">
        <f t="shared" si="0"/>
        <v>-2.5844820140566549E-2</v>
      </c>
    </row>
    <row r="110" spans="1:3" ht="14.25" customHeight="1" x14ac:dyDescent="0.3">
      <c r="A110" s="62">
        <v>44060</v>
      </c>
      <c r="B110" s="6">
        <v>16342.439453000001</v>
      </c>
      <c r="C110" s="63">
        <f t="shared" si="0"/>
        <v>1.2672185797021784E-2</v>
      </c>
    </row>
    <row r="111" spans="1:3" ht="14.25" customHeight="1" x14ac:dyDescent="0.3">
      <c r="A111" s="62">
        <v>44067</v>
      </c>
      <c r="B111" s="6">
        <v>15887.844727</v>
      </c>
      <c r="C111" s="63">
        <f t="shared" si="0"/>
        <v>-2.7816821797467361E-2</v>
      </c>
    </row>
    <row r="112" spans="1:3" ht="14.25" customHeight="1" x14ac:dyDescent="0.3">
      <c r="A112" s="62">
        <v>44074</v>
      </c>
      <c r="B112" s="6">
        <v>16017.454102</v>
      </c>
      <c r="C112" s="63">
        <f t="shared" si="0"/>
        <v>8.1577694915244692E-3</v>
      </c>
    </row>
    <row r="113" spans="1:3" ht="14.25" customHeight="1" x14ac:dyDescent="0.3">
      <c r="A113" s="62">
        <v>44081</v>
      </c>
      <c r="B113" s="6">
        <v>16108.974609000001</v>
      </c>
      <c r="C113" s="63">
        <f t="shared" si="0"/>
        <v>5.713798611014731E-3</v>
      </c>
    </row>
    <row r="114" spans="1:3" ht="14.25" customHeight="1" x14ac:dyDescent="0.3">
      <c r="A114" s="62">
        <v>44088</v>
      </c>
      <c r="B114" s="6">
        <v>15873.833008</v>
      </c>
      <c r="C114" s="63">
        <f t="shared" si="0"/>
        <v>-1.4596931630187604E-2</v>
      </c>
    </row>
    <row r="115" spans="1:3" ht="14.25" customHeight="1" x14ac:dyDescent="0.3">
      <c r="A115" s="62">
        <v>44095</v>
      </c>
      <c r="B115" s="6">
        <v>15528.224609000001</v>
      </c>
      <c r="C115" s="63">
        <f t="shared" si="0"/>
        <v>-2.1772208314514874E-2</v>
      </c>
    </row>
    <row r="116" spans="1:3" ht="14.25" customHeight="1" x14ac:dyDescent="0.3">
      <c r="A116" s="62">
        <v>44102</v>
      </c>
      <c r="B116" s="6">
        <v>15788.430664</v>
      </c>
      <c r="C116" s="63">
        <f t="shared" si="0"/>
        <v>1.6756973933078401E-2</v>
      </c>
    </row>
    <row r="117" spans="1:3" ht="14.25" customHeight="1" x14ac:dyDescent="0.3">
      <c r="A117" s="62">
        <v>44109</v>
      </c>
      <c r="B117" s="6">
        <v>15821.584961</v>
      </c>
      <c r="C117" s="63">
        <f t="shared" si="0"/>
        <v>2.0999108591328586E-3</v>
      </c>
    </row>
    <row r="118" spans="1:3" ht="14.25" customHeight="1" x14ac:dyDescent="0.3">
      <c r="A118" s="62">
        <v>44116</v>
      </c>
      <c r="B118" s="6">
        <v>15225.738281</v>
      </c>
      <c r="C118" s="63">
        <f t="shared" si="0"/>
        <v>-3.7660365979056754E-2</v>
      </c>
    </row>
    <row r="119" spans="1:3" ht="14.25" customHeight="1" x14ac:dyDescent="0.3">
      <c r="A119" s="62">
        <v>44123</v>
      </c>
      <c r="B119" s="6">
        <v>15655.169921999999</v>
      </c>
      <c r="C119" s="63">
        <f t="shared" si="0"/>
        <v>2.8204323040011969E-2</v>
      </c>
    </row>
    <row r="120" spans="1:3" ht="14.25" customHeight="1" x14ac:dyDescent="0.3">
      <c r="A120" s="62">
        <v>44130</v>
      </c>
      <c r="B120" s="6">
        <v>16934.140625</v>
      </c>
      <c r="C120" s="63">
        <f t="shared" si="0"/>
        <v>8.1696379494589966E-2</v>
      </c>
    </row>
    <row r="121" spans="1:3" ht="14.25" customHeight="1" x14ac:dyDescent="0.3">
      <c r="A121" s="62">
        <v>44137</v>
      </c>
      <c r="B121" s="6">
        <v>16914.632813</v>
      </c>
      <c r="C121" s="63">
        <f t="shared" si="0"/>
        <v>-1.1519812213677261E-3</v>
      </c>
    </row>
    <row r="122" spans="1:3" ht="14.25" customHeight="1" x14ac:dyDescent="0.3">
      <c r="A122" s="62">
        <v>44144</v>
      </c>
      <c r="B122" s="6">
        <v>16747.044922000001</v>
      </c>
      <c r="C122" s="63">
        <f t="shared" si="0"/>
        <v>-9.9078645603939419E-3</v>
      </c>
    </row>
    <row r="123" spans="1:3" ht="14.25" customHeight="1" x14ac:dyDescent="0.3">
      <c r="A123" s="62">
        <v>44151</v>
      </c>
      <c r="B123" s="6">
        <v>17365.927734000001</v>
      </c>
      <c r="C123" s="63">
        <f t="shared" si="0"/>
        <v>3.6954747233465479E-2</v>
      </c>
    </row>
    <row r="124" spans="1:3" ht="14.25" customHeight="1" x14ac:dyDescent="0.3">
      <c r="A124" s="62">
        <v>44158</v>
      </c>
      <c r="B124" s="6">
        <v>17792.158202999999</v>
      </c>
      <c r="C124" s="63">
        <f t="shared" si="0"/>
        <v>2.4544065570738294E-2</v>
      </c>
    </row>
    <row r="125" spans="1:3" ht="14.25" customHeight="1" x14ac:dyDescent="0.3">
      <c r="A125" s="62">
        <v>44165</v>
      </c>
      <c r="B125" s="6">
        <v>17732.234375</v>
      </c>
      <c r="C125" s="63">
        <f t="shared" si="0"/>
        <v>-3.3679909607534642E-3</v>
      </c>
    </row>
    <row r="126" spans="1:3" ht="14.25" customHeight="1" x14ac:dyDescent="0.3">
      <c r="A126" s="62">
        <v>44172</v>
      </c>
      <c r="B126" s="6">
        <v>18301.537109000001</v>
      </c>
      <c r="C126" s="63">
        <f t="shared" si="0"/>
        <v>3.210552725395055E-2</v>
      </c>
    </row>
    <row r="127" spans="1:3" ht="14.25" customHeight="1" x14ac:dyDescent="0.3">
      <c r="A127" s="62">
        <v>44179</v>
      </c>
      <c r="B127" s="6">
        <v>18263.394531000002</v>
      </c>
      <c r="C127" s="63">
        <f t="shared" si="0"/>
        <v>-2.0841188241638164E-3</v>
      </c>
    </row>
    <row r="128" spans="1:3" ht="14.25" customHeight="1" x14ac:dyDescent="0.3">
      <c r="A128" s="62">
        <v>44186</v>
      </c>
      <c r="B128" s="6">
        <v>18465.892577999999</v>
      </c>
      <c r="C128" s="63">
        <f t="shared" si="0"/>
        <v>1.1087645654058509E-2</v>
      </c>
    </row>
    <row r="129" spans="1:3" ht="14.25" customHeight="1" x14ac:dyDescent="0.3">
      <c r="A129" s="62">
        <v>44193</v>
      </c>
      <c r="B129" s="6">
        <v>18350.869140999999</v>
      </c>
      <c r="C129" s="63">
        <f t="shared" si="0"/>
        <v>-6.2289670815608433E-3</v>
      </c>
    </row>
    <row r="130" spans="1:3" ht="14.25" customHeight="1" x14ac:dyDescent="0.3">
      <c r="A130" s="62">
        <v>44200</v>
      </c>
      <c r="B130" s="6">
        <v>18207.201172000001</v>
      </c>
      <c r="C130" s="63">
        <f t="shared" si="0"/>
        <v>-7.8289462965550616E-3</v>
      </c>
    </row>
    <row r="131" spans="1:3" ht="14.25" customHeight="1" x14ac:dyDescent="0.3">
      <c r="A131" s="62">
        <v>44207</v>
      </c>
      <c r="B131" s="6">
        <v>17737.505859000001</v>
      </c>
      <c r="C131" s="63">
        <f t="shared" si="0"/>
        <v>-2.5797227622349928E-2</v>
      </c>
    </row>
    <row r="132" spans="1:3" ht="14.25" customHeight="1" x14ac:dyDescent="0.3">
      <c r="A132" s="62">
        <v>44214</v>
      </c>
      <c r="B132" s="6">
        <v>17494.427734000001</v>
      </c>
      <c r="C132" s="63">
        <f t="shared" si="0"/>
        <v>-1.3704188566999842E-2</v>
      </c>
    </row>
    <row r="133" spans="1:3" ht="14.25" customHeight="1" x14ac:dyDescent="0.3">
      <c r="A133" s="62">
        <v>44221</v>
      </c>
      <c r="B133" s="6">
        <v>16967.693359000001</v>
      </c>
      <c r="C133" s="63">
        <f t="shared" si="0"/>
        <v>-3.0108694208745401E-2</v>
      </c>
    </row>
    <row r="134" spans="1:3" ht="14.25" customHeight="1" x14ac:dyDescent="0.3">
      <c r="A134" s="62">
        <v>44228</v>
      </c>
      <c r="B134" s="6">
        <v>17023.142577999999</v>
      </c>
      <c r="C134" s="63">
        <f t="shared" si="0"/>
        <v>3.2679291066153304E-3</v>
      </c>
    </row>
    <row r="135" spans="1:3" ht="14.25" customHeight="1" x14ac:dyDescent="0.3">
      <c r="A135" s="62">
        <v>44235</v>
      </c>
      <c r="B135" s="6">
        <v>17200.726563</v>
      </c>
      <c r="C135" s="63">
        <f t="shared" si="0"/>
        <v>1.0431915504808265E-2</v>
      </c>
    </row>
    <row r="136" spans="1:3" ht="14.25" customHeight="1" x14ac:dyDescent="0.3">
      <c r="A136" s="62">
        <v>44242</v>
      </c>
      <c r="B136" s="6">
        <v>16287.792969</v>
      </c>
      <c r="C136" s="63">
        <f t="shared" si="0"/>
        <v>-5.3075292526525319E-2</v>
      </c>
    </row>
    <row r="137" spans="1:3" ht="14.25" customHeight="1" x14ac:dyDescent="0.3">
      <c r="A137" s="62">
        <v>44249</v>
      </c>
      <c r="B137" s="6">
        <v>16014.479492</v>
      </c>
      <c r="C137" s="63">
        <f t="shared" si="0"/>
        <v>-1.6780264675526513E-2</v>
      </c>
    </row>
    <row r="138" spans="1:3" ht="14.25" customHeight="1" x14ac:dyDescent="0.3">
      <c r="A138" s="62">
        <v>44256</v>
      </c>
      <c r="B138" s="6">
        <v>16692.09375</v>
      </c>
      <c r="C138" s="63">
        <f t="shared" si="0"/>
        <v>4.231259956581801E-2</v>
      </c>
    </row>
    <row r="139" spans="1:3" ht="14.25" customHeight="1" x14ac:dyDescent="0.3">
      <c r="A139" s="62">
        <v>44263</v>
      </c>
      <c r="B139" s="6">
        <v>16631.96875</v>
      </c>
      <c r="C139" s="63">
        <f t="shared" si="0"/>
        <v>-3.602004691592442E-3</v>
      </c>
    </row>
    <row r="140" spans="1:3" ht="14.25" customHeight="1" x14ac:dyDescent="0.3">
      <c r="A140" s="62">
        <v>44270</v>
      </c>
      <c r="B140" s="6">
        <v>16361.839844</v>
      </c>
      <c r="C140" s="63">
        <f t="shared" si="0"/>
        <v>-1.6241547231141795E-2</v>
      </c>
    </row>
    <row r="141" spans="1:3" ht="14.25" customHeight="1" x14ac:dyDescent="0.3">
      <c r="A141" s="62">
        <v>44277</v>
      </c>
      <c r="B141" s="6">
        <v>16482.085938</v>
      </c>
      <c r="C141" s="63">
        <f t="shared" si="0"/>
        <v>7.3491792577407011E-3</v>
      </c>
    </row>
    <row r="142" spans="1:3" ht="14.25" customHeight="1" x14ac:dyDescent="0.3">
      <c r="A142" s="62">
        <v>44284</v>
      </c>
      <c r="B142" s="6">
        <v>16990.71875</v>
      </c>
      <c r="C142" s="63">
        <f t="shared" si="0"/>
        <v>3.0859735467543503E-2</v>
      </c>
    </row>
    <row r="143" spans="1:3" ht="14.25" customHeight="1" x14ac:dyDescent="0.3">
      <c r="A143" s="62">
        <v>44291</v>
      </c>
      <c r="B143" s="6">
        <v>17497.212890999999</v>
      </c>
      <c r="C143" s="63">
        <f t="shared" si="0"/>
        <v>2.981004797104303E-2</v>
      </c>
    </row>
    <row r="144" spans="1:3" ht="14.25" customHeight="1" x14ac:dyDescent="0.3">
      <c r="A144" s="62">
        <v>44298</v>
      </c>
      <c r="B144" s="6">
        <v>17158.753906000002</v>
      </c>
      <c r="C144" s="63">
        <f t="shared" si="0"/>
        <v>-1.9343594154591859E-2</v>
      </c>
    </row>
    <row r="145" spans="1:3" ht="14.25" customHeight="1" x14ac:dyDescent="0.3">
      <c r="A145" s="62">
        <v>44305</v>
      </c>
      <c r="B145" s="6">
        <v>16535.742188</v>
      </c>
      <c r="C145" s="63">
        <f t="shared" si="0"/>
        <v>-3.6308680770935742E-2</v>
      </c>
    </row>
    <row r="146" spans="1:3" ht="14.25" customHeight="1" x14ac:dyDescent="0.3">
      <c r="A146" s="62">
        <v>44312</v>
      </c>
      <c r="B146" s="6">
        <v>16221.005859000001</v>
      </c>
      <c r="C146" s="63">
        <f t="shared" si="0"/>
        <v>-1.9033698362109441E-2</v>
      </c>
    </row>
    <row r="147" spans="1:3" ht="14.25" customHeight="1" x14ac:dyDescent="0.3">
      <c r="A147" s="62">
        <v>44319</v>
      </c>
      <c r="B147" s="6">
        <v>16761.349609000001</v>
      </c>
      <c r="C147" s="63">
        <f t="shared" si="0"/>
        <v>3.3311359030192111E-2</v>
      </c>
    </row>
    <row r="148" spans="1:3" ht="14.25" customHeight="1" x14ac:dyDescent="0.3">
      <c r="A148" s="62">
        <v>44326</v>
      </c>
      <c r="B148" s="6">
        <v>17224.150390999999</v>
      </c>
      <c r="C148" s="63">
        <f t="shared" si="0"/>
        <v>2.7611188406421405E-2</v>
      </c>
    </row>
    <row r="149" spans="1:3" ht="14.25" customHeight="1" x14ac:dyDescent="0.3">
      <c r="A149" s="62">
        <v>44333</v>
      </c>
      <c r="B149" s="6">
        <v>17497.099609000001</v>
      </c>
      <c r="C149" s="63">
        <f t="shared" si="0"/>
        <v>1.5846890081883114E-2</v>
      </c>
    </row>
    <row r="150" spans="1:3" ht="14.25" customHeight="1" x14ac:dyDescent="0.3">
      <c r="A150" s="62">
        <v>44340</v>
      </c>
      <c r="B150" s="6">
        <v>17509.400390999999</v>
      </c>
      <c r="C150" s="63">
        <f t="shared" si="0"/>
        <v>7.0301834446162559E-4</v>
      </c>
    </row>
    <row r="151" spans="1:3" ht="14.25" customHeight="1" x14ac:dyDescent="0.3">
      <c r="A151" s="62">
        <v>44347</v>
      </c>
      <c r="B151" s="6">
        <v>17426.800781000002</v>
      </c>
      <c r="C151" s="63">
        <f t="shared" si="0"/>
        <v>-4.7174436677143161E-3</v>
      </c>
    </row>
    <row r="152" spans="1:3" ht="14.25" customHeight="1" x14ac:dyDescent="0.3">
      <c r="A152" s="62">
        <v>44354</v>
      </c>
      <c r="B152" s="6">
        <v>17536.400390999999</v>
      </c>
      <c r="C152" s="63">
        <f t="shared" si="0"/>
        <v>6.2891411554719667E-3</v>
      </c>
    </row>
    <row r="153" spans="1:3" ht="14.25" customHeight="1" x14ac:dyDescent="0.3">
      <c r="A153" s="62">
        <v>44361</v>
      </c>
      <c r="B153" s="6">
        <v>17670.650390999999</v>
      </c>
      <c r="C153" s="63">
        <f t="shared" si="0"/>
        <v>7.6555049500866001E-3</v>
      </c>
    </row>
    <row r="154" spans="1:3" ht="14.25" customHeight="1" x14ac:dyDescent="0.3">
      <c r="A154" s="62">
        <v>44368</v>
      </c>
      <c r="B154" s="6">
        <v>17506.699218999998</v>
      </c>
      <c r="C154" s="63">
        <f t="shared" si="0"/>
        <v>-9.2781628503897373E-3</v>
      </c>
    </row>
    <row r="155" spans="1:3" ht="14.25" customHeight="1" x14ac:dyDescent="0.3">
      <c r="A155" s="62">
        <v>44375</v>
      </c>
      <c r="B155" s="6">
        <v>17602</v>
      </c>
      <c r="C155" s="63">
        <f t="shared" si="0"/>
        <v>5.4436750073691975E-3</v>
      </c>
    </row>
    <row r="156" spans="1:3" ht="14.25" customHeight="1" x14ac:dyDescent="0.3">
      <c r="A156" s="62">
        <v>44382</v>
      </c>
      <c r="B156" s="6">
        <v>17636</v>
      </c>
      <c r="C156" s="63">
        <f t="shared" si="0"/>
        <v>1.9315986819679054E-3</v>
      </c>
    </row>
    <row r="157" spans="1:3" ht="14.25" customHeight="1" x14ac:dyDescent="0.3">
      <c r="A157" s="62">
        <v>44389</v>
      </c>
      <c r="B157" s="6">
        <v>17654.199218999998</v>
      </c>
      <c r="C157" s="63">
        <f t="shared" si="0"/>
        <v>1.031935756407254E-3</v>
      </c>
    </row>
    <row r="158" spans="1:3" ht="14.25" customHeight="1" x14ac:dyDescent="0.3">
      <c r="A158" s="62">
        <v>44396</v>
      </c>
      <c r="B158" s="6">
        <v>17856.099609000001</v>
      </c>
      <c r="C158" s="63">
        <f t="shared" si="0"/>
        <v>1.1436394678423722E-2</v>
      </c>
    </row>
    <row r="159" spans="1:3" ht="14.25" customHeight="1" x14ac:dyDescent="0.3">
      <c r="A159" s="62">
        <v>44397</v>
      </c>
      <c r="B159" s="6">
        <v>17856.099609000001</v>
      </c>
      <c r="C159" s="63">
        <f t="shared" si="0"/>
        <v>0</v>
      </c>
    </row>
    <row r="160" spans="1:3" ht="14.25" customHeight="1" x14ac:dyDescent="0.3">
      <c r="C160" s="27"/>
    </row>
    <row r="161" spans="3:3" ht="14.25" customHeight="1" x14ac:dyDescent="0.3">
      <c r="C161" s="27"/>
    </row>
    <row r="162" spans="3:3" ht="14.25" customHeight="1" x14ac:dyDescent="0.25"/>
    <row r="163" spans="3:3" ht="14.25" customHeight="1" x14ac:dyDescent="0.25"/>
    <row r="164" spans="3:3" ht="14.25" customHeight="1" x14ac:dyDescent="0.25"/>
    <row r="165" spans="3:3" ht="14.25" customHeight="1" x14ac:dyDescent="0.25"/>
    <row r="166" spans="3:3" ht="14.25" customHeight="1" x14ac:dyDescent="0.25"/>
    <row r="167" spans="3:3" ht="14.25" customHeight="1" x14ac:dyDescent="0.25"/>
    <row r="168" spans="3:3" ht="14.25" customHeight="1" x14ac:dyDescent="0.25"/>
    <row r="169" spans="3:3" ht="14.25" customHeight="1" x14ac:dyDescent="0.25"/>
    <row r="170" spans="3:3" ht="14.25" customHeight="1" x14ac:dyDescent="0.25"/>
    <row r="171" spans="3:3" ht="14.25" customHeight="1" x14ac:dyDescent="0.25"/>
    <row r="172" spans="3:3" ht="14.25" customHeight="1" x14ac:dyDescent="0.25"/>
    <row r="173" spans="3:3" ht="14.25" customHeight="1" x14ac:dyDescent="0.25"/>
    <row r="174" spans="3:3" ht="14.25" customHeight="1" x14ac:dyDescent="0.25"/>
    <row r="175" spans="3:3" ht="14.25" customHeight="1" x14ac:dyDescent="0.25"/>
    <row r="176" spans="3:3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selection activeCell="G29" sqref="G29"/>
    </sheetView>
  </sheetViews>
  <sheetFormatPr defaultColWidth="12.59765625" defaultRowHeight="15" customHeight="1" x14ac:dyDescent="0.25"/>
  <cols>
    <col min="1" max="1" width="11.69921875" customWidth="1"/>
    <col min="2" max="2" width="8.3984375" customWidth="1"/>
    <col min="3" max="26" width="7.59765625" customWidth="1"/>
  </cols>
  <sheetData>
    <row r="1" spans="1:4" ht="14.25" customHeight="1" x14ac:dyDescent="0.3">
      <c r="A1" s="1" t="s">
        <v>73</v>
      </c>
      <c r="B1" s="1" t="s">
        <v>74</v>
      </c>
      <c r="C1" s="1" t="s">
        <v>76</v>
      </c>
      <c r="D1" s="1"/>
    </row>
    <row r="2" spans="1:4" ht="14.25" customHeight="1" x14ac:dyDescent="0.3">
      <c r="A2" s="62">
        <v>43304</v>
      </c>
      <c r="B2" s="6">
        <v>706.558044</v>
      </c>
      <c r="C2" s="63"/>
    </row>
    <row r="3" spans="1:4" ht="14.25" customHeight="1" x14ac:dyDescent="0.3">
      <c r="A3" s="62">
        <v>43311</v>
      </c>
      <c r="B3" s="6">
        <v>751.61321999999996</v>
      </c>
      <c r="C3" s="63">
        <f t="shared" ref="C3:C159" si="0">B3/B2-1</f>
        <v>6.3767126257499696E-2</v>
      </c>
    </row>
    <row r="4" spans="1:4" ht="14.25" customHeight="1" x14ac:dyDescent="0.3">
      <c r="A4" s="62">
        <v>43318</v>
      </c>
      <c r="B4" s="6">
        <v>718.88482699999997</v>
      </c>
      <c r="C4" s="63">
        <f t="shared" si="0"/>
        <v>-4.3544195510557882E-2</v>
      </c>
    </row>
    <row r="5" spans="1:4" ht="14.25" customHeight="1" x14ac:dyDescent="0.3">
      <c r="A5" s="62">
        <v>43325</v>
      </c>
      <c r="B5" s="6">
        <v>692.91204800000003</v>
      </c>
      <c r="C5" s="63">
        <f t="shared" si="0"/>
        <v>-3.6129263025883818E-2</v>
      </c>
    </row>
    <row r="6" spans="1:4" ht="14.25" customHeight="1" x14ac:dyDescent="0.3">
      <c r="A6" s="62">
        <v>43332</v>
      </c>
      <c r="B6" s="6">
        <v>682.41345200000001</v>
      </c>
      <c r="C6" s="63">
        <f t="shared" si="0"/>
        <v>-1.515141211688098E-2</v>
      </c>
    </row>
    <row r="7" spans="1:4" ht="14.25" customHeight="1" x14ac:dyDescent="0.3">
      <c r="A7" s="62">
        <v>43339</v>
      </c>
      <c r="B7" s="6">
        <v>675.38391100000001</v>
      </c>
      <c r="C7" s="63">
        <f t="shared" si="0"/>
        <v>-1.0301000045350839E-2</v>
      </c>
    </row>
    <row r="8" spans="1:4" ht="14.25" customHeight="1" x14ac:dyDescent="0.3">
      <c r="A8" s="62">
        <v>43346</v>
      </c>
      <c r="B8" s="6">
        <v>671.73205600000006</v>
      </c>
      <c r="C8" s="63">
        <f t="shared" si="0"/>
        <v>-5.4070802406188667E-3</v>
      </c>
    </row>
    <row r="9" spans="1:4" ht="14.25" customHeight="1" x14ac:dyDescent="0.3">
      <c r="A9" s="62">
        <v>43353</v>
      </c>
      <c r="B9" s="6">
        <v>667.07617200000004</v>
      </c>
      <c r="C9" s="63">
        <f t="shared" si="0"/>
        <v>-6.9311624455212772E-3</v>
      </c>
    </row>
    <row r="10" spans="1:4" ht="14.25" customHeight="1" x14ac:dyDescent="0.3">
      <c r="A10" s="62">
        <v>43360</v>
      </c>
      <c r="B10" s="6">
        <v>654.93432600000006</v>
      </c>
      <c r="C10" s="63">
        <f t="shared" si="0"/>
        <v>-1.8201588528633517E-2</v>
      </c>
    </row>
    <row r="11" spans="1:4" ht="14.25" customHeight="1" x14ac:dyDescent="0.3">
      <c r="A11" s="62">
        <v>43367</v>
      </c>
      <c r="B11" s="6">
        <v>623.62078899999995</v>
      </c>
      <c r="C11" s="63">
        <f t="shared" si="0"/>
        <v>-4.7811720590745344E-2</v>
      </c>
    </row>
    <row r="12" spans="1:4" ht="14.25" customHeight="1" x14ac:dyDescent="0.3">
      <c r="A12" s="62">
        <v>43374</v>
      </c>
      <c r="B12" s="6">
        <v>604.49505599999998</v>
      </c>
      <c r="C12" s="63">
        <f t="shared" si="0"/>
        <v>-3.0668850906444001E-2</v>
      </c>
    </row>
    <row r="13" spans="1:4" ht="14.25" customHeight="1" x14ac:dyDescent="0.3">
      <c r="A13" s="62">
        <v>43381</v>
      </c>
      <c r="B13" s="6">
        <v>579.43518100000006</v>
      </c>
      <c r="C13" s="63">
        <f t="shared" si="0"/>
        <v>-4.1455880823614066E-2</v>
      </c>
    </row>
    <row r="14" spans="1:4" ht="14.25" customHeight="1" x14ac:dyDescent="0.3">
      <c r="A14" s="62">
        <v>43388</v>
      </c>
      <c r="B14" s="6">
        <v>574.09448199999997</v>
      </c>
      <c r="C14" s="63">
        <f t="shared" si="0"/>
        <v>-9.2170775526315696E-3</v>
      </c>
    </row>
    <row r="15" spans="1:4" ht="14.25" customHeight="1" x14ac:dyDescent="0.3">
      <c r="A15" s="62">
        <v>43395</v>
      </c>
      <c r="B15" s="6">
        <v>545.74816899999996</v>
      </c>
      <c r="C15" s="63">
        <f t="shared" si="0"/>
        <v>-4.9375693180761182E-2</v>
      </c>
    </row>
    <row r="16" spans="1:4" ht="14.25" customHeight="1" x14ac:dyDescent="0.3">
      <c r="A16" s="62">
        <v>43402</v>
      </c>
      <c r="B16" s="6">
        <v>570.44274900000005</v>
      </c>
      <c r="C16" s="63">
        <f t="shared" si="0"/>
        <v>4.5249038664205044E-2</v>
      </c>
    </row>
    <row r="17" spans="1:3" ht="14.25" customHeight="1" x14ac:dyDescent="0.3">
      <c r="A17" s="62">
        <v>43409</v>
      </c>
      <c r="B17" s="6">
        <v>571.21881099999996</v>
      </c>
      <c r="C17" s="63">
        <f t="shared" si="0"/>
        <v>1.3604555432782384E-3</v>
      </c>
    </row>
    <row r="18" spans="1:3" ht="14.25" customHeight="1" x14ac:dyDescent="0.3">
      <c r="A18" s="62">
        <v>43416</v>
      </c>
      <c r="B18" s="6">
        <v>558.71167000000003</v>
      </c>
      <c r="C18" s="63">
        <f t="shared" si="0"/>
        <v>-2.1895534179108056E-2</v>
      </c>
    </row>
    <row r="19" spans="1:3" ht="14.25" customHeight="1" x14ac:dyDescent="0.3">
      <c r="A19" s="62">
        <v>43423</v>
      </c>
      <c r="B19" s="6">
        <v>547.756531</v>
      </c>
      <c r="C19" s="63">
        <f t="shared" si="0"/>
        <v>-1.9607857841952736E-2</v>
      </c>
    </row>
    <row r="20" spans="1:3" ht="14.25" customHeight="1" x14ac:dyDescent="0.3">
      <c r="A20" s="62">
        <v>43430</v>
      </c>
      <c r="B20" s="6">
        <v>552.54943800000001</v>
      </c>
      <c r="C20" s="63">
        <f t="shared" si="0"/>
        <v>8.7500681940750891E-3</v>
      </c>
    </row>
    <row r="21" spans="1:3" ht="14.25" customHeight="1" x14ac:dyDescent="0.3">
      <c r="A21" s="62">
        <v>43437</v>
      </c>
      <c r="B21" s="6">
        <v>553.32543899999996</v>
      </c>
      <c r="C21" s="63">
        <f t="shared" si="0"/>
        <v>1.4044010302656229E-3</v>
      </c>
    </row>
    <row r="22" spans="1:3" ht="14.25" customHeight="1" x14ac:dyDescent="0.3">
      <c r="A22" s="62">
        <v>43444</v>
      </c>
      <c r="B22" s="6">
        <v>548.07611099999997</v>
      </c>
      <c r="C22" s="63">
        <f t="shared" si="0"/>
        <v>-9.4868726973530437E-3</v>
      </c>
    </row>
    <row r="23" spans="1:3" ht="14.25" customHeight="1" x14ac:dyDescent="0.3">
      <c r="A23" s="62">
        <v>43451</v>
      </c>
      <c r="B23" s="6">
        <v>542.30017099999998</v>
      </c>
      <c r="C23" s="63">
        <f t="shared" si="0"/>
        <v>-1.0538572807819335E-2</v>
      </c>
    </row>
    <row r="24" spans="1:3" ht="14.25" customHeight="1" x14ac:dyDescent="0.3">
      <c r="A24" s="62">
        <v>43458</v>
      </c>
      <c r="B24" s="6">
        <v>545.54882799999996</v>
      </c>
      <c r="C24" s="63">
        <f t="shared" si="0"/>
        <v>5.9905144304297497E-3</v>
      </c>
    </row>
    <row r="25" spans="1:3" ht="14.25" customHeight="1" x14ac:dyDescent="0.3">
      <c r="A25" s="62">
        <v>43465</v>
      </c>
      <c r="B25" s="6">
        <v>555.43420400000002</v>
      </c>
      <c r="C25" s="63">
        <f t="shared" si="0"/>
        <v>1.812005725727639E-2</v>
      </c>
    </row>
    <row r="26" spans="1:3" ht="14.25" customHeight="1" x14ac:dyDescent="0.3">
      <c r="A26" s="62">
        <v>43472</v>
      </c>
      <c r="B26" s="6">
        <v>553.62420699999996</v>
      </c>
      <c r="C26" s="63">
        <f t="shared" si="0"/>
        <v>-3.2587064083652306E-3</v>
      </c>
    </row>
    <row r="27" spans="1:3" ht="14.25" customHeight="1" x14ac:dyDescent="0.3">
      <c r="A27" s="62">
        <v>43479</v>
      </c>
      <c r="B27" s="6">
        <v>550.14343299999996</v>
      </c>
      <c r="C27" s="63">
        <f t="shared" si="0"/>
        <v>-6.2872503694549886E-3</v>
      </c>
    </row>
    <row r="28" spans="1:3" ht="14.25" customHeight="1" x14ac:dyDescent="0.3">
      <c r="A28" s="62">
        <v>43486</v>
      </c>
      <c r="B28" s="6">
        <v>546.61627199999998</v>
      </c>
      <c r="C28" s="63">
        <f t="shared" si="0"/>
        <v>-6.4113480020400182E-3</v>
      </c>
    </row>
    <row r="29" spans="1:3" ht="14.25" customHeight="1" x14ac:dyDescent="0.3">
      <c r="A29" s="62">
        <v>43493</v>
      </c>
      <c r="B29" s="6">
        <v>546.01293899999996</v>
      </c>
      <c r="C29" s="63">
        <f t="shared" si="0"/>
        <v>-1.1037596773190161E-3</v>
      </c>
    </row>
    <row r="30" spans="1:3" ht="14.25" customHeight="1" x14ac:dyDescent="0.3">
      <c r="A30" s="62">
        <v>43500</v>
      </c>
      <c r="B30" s="6">
        <v>529.35174600000005</v>
      </c>
      <c r="C30" s="63">
        <f t="shared" si="0"/>
        <v>-3.0514282373077406E-2</v>
      </c>
    </row>
    <row r="31" spans="1:3" ht="14.25" customHeight="1" x14ac:dyDescent="0.3">
      <c r="A31" s="62">
        <v>43507</v>
      </c>
      <c r="B31" s="6">
        <v>521.27642800000001</v>
      </c>
      <c r="C31" s="63">
        <f t="shared" si="0"/>
        <v>-1.5255107895686515E-2</v>
      </c>
    </row>
    <row r="32" spans="1:3" ht="14.25" customHeight="1" x14ac:dyDescent="0.3">
      <c r="A32" s="62">
        <v>43514</v>
      </c>
      <c r="B32" s="6">
        <v>527.17053199999998</v>
      </c>
      <c r="C32" s="63">
        <f t="shared" si="0"/>
        <v>1.130706029162698E-2</v>
      </c>
    </row>
    <row r="33" spans="1:3" ht="14.25" customHeight="1" x14ac:dyDescent="0.3">
      <c r="A33" s="62">
        <v>43521</v>
      </c>
      <c r="B33" s="6">
        <v>529.72308299999997</v>
      </c>
      <c r="C33" s="63">
        <f t="shared" si="0"/>
        <v>4.8419834665569539E-3</v>
      </c>
    </row>
    <row r="34" spans="1:3" ht="14.25" customHeight="1" x14ac:dyDescent="0.3">
      <c r="A34" s="62">
        <v>43528</v>
      </c>
      <c r="B34" s="6">
        <v>572.04888900000003</v>
      </c>
      <c r="C34" s="63">
        <f t="shared" si="0"/>
        <v>7.9901758783655019E-2</v>
      </c>
    </row>
    <row r="35" spans="1:3" ht="14.25" customHeight="1" x14ac:dyDescent="0.3">
      <c r="A35" s="62">
        <v>43535</v>
      </c>
      <c r="B35" s="6">
        <v>571.63122599999997</v>
      </c>
      <c r="C35" s="63">
        <f t="shared" si="0"/>
        <v>-7.3011766656894128E-4</v>
      </c>
    </row>
    <row r="36" spans="1:3" ht="14.25" customHeight="1" x14ac:dyDescent="0.3">
      <c r="A36" s="62">
        <v>43542</v>
      </c>
      <c r="B36" s="6">
        <v>562.53491199999996</v>
      </c>
      <c r="C36" s="63">
        <f t="shared" si="0"/>
        <v>-1.5912906059474152E-2</v>
      </c>
    </row>
    <row r="37" spans="1:3" ht="14.25" customHeight="1" x14ac:dyDescent="0.3">
      <c r="A37" s="62">
        <v>43549</v>
      </c>
      <c r="B37" s="6">
        <v>567.26873799999998</v>
      </c>
      <c r="C37" s="63">
        <f t="shared" si="0"/>
        <v>8.4151683726965132E-3</v>
      </c>
    </row>
    <row r="38" spans="1:3" ht="14.25" customHeight="1" x14ac:dyDescent="0.3">
      <c r="A38" s="62">
        <v>43556</v>
      </c>
      <c r="B38" s="6">
        <v>567.22229000000004</v>
      </c>
      <c r="C38" s="63">
        <f t="shared" si="0"/>
        <v>-8.188006299048034E-5</v>
      </c>
    </row>
    <row r="39" spans="1:3" ht="14.25" customHeight="1" x14ac:dyDescent="0.3">
      <c r="A39" s="62">
        <v>43563</v>
      </c>
      <c r="B39" s="6">
        <v>579.42810099999997</v>
      </c>
      <c r="C39" s="63">
        <f t="shared" si="0"/>
        <v>2.1518567262227783E-2</v>
      </c>
    </row>
    <row r="40" spans="1:3" ht="14.25" customHeight="1" x14ac:dyDescent="0.3">
      <c r="A40" s="62">
        <v>43570</v>
      </c>
      <c r="B40" s="6">
        <v>578.73193400000002</v>
      </c>
      <c r="C40" s="63">
        <f t="shared" si="0"/>
        <v>-1.2014726223986694E-3</v>
      </c>
    </row>
    <row r="41" spans="1:3" ht="14.25" customHeight="1" x14ac:dyDescent="0.3">
      <c r="A41" s="62">
        <v>43577</v>
      </c>
      <c r="B41" s="6">
        <v>574.04455600000006</v>
      </c>
      <c r="C41" s="63">
        <f t="shared" si="0"/>
        <v>-8.0993940797466912E-3</v>
      </c>
    </row>
    <row r="42" spans="1:3" ht="14.25" customHeight="1" x14ac:dyDescent="0.3">
      <c r="A42" s="62">
        <v>43584</v>
      </c>
      <c r="B42" s="6">
        <v>588.38525400000003</v>
      </c>
      <c r="C42" s="63">
        <f t="shared" si="0"/>
        <v>2.4981855241215767E-2</v>
      </c>
    </row>
    <row r="43" spans="1:3" ht="14.25" customHeight="1" x14ac:dyDescent="0.3">
      <c r="A43" s="62">
        <v>43591</v>
      </c>
      <c r="B43" s="6">
        <v>566.015625</v>
      </c>
      <c r="C43" s="63">
        <f t="shared" si="0"/>
        <v>-3.801867713020568E-2</v>
      </c>
    </row>
    <row r="44" spans="1:3" ht="14.25" customHeight="1" x14ac:dyDescent="0.3">
      <c r="A44" s="62">
        <v>43598</v>
      </c>
      <c r="B44" s="6">
        <v>548.51910399999997</v>
      </c>
      <c r="C44" s="63">
        <f t="shared" si="0"/>
        <v>-3.0911727922705357E-2</v>
      </c>
    </row>
    <row r="45" spans="1:3" ht="14.25" customHeight="1" x14ac:dyDescent="0.3">
      <c r="A45" s="62">
        <v>43605</v>
      </c>
      <c r="B45" s="6">
        <v>558.40441899999996</v>
      </c>
      <c r="C45" s="63">
        <f t="shared" si="0"/>
        <v>1.8021824450438872E-2</v>
      </c>
    </row>
    <row r="46" spans="1:3" ht="14.25" customHeight="1" x14ac:dyDescent="0.3">
      <c r="A46" s="62">
        <v>43612</v>
      </c>
      <c r="B46" s="6">
        <v>574.740723</v>
      </c>
      <c r="C46" s="63">
        <f t="shared" si="0"/>
        <v>2.9255327221900052E-2</v>
      </c>
    </row>
    <row r="47" spans="1:3" ht="14.25" customHeight="1" x14ac:dyDescent="0.3">
      <c r="A47" s="62">
        <v>43619</v>
      </c>
      <c r="B47" s="6">
        <v>572.04888900000003</v>
      </c>
      <c r="C47" s="63">
        <f t="shared" si="0"/>
        <v>-4.6835623304178897E-3</v>
      </c>
    </row>
    <row r="48" spans="1:3" ht="14.25" customHeight="1" x14ac:dyDescent="0.3">
      <c r="A48" s="62">
        <v>43626</v>
      </c>
      <c r="B48" s="6">
        <v>569.72845500000005</v>
      </c>
      <c r="C48" s="63">
        <f t="shared" si="0"/>
        <v>-4.0563560993123193E-3</v>
      </c>
    </row>
    <row r="49" spans="1:3" ht="14.25" customHeight="1" x14ac:dyDescent="0.3">
      <c r="A49" s="62">
        <v>43633</v>
      </c>
      <c r="B49" s="6">
        <v>571.49200399999995</v>
      </c>
      <c r="C49" s="63">
        <f t="shared" si="0"/>
        <v>3.0954202559532185E-3</v>
      </c>
    </row>
    <row r="50" spans="1:3" ht="14.25" customHeight="1" x14ac:dyDescent="0.3">
      <c r="A50" s="62">
        <v>43640</v>
      </c>
      <c r="B50" s="6">
        <v>569.07867399999998</v>
      </c>
      <c r="C50" s="63">
        <f t="shared" si="0"/>
        <v>-4.2228587331205603E-3</v>
      </c>
    </row>
    <row r="51" spans="1:3" ht="14.25" customHeight="1" x14ac:dyDescent="0.3">
      <c r="A51" s="62">
        <v>43647</v>
      </c>
      <c r="B51" s="6">
        <v>586.68225099999995</v>
      </c>
      <c r="C51" s="63">
        <f t="shared" si="0"/>
        <v>3.0933468084941795E-2</v>
      </c>
    </row>
    <row r="52" spans="1:3" ht="14.25" customHeight="1" x14ac:dyDescent="0.3">
      <c r="A52" s="62">
        <v>43654</v>
      </c>
      <c r="B52" s="6">
        <v>551.90979000000004</v>
      </c>
      <c r="C52" s="63">
        <f t="shared" si="0"/>
        <v>-5.9269665889380874E-2</v>
      </c>
    </row>
    <row r="53" spans="1:3" ht="14.25" customHeight="1" x14ac:dyDescent="0.3">
      <c r="A53" s="62">
        <v>43661</v>
      </c>
      <c r="B53" s="6">
        <v>551.95819100000006</v>
      </c>
      <c r="C53" s="63">
        <f t="shared" si="0"/>
        <v>8.7697302850964221E-5</v>
      </c>
    </row>
    <row r="54" spans="1:3" ht="14.25" customHeight="1" x14ac:dyDescent="0.3">
      <c r="A54" s="62">
        <v>43668</v>
      </c>
      <c r="B54" s="6">
        <v>515.15448000000004</v>
      </c>
      <c r="C54" s="63">
        <f t="shared" si="0"/>
        <v>-6.6678439780595622E-2</v>
      </c>
    </row>
    <row r="55" spans="1:3" ht="14.25" customHeight="1" x14ac:dyDescent="0.3">
      <c r="A55" s="62">
        <v>43675</v>
      </c>
      <c r="B55" s="6">
        <v>465.19635</v>
      </c>
      <c r="C55" s="63">
        <f t="shared" si="0"/>
        <v>-9.6976988339497749E-2</v>
      </c>
    </row>
    <row r="56" spans="1:3" ht="14.25" customHeight="1" x14ac:dyDescent="0.3">
      <c r="A56" s="62">
        <v>43682</v>
      </c>
      <c r="B56" s="6">
        <v>448.41464200000001</v>
      </c>
      <c r="C56" s="63">
        <f t="shared" si="0"/>
        <v>-3.6074461891199228E-2</v>
      </c>
    </row>
    <row r="57" spans="1:3" ht="14.25" customHeight="1" x14ac:dyDescent="0.3">
      <c r="A57" s="62">
        <v>43689</v>
      </c>
      <c r="B57" s="6">
        <v>435.16339099999999</v>
      </c>
      <c r="C57" s="63">
        <f t="shared" si="0"/>
        <v>-2.9551334320613076E-2</v>
      </c>
    </row>
    <row r="58" spans="1:3" ht="14.25" customHeight="1" x14ac:dyDescent="0.3">
      <c r="A58" s="62">
        <v>43696</v>
      </c>
      <c r="B58" s="6">
        <v>476.70654300000001</v>
      </c>
      <c r="C58" s="63">
        <f t="shared" si="0"/>
        <v>9.5465640858562129E-2</v>
      </c>
    </row>
    <row r="59" spans="1:3" ht="14.25" customHeight="1" x14ac:dyDescent="0.3">
      <c r="A59" s="62">
        <v>43703</v>
      </c>
      <c r="B59" s="6">
        <v>514.33233600000005</v>
      </c>
      <c r="C59" s="63">
        <f t="shared" si="0"/>
        <v>7.8928627165916643E-2</v>
      </c>
    </row>
    <row r="60" spans="1:3" ht="14.25" customHeight="1" x14ac:dyDescent="0.3">
      <c r="A60" s="62">
        <v>43710</v>
      </c>
      <c r="B60" s="6">
        <v>510.75353999999999</v>
      </c>
      <c r="C60" s="63">
        <f t="shared" si="0"/>
        <v>-6.958139221485915E-3</v>
      </c>
    </row>
    <row r="61" spans="1:3" ht="14.25" customHeight="1" x14ac:dyDescent="0.3">
      <c r="A61" s="62">
        <v>43717</v>
      </c>
      <c r="B61" s="6">
        <v>518.588257</v>
      </c>
      <c r="C61" s="63">
        <f t="shared" si="0"/>
        <v>1.5339525595848169E-2</v>
      </c>
    </row>
    <row r="62" spans="1:3" ht="14.25" customHeight="1" x14ac:dyDescent="0.3">
      <c r="A62" s="62">
        <v>43724</v>
      </c>
      <c r="B62" s="6">
        <v>524.39172399999995</v>
      </c>
      <c r="C62" s="63">
        <f t="shared" si="0"/>
        <v>1.1190895516170363E-2</v>
      </c>
    </row>
    <row r="63" spans="1:3" ht="14.25" customHeight="1" x14ac:dyDescent="0.3">
      <c r="A63" s="62">
        <v>43731</v>
      </c>
      <c r="B63" s="6">
        <v>549.78192100000001</v>
      </c>
      <c r="C63" s="63">
        <f t="shared" si="0"/>
        <v>4.8418378547866014E-2</v>
      </c>
    </row>
    <row r="64" spans="1:3" ht="14.25" customHeight="1" x14ac:dyDescent="0.3">
      <c r="A64" s="62">
        <v>43738</v>
      </c>
      <c r="B64" s="6">
        <v>540.30285600000002</v>
      </c>
      <c r="C64" s="63">
        <f t="shared" si="0"/>
        <v>-1.7241500016512923E-2</v>
      </c>
    </row>
    <row r="65" spans="1:3" ht="14.25" customHeight="1" x14ac:dyDescent="0.3">
      <c r="A65" s="62">
        <v>43745</v>
      </c>
      <c r="B65" s="6">
        <v>498.66299400000003</v>
      </c>
      <c r="C65" s="63">
        <f t="shared" si="0"/>
        <v>-7.7067632601964253E-2</v>
      </c>
    </row>
    <row r="66" spans="1:3" ht="14.25" customHeight="1" x14ac:dyDescent="0.3">
      <c r="A66" s="62">
        <v>43752</v>
      </c>
      <c r="B66" s="6">
        <v>510.366669</v>
      </c>
      <c r="C66" s="63">
        <f t="shared" si="0"/>
        <v>2.3470109354053914E-2</v>
      </c>
    </row>
    <row r="67" spans="1:3" ht="14.25" customHeight="1" x14ac:dyDescent="0.3">
      <c r="A67" s="62">
        <v>43759</v>
      </c>
      <c r="B67" s="6">
        <v>532.61328100000003</v>
      </c>
      <c r="C67" s="63">
        <f t="shared" si="0"/>
        <v>4.3589468809923426E-2</v>
      </c>
    </row>
    <row r="68" spans="1:3" ht="14.25" customHeight="1" x14ac:dyDescent="0.3">
      <c r="A68" s="62">
        <v>43766</v>
      </c>
      <c r="B68" s="6">
        <v>530.82385299999999</v>
      </c>
      <c r="C68" s="63">
        <f t="shared" si="0"/>
        <v>-3.3597134428198228E-3</v>
      </c>
    </row>
    <row r="69" spans="1:3" ht="14.25" customHeight="1" x14ac:dyDescent="0.3">
      <c r="A69" s="62">
        <v>43773</v>
      </c>
      <c r="B69" s="6">
        <v>508.62558000000001</v>
      </c>
      <c r="C69" s="63">
        <f t="shared" si="0"/>
        <v>-4.1818529582919761E-2</v>
      </c>
    </row>
    <row r="70" spans="1:3" ht="14.25" customHeight="1" x14ac:dyDescent="0.3">
      <c r="A70" s="62">
        <v>43780</v>
      </c>
      <c r="B70" s="6">
        <v>481.30096400000002</v>
      </c>
      <c r="C70" s="63">
        <f t="shared" si="0"/>
        <v>-5.372245729363434E-2</v>
      </c>
    </row>
    <row r="71" spans="1:3" ht="14.25" customHeight="1" x14ac:dyDescent="0.3">
      <c r="A71" s="62">
        <v>43787</v>
      </c>
      <c r="B71" s="6">
        <v>496.87359600000002</v>
      </c>
      <c r="C71" s="63">
        <f t="shared" si="0"/>
        <v>3.2355289444215618E-2</v>
      </c>
    </row>
    <row r="72" spans="1:3" ht="14.25" customHeight="1" x14ac:dyDescent="0.3">
      <c r="A72" s="62">
        <v>43794</v>
      </c>
      <c r="B72" s="6">
        <v>488.652039</v>
      </c>
      <c r="C72" s="63">
        <f t="shared" si="0"/>
        <v>-1.6546576566326521E-2</v>
      </c>
    </row>
    <row r="73" spans="1:3" ht="14.25" customHeight="1" x14ac:dyDescent="0.3">
      <c r="A73" s="62">
        <v>43801</v>
      </c>
      <c r="B73" s="6">
        <v>481.68786599999999</v>
      </c>
      <c r="C73" s="63">
        <f t="shared" si="0"/>
        <v>-1.4251803828040588E-2</v>
      </c>
    </row>
    <row r="74" spans="1:3" ht="14.25" customHeight="1" x14ac:dyDescent="0.3">
      <c r="A74" s="62">
        <v>43808</v>
      </c>
      <c r="B74" s="6">
        <v>480.04351800000001</v>
      </c>
      <c r="C74" s="63">
        <f t="shared" si="0"/>
        <v>-3.4137210340273727E-3</v>
      </c>
    </row>
    <row r="75" spans="1:3" ht="14.25" customHeight="1" x14ac:dyDescent="0.3">
      <c r="A75" s="62">
        <v>43815</v>
      </c>
      <c r="B75" s="6">
        <v>471.048157</v>
      </c>
      <c r="C75" s="63">
        <f t="shared" si="0"/>
        <v>-1.8738636525032715E-2</v>
      </c>
    </row>
    <row r="76" spans="1:3" ht="14.25" customHeight="1" x14ac:dyDescent="0.3">
      <c r="A76" s="62">
        <v>43822</v>
      </c>
      <c r="B76" s="6">
        <v>469.403839</v>
      </c>
      <c r="C76" s="63">
        <f t="shared" si="0"/>
        <v>-3.490764108859512E-3</v>
      </c>
    </row>
    <row r="77" spans="1:3" ht="14.25" customHeight="1" x14ac:dyDescent="0.3">
      <c r="A77" s="62">
        <v>43829</v>
      </c>
      <c r="B77" s="6">
        <v>497.11541699999998</v>
      </c>
      <c r="C77" s="63">
        <f t="shared" si="0"/>
        <v>5.9035686753298844E-2</v>
      </c>
    </row>
    <row r="78" spans="1:3" ht="14.25" customHeight="1" x14ac:dyDescent="0.3">
      <c r="A78" s="62">
        <v>43836</v>
      </c>
      <c r="B78" s="6">
        <v>498.03430200000003</v>
      </c>
      <c r="C78" s="63">
        <f t="shared" si="0"/>
        <v>1.8484339221369606E-3</v>
      </c>
    </row>
    <row r="79" spans="1:3" ht="14.25" customHeight="1" x14ac:dyDescent="0.3">
      <c r="A79" s="62">
        <v>43843</v>
      </c>
      <c r="B79" s="6">
        <v>528.74432400000001</v>
      </c>
      <c r="C79" s="63">
        <f t="shared" si="0"/>
        <v>6.1662463562600189E-2</v>
      </c>
    </row>
    <row r="80" spans="1:3" ht="14.25" customHeight="1" x14ac:dyDescent="0.3">
      <c r="A80" s="62">
        <v>43850</v>
      </c>
      <c r="B80" s="6">
        <v>528.26068099999998</v>
      </c>
      <c r="C80" s="63">
        <f t="shared" si="0"/>
        <v>-9.1470107204405515E-4</v>
      </c>
    </row>
    <row r="81" spans="1:3" ht="14.25" customHeight="1" x14ac:dyDescent="0.3">
      <c r="A81" s="62">
        <v>43857</v>
      </c>
      <c r="B81" s="6">
        <v>509.35101300000002</v>
      </c>
      <c r="C81" s="63">
        <f t="shared" si="0"/>
        <v>-3.5796092119148137E-2</v>
      </c>
    </row>
    <row r="82" spans="1:3" ht="14.25" customHeight="1" x14ac:dyDescent="0.3">
      <c r="A82" s="62">
        <v>43864</v>
      </c>
      <c r="B82" s="6">
        <v>554.85992399999998</v>
      </c>
      <c r="C82" s="63">
        <f t="shared" si="0"/>
        <v>8.9346854798539432E-2</v>
      </c>
    </row>
    <row r="83" spans="1:3" ht="14.25" customHeight="1" x14ac:dyDescent="0.3">
      <c r="A83" s="62">
        <v>43871</v>
      </c>
      <c r="B83" s="6">
        <v>506.25589000000002</v>
      </c>
      <c r="C83" s="63">
        <f t="shared" si="0"/>
        <v>-8.7596944557848389E-2</v>
      </c>
    </row>
    <row r="84" spans="1:3" ht="14.25" customHeight="1" x14ac:dyDescent="0.3">
      <c r="A84" s="62">
        <v>43878</v>
      </c>
      <c r="B84" s="6">
        <v>498.37283300000001</v>
      </c>
      <c r="C84" s="63">
        <f t="shared" si="0"/>
        <v>-1.5571289452059545E-2</v>
      </c>
    </row>
    <row r="85" spans="1:3" ht="14.25" customHeight="1" x14ac:dyDescent="0.3">
      <c r="A85" s="62">
        <v>43885</v>
      </c>
      <c r="B85" s="6">
        <v>438.161835</v>
      </c>
      <c r="C85" s="63">
        <f t="shared" si="0"/>
        <v>-0.1208151689119058</v>
      </c>
    </row>
    <row r="86" spans="1:3" ht="14.25" customHeight="1" x14ac:dyDescent="0.3">
      <c r="A86" s="62">
        <v>43892</v>
      </c>
      <c r="B86" s="6">
        <v>401.69671599999998</v>
      </c>
      <c r="C86" s="63">
        <f t="shared" si="0"/>
        <v>-8.3222946608300652E-2</v>
      </c>
    </row>
    <row r="87" spans="1:3" ht="14.25" customHeight="1" x14ac:dyDescent="0.3">
      <c r="A87" s="62">
        <v>43899</v>
      </c>
      <c r="B87" s="6">
        <v>356.18786599999999</v>
      </c>
      <c r="C87" s="63">
        <f t="shared" si="0"/>
        <v>-0.11329156596839096</v>
      </c>
    </row>
    <row r="88" spans="1:3" ht="14.25" customHeight="1" x14ac:dyDescent="0.3">
      <c r="A88" s="62">
        <v>43906</v>
      </c>
      <c r="B88" s="6">
        <v>302.98941000000002</v>
      </c>
      <c r="C88" s="63">
        <f t="shared" si="0"/>
        <v>-0.14935504849567216</v>
      </c>
    </row>
    <row r="89" spans="1:3" ht="14.25" customHeight="1" x14ac:dyDescent="0.3">
      <c r="A89" s="62">
        <v>43913</v>
      </c>
      <c r="B89" s="6">
        <v>290.70538299999998</v>
      </c>
      <c r="C89" s="63">
        <f t="shared" si="0"/>
        <v>-4.0542760223864049E-2</v>
      </c>
    </row>
    <row r="90" spans="1:3" ht="14.25" customHeight="1" x14ac:dyDescent="0.3">
      <c r="A90" s="62">
        <v>43920</v>
      </c>
      <c r="B90" s="6">
        <v>287.27166699999998</v>
      </c>
      <c r="C90" s="63">
        <f t="shared" si="0"/>
        <v>-1.1811669823809212E-2</v>
      </c>
    </row>
    <row r="91" spans="1:3" ht="14.25" customHeight="1" x14ac:dyDescent="0.3">
      <c r="A91" s="62">
        <v>43927</v>
      </c>
      <c r="B91" s="6">
        <v>319.48089599999997</v>
      </c>
      <c r="C91" s="63">
        <f t="shared" si="0"/>
        <v>0.11212114768004589</v>
      </c>
    </row>
    <row r="92" spans="1:3" ht="14.25" customHeight="1" x14ac:dyDescent="0.3">
      <c r="A92" s="62">
        <v>43934</v>
      </c>
      <c r="B92" s="6">
        <v>373.50152600000001</v>
      </c>
      <c r="C92" s="63">
        <f t="shared" si="0"/>
        <v>0.16908876454384325</v>
      </c>
    </row>
    <row r="93" spans="1:3" ht="14.25" customHeight="1" x14ac:dyDescent="0.3">
      <c r="A93" s="62">
        <v>43941</v>
      </c>
      <c r="B93" s="6">
        <v>347.28918499999997</v>
      </c>
      <c r="C93" s="63">
        <f t="shared" si="0"/>
        <v>-7.0180010455968111E-2</v>
      </c>
    </row>
    <row r="94" spans="1:3" ht="14.25" customHeight="1" x14ac:dyDescent="0.3">
      <c r="A94" s="62">
        <v>43948</v>
      </c>
      <c r="B94" s="6">
        <v>377.95086700000002</v>
      </c>
      <c r="C94" s="63">
        <f t="shared" si="0"/>
        <v>8.8288617452916274E-2</v>
      </c>
    </row>
    <row r="95" spans="1:3" ht="14.25" customHeight="1" x14ac:dyDescent="0.3">
      <c r="A95" s="62">
        <v>43955</v>
      </c>
      <c r="B95" s="6">
        <v>371.22848499999998</v>
      </c>
      <c r="C95" s="63">
        <f t="shared" si="0"/>
        <v>-1.7786391266566559E-2</v>
      </c>
    </row>
    <row r="96" spans="1:3" ht="14.25" customHeight="1" x14ac:dyDescent="0.3">
      <c r="A96" s="62">
        <v>43962</v>
      </c>
      <c r="B96" s="6">
        <v>413.158569</v>
      </c>
      <c r="C96" s="63">
        <f t="shared" si="0"/>
        <v>0.11294953295407817</v>
      </c>
    </row>
    <row r="97" spans="1:3" ht="14.25" customHeight="1" x14ac:dyDescent="0.3">
      <c r="A97" s="62">
        <v>43969</v>
      </c>
      <c r="B97" s="6">
        <v>383.60925300000002</v>
      </c>
      <c r="C97" s="63">
        <f t="shared" si="0"/>
        <v>-7.1520520732561543E-2</v>
      </c>
    </row>
    <row r="98" spans="1:3" ht="14.25" customHeight="1" x14ac:dyDescent="0.3">
      <c r="A98" s="62">
        <v>43976</v>
      </c>
      <c r="B98" s="6">
        <v>365.52175899999997</v>
      </c>
      <c r="C98" s="63">
        <f t="shared" si="0"/>
        <v>-4.7150828241361631E-2</v>
      </c>
    </row>
    <row r="99" spans="1:3" ht="14.25" customHeight="1" x14ac:dyDescent="0.3">
      <c r="A99" s="62">
        <v>43983</v>
      </c>
      <c r="B99" s="6">
        <v>395.16781600000002</v>
      </c>
      <c r="C99" s="63">
        <f t="shared" si="0"/>
        <v>8.1106134641905303E-2</v>
      </c>
    </row>
    <row r="100" spans="1:3" ht="14.25" customHeight="1" x14ac:dyDescent="0.3">
      <c r="A100" s="62">
        <v>43990</v>
      </c>
      <c r="B100" s="6">
        <v>377.37051400000001</v>
      </c>
      <c r="C100" s="63">
        <f t="shared" si="0"/>
        <v>-4.5037326622773377E-2</v>
      </c>
    </row>
    <row r="101" spans="1:3" ht="14.25" customHeight="1" x14ac:dyDescent="0.3">
      <c r="A101" s="62">
        <v>43997</v>
      </c>
      <c r="B101" s="6">
        <v>399.375336</v>
      </c>
      <c r="C101" s="63">
        <f t="shared" si="0"/>
        <v>5.8310920391623444E-2</v>
      </c>
    </row>
    <row r="102" spans="1:3" ht="14.25" customHeight="1" x14ac:dyDescent="0.3">
      <c r="A102" s="62">
        <v>44004</v>
      </c>
      <c r="B102" s="6">
        <v>438.35531600000002</v>
      </c>
      <c r="C102" s="63">
        <f t="shared" si="0"/>
        <v>9.7602371719820002E-2</v>
      </c>
    </row>
    <row r="103" spans="1:3" ht="14.25" customHeight="1" x14ac:dyDescent="0.3">
      <c r="A103" s="62">
        <v>44011</v>
      </c>
      <c r="B103" s="6">
        <v>454.45992999999999</v>
      </c>
      <c r="C103" s="63">
        <f t="shared" si="0"/>
        <v>3.6738721790703588E-2</v>
      </c>
    </row>
    <row r="104" spans="1:3" ht="14.25" customHeight="1" x14ac:dyDescent="0.3">
      <c r="A104" s="62">
        <v>44018</v>
      </c>
      <c r="B104" s="6">
        <v>486.42733800000002</v>
      </c>
      <c r="C104" s="63">
        <f t="shared" si="0"/>
        <v>7.0341532640732618E-2</v>
      </c>
    </row>
    <row r="105" spans="1:3" ht="14.25" customHeight="1" x14ac:dyDescent="0.3">
      <c r="A105" s="62">
        <v>44025</v>
      </c>
      <c r="B105" s="6">
        <v>490.15124500000002</v>
      </c>
      <c r="C105" s="63">
        <f t="shared" si="0"/>
        <v>7.6556285165041427E-3</v>
      </c>
    </row>
    <row r="106" spans="1:3" ht="14.25" customHeight="1" x14ac:dyDescent="0.3">
      <c r="A106" s="62">
        <v>44032</v>
      </c>
      <c r="B106" s="6">
        <v>477.14178500000003</v>
      </c>
      <c r="C106" s="63">
        <f t="shared" si="0"/>
        <v>-2.6541725911560232E-2</v>
      </c>
    </row>
    <row r="107" spans="1:3" ht="14.25" customHeight="1" x14ac:dyDescent="0.3">
      <c r="A107" s="62">
        <v>44039</v>
      </c>
      <c r="B107" s="6">
        <v>514.95001200000002</v>
      </c>
      <c r="C107" s="63">
        <f t="shared" si="0"/>
        <v>7.9238977152252588E-2</v>
      </c>
    </row>
    <row r="108" spans="1:3" ht="14.25" customHeight="1" x14ac:dyDescent="0.3">
      <c r="A108" s="62">
        <v>44046</v>
      </c>
      <c r="B108" s="6">
        <v>493.35000600000001</v>
      </c>
      <c r="C108" s="63">
        <f t="shared" si="0"/>
        <v>-4.1945830656665795E-2</v>
      </c>
    </row>
    <row r="109" spans="1:3" ht="14.25" customHeight="1" x14ac:dyDescent="0.3">
      <c r="A109" s="62">
        <v>44053</v>
      </c>
      <c r="B109" s="6">
        <v>489.85000600000001</v>
      </c>
      <c r="C109" s="63">
        <f t="shared" si="0"/>
        <v>-7.0943548341620977E-3</v>
      </c>
    </row>
    <row r="110" spans="1:3" ht="14.25" customHeight="1" x14ac:dyDescent="0.3">
      <c r="A110" s="62">
        <v>44060</v>
      </c>
      <c r="B110" s="6">
        <v>490.5</v>
      </c>
      <c r="C110" s="63">
        <f t="shared" si="0"/>
        <v>1.3269245524925033E-3</v>
      </c>
    </row>
    <row r="111" spans="1:3" ht="14.25" customHeight="1" x14ac:dyDescent="0.3">
      <c r="A111" s="62">
        <v>44067</v>
      </c>
      <c r="B111" s="6">
        <v>520.65002400000003</v>
      </c>
      <c r="C111" s="63">
        <f t="shared" si="0"/>
        <v>6.1467938837920455E-2</v>
      </c>
    </row>
    <row r="112" spans="1:3" ht="14.25" customHeight="1" x14ac:dyDescent="0.3">
      <c r="A112" s="62">
        <v>44074</v>
      </c>
      <c r="B112" s="6">
        <v>524.5</v>
      </c>
      <c r="C112" s="63">
        <f t="shared" si="0"/>
        <v>7.3945564631336946E-3</v>
      </c>
    </row>
    <row r="113" spans="1:3" ht="14.25" customHeight="1" x14ac:dyDescent="0.3">
      <c r="A113" s="62">
        <v>44081</v>
      </c>
      <c r="B113" s="6">
        <v>529.84997599999997</v>
      </c>
      <c r="C113" s="63">
        <f t="shared" si="0"/>
        <v>1.0200144899904506E-2</v>
      </c>
    </row>
    <row r="114" spans="1:3" ht="14.25" customHeight="1" x14ac:dyDescent="0.3">
      <c r="A114" s="62">
        <v>44088</v>
      </c>
      <c r="B114" s="6">
        <v>567.90002400000003</v>
      </c>
      <c r="C114" s="63">
        <f t="shared" si="0"/>
        <v>7.1812871045595861E-2</v>
      </c>
    </row>
    <row r="115" spans="1:3" ht="14.25" customHeight="1" x14ac:dyDescent="0.3">
      <c r="A115" s="62">
        <v>44095</v>
      </c>
      <c r="B115" s="6">
        <v>537.90002400000003</v>
      </c>
      <c r="C115" s="63">
        <f t="shared" si="0"/>
        <v>-5.2826199563604903E-2</v>
      </c>
    </row>
    <row r="116" spans="1:3" ht="14.25" customHeight="1" x14ac:dyDescent="0.3">
      <c r="A116" s="62">
        <v>44102</v>
      </c>
      <c r="B116" s="6">
        <v>542.20001200000002</v>
      </c>
      <c r="C116" s="63">
        <f t="shared" si="0"/>
        <v>7.9940282731796319E-3</v>
      </c>
    </row>
    <row r="117" spans="1:3" ht="14.25" customHeight="1" x14ac:dyDescent="0.3">
      <c r="A117" s="62">
        <v>44109</v>
      </c>
      <c r="B117" s="6">
        <v>527.09997599999997</v>
      </c>
      <c r="C117" s="63">
        <f t="shared" si="0"/>
        <v>-2.7849567808567399E-2</v>
      </c>
    </row>
    <row r="118" spans="1:3" ht="14.25" customHeight="1" x14ac:dyDescent="0.3">
      <c r="A118" s="62">
        <v>44116</v>
      </c>
      <c r="B118" s="6">
        <v>524.95001200000002</v>
      </c>
      <c r="C118" s="63">
        <f t="shared" si="0"/>
        <v>-4.0788542930989546E-3</v>
      </c>
    </row>
    <row r="119" spans="1:3" ht="14.25" customHeight="1" x14ac:dyDescent="0.3">
      <c r="A119" s="62">
        <v>44123</v>
      </c>
      <c r="B119" s="6">
        <v>523.90002400000003</v>
      </c>
      <c r="C119" s="63">
        <f t="shared" si="0"/>
        <v>-2.0001675892903359E-3</v>
      </c>
    </row>
    <row r="120" spans="1:3" ht="14.25" customHeight="1" x14ac:dyDescent="0.3">
      <c r="A120" s="62">
        <v>44130</v>
      </c>
      <c r="B120" s="6">
        <v>493.35000600000001</v>
      </c>
      <c r="C120" s="63">
        <f t="shared" si="0"/>
        <v>-5.8312686773230649E-2</v>
      </c>
    </row>
    <row r="121" spans="1:3" ht="14.25" customHeight="1" x14ac:dyDescent="0.3">
      <c r="A121" s="62">
        <v>44137</v>
      </c>
      <c r="B121" s="6">
        <v>501.54998799999998</v>
      </c>
      <c r="C121" s="63">
        <f t="shared" si="0"/>
        <v>1.6621023411926394E-2</v>
      </c>
    </row>
    <row r="122" spans="1:3" ht="14.25" customHeight="1" x14ac:dyDescent="0.3">
      <c r="A122" s="62">
        <v>44144</v>
      </c>
      <c r="B122" s="6">
        <v>523.65002400000003</v>
      </c>
      <c r="C122" s="63">
        <f t="shared" si="0"/>
        <v>4.4063476281052338E-2</v>
      </c>
    </row>
    <row r="123" spans="1:3" ht="14.25" customHeight="1" x14ac:dyDescent="0.3">
      <c r="A123" s="62">
        <v>44151</v>
      </c>
      <c r="B123" s="6">
        <v>554.79998799999998</v>
      </c>
      <c r="C123" s="63">
        <f t="shared" si="0"/>
        <v>5.9486226625285132E-2</v>
      </c>
    </row>
    <row r="124" spans="1:3" ht="14.25" customHeight="1" x14ac:dyDescent="0.3">
      <c r="A124" s="62">
        <v>44158</v>
      </c>
      <c r="B124" s="6">
        <v>553.40002400000003</v>
      </c>
      <c r="C124" s="63">
        <f t="shared" si="0"/>
        <v>-2.5233670336703984E-3</v>
      </c>
    </row>
    <row r="125" spans="1:3" ht="14.25" customHeight="1" x14ac:dyDescent="0.3">
      <c r="A125" s="62">
        <v>44165</v>
      </c>
      <c r="B125" s="6">
        <v>569.09997599999997</v>
      </c>
      <c r="C125" s="63">
        <f t="shared" si="0"/>
        <v>2.8369987927575391E-2</v>
      </c>
    </row>
    <row r="126" spans="1:3" ht="14.25" customHeight="1" x14ac:dyDescent="0.3">
      <c r="A126" s="62">
        <v>44172</v>
      </c>
      <c r="B126" s="6">
        <v>608.95001200000002</v>
      </c>
      <c r="C126" s="63">
        <f t="shared" si="0"/>
        <v>7.0022909296344915E-2</v>
      </c>
    </row>
    <row r="127" spans="1:3" ht="14.25" customHeight="1" x14ac:dyDescent="0.3">
      <c r="A127" s="62">
        <v>44179</v>
      </c>
      <c r="B127" s="6">
        <v>613.15002400000003</v>
      </c>
      <c r="C127" s="63">
        <f t="shared" si="0"/>
        <v>6.8971375601187823E-3</v>
      </c>
    </row>
    <row r="128" spans="1:3" ht="14.25" customHeight="1" x14ac:dyDescent="0.3">
      <c r="A128" s="62">
        <v>44186</v>
      </c>
      <c r="B128" s="6">
        <v>616.15002400000003</v>
      </c>
      <c r="C128" s="63">
        <f t="shared" si="0"/>
        <v>4.8927666681457538E-3</v>
      </c>
    </row>
    <row r="129" spans="1:3" ht="14.25" customHeight="1" x14ac:dyDescent="0.3">
      <c r="A129" s="62">
        <v>44193</v>
      </c>
      <c r="B129" s="6">
        <v>633.75</v>
      </c>
      <c r="C129" s="63">
        <f t="shared" si="0"/>
        <v>2.8564432872601797E-2</v>
      </c>
    </row>
    <row r="130" spans="1:3" ht="14.25" customHeight="1" x14ac:dyDescent="0.3">
      <c r="A130" s="62">
        <v>44200</v>
      </c>
      <c r="B130" s="6">
        <v>643.90002400000003</v>
      </c>
      <c r="C130" s="63">
        <f t="shared" si="0"/>
        <v>1.6015816962524632E-2</v>
      </c>
    </row>
    <row r="131" spans="1:3" ht="14.25" customHeight="1" x14ac:dyDescent="0.3">
      <c r="A131" s="62">
        <v>44207</v>
      </c>
      <c r="B131" s="6">
        <v>622.20001200000002</v>
      </c>
      <c r="C131" s="63">
        <f t="shared" si="0"/>
        <v>-3.3700902610930838E-2</v>
      </c>
    </row>
    <row r="132" spans="1:3" ht="14.25" customHeight="1" x14ac:dyDescent="0.3">
      <c r="A132" s="62">
        <v>44214</v>
      </c>
      <c r="B132" s="6">
        <v>601.04998799999998</v>
      </c>
      <c r="C132" s="63">
        <f t="shared" si="0"/>
        <v>-3.3992323355982235E-2</v>
      </c>
    </row>
    <row r="133" spans="1:3" ht="14.25" customHeight="1" x14ac:dyDescent="0.3">
      <c r="A133" s="62">
        <v>44221</v>
      </c>
      <c r="B133" s="6">
        <v>588.15002400000003</v>
      </c>
      <c r="C133" s="63">
        <f t="shared" si="0"/>
        <v>-2.1462381262039032E-2</v>
      </c>
    </row>
    <row r="134" spans="1:3" ht="14.25" customHeight="1" x14ac:dyDescent="0.3">
      <c r="A134" s="62">
        <v>44228</v>
      </c>
      <c r="B134" s="6">
        <v>610.15002400000003</v>
      </c>
      <c r="C134" s="63">
        <f t="shared" si="0"/>
        <v>3.7405422260086585E-2</v>
      </c>
    </row>
    <row r="135" spans="1:3" ht="14.25" customHeight="1" x14ac:dyDescent="0.3">
      <c r="A135" s="62">
        <v>44235</v>
      </c>
      <c r="B135" s="6">
        <v>595.70001200000002</v>
      </c>
      <c r="C135" s="63">
        <f t="shared" si="0"/>
        <v>-2.3682719710914957E-2</v>
      </c>
    </row>
    <row r="136" spans="1:3" ht="14.25" customHeight="1" x14ac:dyDescent="0.3">
      <c r="A136" s="62">
        <v>44242</v>
      </c>
      <c r="B136" s="6">
        <v>588</v>
      </c>
      <c r="C136" s="63">
        <f t="shared" si="0"/>
        <v>-1.2925989331690646E-2</v>
      </c>
    </row>
    <row r="137" spans="1:3" ht="14.25" customHeight="1" x14ac:dyDescent="0.3">
      <c r="A137" s="62">
        <v>44249</v>
      </c>
      <c r="B137" s="6">
        <v>581.5</v>
      </c>
      <c r="C137" s="63">
        <f t="shared" si="0"/>
        <v>-1.1054421768707523E-2</v>
      </c>
    </row>
    <row r="138" spans="1:3" ht="14.25" customHeight="1" x14ac:dyDescent="0.3">
      <c r="A138" s="62">
        <v>44256</v>
      </c>
      <c r="B138" s="6">
        <v>585</v>
      </c>
      <c r="C138" s="63">
        <f t="shared" si="0"/>
        <v>6.0189165950128576E-3</v>
      </c>
    </row>
    <row r="139" spans="1:3" ht="14.25" customHeight="1" x14ac:dyDescent="0.3">
      <c r="A139" s="62">
        <v>44263</v>
      </c>
      <c r="B139" s="6">
        <v>584.95001200000002</v>
      </c>
      <c r="C139" s="63">
        <f t="shared" si="0"/>
        <v>-8.5449572649554106E-5</v>
      </c>
    </row>
    <row r="140" spans="1:3" ht="14.25" customHeight="1" x14ac:dyDescent="0.3">
      <c r="A140" s="62">
        <v>44270</v>
      </c>
      <c r="B140" s="6">
        <v>566.65002400000003</v>
      </c>
      <c r="C140" s="63">
        <f t="shared" si="0"/>
        <v>-3.1284704033820887E-2</v>
      </c>
    </row>
    <row r="141" spans="1:3" ht="14.25" customHeight="1" x14ac:dyDescent="0.3">
      <c r="A141" s="62">
        <v>44277</v>
      </c>
      <c r="B141" s="6">
        <v>552.90002400000003</v>
      </c>
      <c r="C141" s="63">
        <f t="shared" si="0"/>
        <v>-2.4265418543421791E-2</v>
      </c>
    </row>
    <row r="142" spans="1:3" ht="14.25" customHeight="1" x14ac:dyDescent="0.3">
      <c r="A142" s="62">
        <v>44284</v>
      </c>
      <c r="B142" s="6">
        <v>583.54998799999998</v>
      </c>
      <c r="C142" s="63">
        <f t="shared" si="0"/>
        <v>5.5434911683056809E-2</v>
      </c>
    </row>
    <row r="143" spans="1:3" ht="14.25" customHeight="1" x14ac:dyDescent="0.3">
      <c r="A143" s="62">
        <v>44291</v>
      </c>
      <c r="B143" s="6">
        <v>609.65002400000003</v>
      </c>
      <c r="C143" s="63">
        <f t="shared" si="0"/>
        <v>4.4726307148857503E-2</v>
      </c>
    </row>
    <row r="144" spans="1:3" ht="14.25" customHeight="1" x14ac:dyDescent="0.3">
      <c r="A144" s="62">
        <v>44298</v>
      </c>
      <c r="B144" s="6">
        <v>590.79998799999998</v>
      </c>
      <c r="C144" s="63">
        <f t="shared" si="0"/>
        <v>-3.0919437805189132E-2</v>
      </c>
    </row>
    <row r="145" spans="1:3" ht="14.25" customHeight="1" x14ac:dyDescent="0.3">
      <c r="A145" s="62">
        <v>44305</v>
      </c>
      <c r="B145" s="6">
        <v>598.45001200000002</v>
      </c>
      <c r="C145" s="63">
        <f t="shared" si="0"/>
        <v>1.294858523253728E-2</v>
      </c>
    </row>
    <row r="146" spans="1:3" ht="14.25" customHeight="1" x14ac:dyDescent="0.3">
      <c r="A146" s="62">
        <v>44312</v>
      </c>
      <c r="B146" s="6">
        <v>600.65002400000003</v>
      </c>
      <c r="C146" s="63">
        <f t="shared" si="0"/>
        <v>3.6761834002603244E-3</v>
      </c>
    </row>
    <row r="147" spans="1:3" ht="14.25" customHeight="1" x14ac:dyDescent="0.3">
      <c r="A147" s="62">
        <v>44319</v>
      </c>
      <c r="B147" s="6">
        <v>701.90002400000003</v>
      </c>
      <c r="C147" s="63">
        <f t="shared" si="0"/>
        <v>0.16856737859715798</v>
      </c>
    </row>
    <row r="148" spans="1:3" ht="14.25" customHeight="1" x14ac:dyDescent="0.3">
      <c r="A148" s="62">
        <v>44326</v>
      </c>
      <c r="B148" s="6">
        <v>752.25</v>
      </c>
      <c r="C148" s="63">
        <f t="shared" si="0"/>
        <v>7.1733828577273284E-2</v>
      </c>
    </row>
    <row r="149" spans="1:3" ht="14.25" customHeight="1" x14ac:dyDescent="0.3">
      <c r="A149" s="62">
        <v>44333</v>
      </c>
      <c r="B149" s="6">
        <v>747.09997599999997</v>
      </c>
      <c r="C149" s="63">
        <f t="shared" si="0"/>
        <v>-6.8461601861083965E-3</v>
      </c>
    </row>
    <row r="150" spans="1:3" ht="14.25" customHeight="1" x14ac:dyDescent="0.3">
      <c r="A150" s="62">
        <v>44340</v>
      </c>
      <c r="B150" s="6">
        <v>936.75</v>
      </c>
      <c r="C150" s="63">
        <f t="shared" si="0"/>
        <v>0.25384825336950634</v>
      </c>
    </row>
    <row r="151" spans="1:3" ht="14.25" customHeight="1" x14ac:dyDescent="0.3">
      <c r="A151" s="62">
        <v>44347</v>
      </c>
      <c r="B151" s="6">
        <v>928.95001200000002</v>
      </c>
      <c r="C151" s="63">
        <f t="shared" si="0"/>
        <v>-8.3266485188150385E-3</v>
      </c>
    </row>
    <row r="152" spans="1:3" ht="14.25" customHeight="1" x14ac:dyDescent="0.3">
      <c r="A152" s="62">
        <v>44354</v>
      </c>
      <c r="B152" s="6">
        <v>924.25</v>
      </c>
      <c r="C152" s="63">
        <f t="shared" si="0"/>
        <v>-5.0594886046462229E-3</v>
      </c>
    </row>
    <row r="153" spans="1:3" ht="14.25" customHeight="1" x14ac:dyDescent="0.3">
      <c r="A153" s="62">
        <v>44361</v>
      </c>
      <c r="B153" s="6">
        <v>895.70001200000002</v>
      </c>
      <c r="C153" s="63">
        <f t="shared" si="0"/>
        <v>-3.0889897754936446E-2</v>
      </c>
    </row>
    <row r="154" spans="1:3" ht="14.25" customHeight="1" x14ac:dyDescent="0.3">
      <c r="A154" s="62">
        <v>44368</v>
      </c>
      <c r="B154" s="6">
        <v>907.75</v>
      </c>
      <c r="C154" s="63">
        <f t="shared" si="0"/>
        <v>1.3453151544671416E-2</v>
      </c>
    </row>
    <row r="155" spans="1:3" ht="14.25" customHeight="1" x14ac:dyDescent="0.3">
      <c r="A155" s="62">
        <v>44375</v>
      </c>
      <c r="B155" s="6">
        <v>958.09997599999997</v>
      </c>
      <c r="C155" s="63">
        <f t="shared" si="0"/>
        <v>5.5466787110988625E-2</v>
      </c>
    </row>
    <row r="156" spans="1:3" ht="14.25" customHeight="1" x14ac:dyDescent="0.3">
      <c r="A156" s="62">
        <v>44382</v>
      </c>
      <c r="B156" s="6">
        <v>977.84997599999997</v>
      </c>
      <c r="C156" s="63">
        <f t="shared" si="0"/>
        <v>2.0613715159930157E-2</v>
      </c>
    </row>
    <row r="157" spans="1:3" ht="14.25" customHeight="1" x14ac:dyDescent="0.3">
      <c r="A157" s="62">
        <v>44389</v>
      </c>
      <c r="B157" s="6">
        <v>1191.650024</v>
      </c>
      <c r="C157" s="63">
        <f t="shared" si="0"/>
        <v>0.21864299559997136</v>
      </c>
    </row>
    <row r="158" spans="1:3" ht="14.25" customHeight="1" x14ac:dyDescent="0.3">
      <c r="A158" s="62">
        <v>44396</v>
      </c>
      <c r="B158" s="6">
        <v>1332.8000489999999</v>
      </c>
      <c r="C158" s="63">
        <f t="shared" si="0"/>
        <v>0.11844922767357735</v>
      </c>
    </row>
    <row r="159" spans="1:3" ht="14.25" customHeight="1" x14ac:dyDescent="0.3">
      <c r="A159" s="62">
        <v>44397</v>
      </c>
      <c r="B159" s="6">
        <v>1332.8000489999999</v>
      </c>
      <c r="C159" s="63">
        <f t="shared" si="0"/>
        <v>0</v>
      </c>
    </row>
    <row r="160" spans="1:3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0"/>
  <sheetViews>
    <sheetView workbookViewId="0">
      <selection activeCell="M16" sqref="M16"/>
    </sheetView>
  </sheetViews>
  <sheetFormatPr defaultColWidth="12.59765625" defaultRowHeight="15" customHeight="1" x14ac:dyDescent="0.25"/>
  <cols>
    <col min="1" max="1" width="10.09765625" customWidth="1"/>
    <col min="2" max="3" width="7.59765625" customWidth="1"/>
    <col min="4" max="4" width="12.5" customWidth="1"/>
    <col min="5" max="6" width="7.59765625" customWidth="1"/>
    <col min="7" max="7" width="11.5" customWidth="1"/>
    <col min="8" max="11" width="7.59765625" customWidth="1"/>
    <col min="12" max="12" width="10.5" customWidth="1"/>
    <col min="13" max="13" width="7.59765625" customWidth="1"/>
    <col min="14" max="14" width="6.8984375" customWidth="1"/>
    <col min="15" max="15" width="12.59765625" customWidth="1"/>
    <col min="16" max="16" width="8.19921875" customWidth="1"/>
    <col min="17" max="26" width="7.59765625" customWidth="1"/>
  </cols>
  <sheetData>
    <row r="1" spans="1:16" ht="14.25" customHeight="1" x14ac:dyDescent="0.3">
      <c r="A1" s="1" t="s">
        <v>77</v>
      </c>
      <c r="B1" s="1"/>
      <c r="C1" s="1"/>
      <c r="D1" s="1" t="s">
        <v>78</v>
      </c>
      <c r="E1" s="1"/>
      <c r="F1" s="1"/>
      <c r="G1" s="1" t="s">
        <v>79</v>
      </c>
      <c r="H1" t="s">
        <v>137</v>
      </c>
    </row>
    <row r="2" spans="1:16" ht="14.25" customHeight="1" x14ac:dyDescent="0.25"/>
    <row r="3" spans="1:16" ht="14.25" customHeight="1" x14ac:dyDescent="0.3">
      <c r="A3" s="64"/>
      <c r="B3" s="64"/>
      <c r="C3" s="64"/>
      <c r="D3" s="65" t="s">
        <v>80</v>
      </c>
      <c r="E3" s="64"/>
      <c r="F3" s="64"/>
      <c r="G3" s="64"/>
      <c r="H3" s="64"/>
      <c r="I3" s="64"/>
      <c r="J3" s="64"/>
    </row>
    <row r="4" spans="1:16" ht="14.25" customHeight="1" x14ac:dyDescent="0.3">
      <c r="A4" s="2" t="s">
        <v>77</v>
      </c>
      <c r="B4" s="2"/>
      <c r="C4" s="2"/>
      <c r="D4" s="2" t="s">
        <v>78</v>
      </c>
      <c r="E4" s="2"/>
      <c r="F4" s="2"/>
      <c r="G4" s="63">
        <v>6.1190000000000001E-2</v>
      </c>
    </row>
    <row r="5" spans="1:16" ht="14.25" customHeight="1" x14ac:dyDescent="0.3">
      <c r="A5" s="66" t="s">
        <v>81</v>
      </c>
      <c r="B5" s="66"/>
      <c r="C5" s="66"/>
      <c r="D5" s="66" t="s">
        <v>82</v>
      </c>
      <c r="E5" s="66"/>
      <c r="F5" s="66"/>
      <c r="G5" s="63">
        <v>6.8999999999999999E-3</v>
      </c>
      <c r="H5" t="s">
        <v>136</v>
      </c>
    </row>
    <row r="6" spans="1:16" ht="14.25" customHeight="1" x14ac:dyDescent="0.3">
      <c r="A6" s="66" t="s">
        <v>83</v>
      </c>
      <c r="B6" s="66"/>
      <c r="C6" s="66"/>
      <c r="D6" s="66" t="s">
        <v>82</v>
      </c>
      <c r="E6" s="66"/>
      <c r="F6" s="66"/>
      <c r="G6" s="63">
        <v>2.1299999999999999E-2</v>
      </c>
    </row>
    <row r="7" spans="1:16" ht="14.25" customHeight="1" x14ac:dyDescent="0.3">
      <c r="A7" s="29" t="s">
        <v>80</v>
      </c>
      <c r="B7" s="67"/>
      <c r="C7" s="67"/>
      <c r="D7" s="67"/>
      <c r="E7" s="67"/>
      <c r="F7" s="67"/>
      <c r="G7" s="63">
        <f>SUM(G4:G6)</f>
        <v>8.9389999999999997E-2</v>
      </c>
    </row>
    <row r="8" spans="1:16" ht="14.25" customHeight="1" x14ac:dyDescent="0.3">
      <c r="A8" s="68" t="s">
        <v>84</v>
      </c>
      <c r="B8" s="68"/>
      <c r="C8" s="68"/>
      <c r="D8" s="68" t="s">
        <v>85</v>
      </c>
      <c r="E8" s="68"/>
      <c r="F8" s="68"/>
      <c r="G8" s="69">
        <f>'income statement'!J21</f>
        <v>0.3</v>
      </c>
    </row>
    <row r="9" spans="1:16" ht="14.25" customHeight="1" x14ac:dyDescent="0.3">
      <c r="A9" s="29" t="s">
        <v>86</v>
      </c>
      <c r="B9" s="54"/>
      <c r="C9" s="66"/>
      <c r="D9" s="66"/>
      <c r="E9" s="66"/>
      <c r="F9" s="66"/>
      <c r="G9" s="63">
        <f>G7*(1-G8)</f>
        <v>6.257299999999999E-2</v>
      </c>
    </row>
    <row r="10" spans="1:16" ht="14.25" customHeight="1" x14ac:dyDescent="0.25"/>
    <row r="11" spans="1:16" ht="14.25" customHeight="1" x14ac:dyDescent="0.3">
      <c r="A11" s="64"/>
      <c r="B11" s="64"/>
      <c r="C11" s="64"/>
      <c r="D11" s="70" t="s">
        <v>138</v>
      </c>
      <c r="E11" s="64"/>
      <c r="F11" s="64"/>
      <c r="G11" s="64"/>
      <c r="H11" s="64"/>
      <c r="I11" s="64"/>
      <c r="J11" s="64"/>
      <c r="L11" s="70" t="s">
        <v>87</v>
      </c>
      <c r="M11" s="70" t="s">
        <v>88</v>
      </c>
      <c r="N11" s="64"/>
      <c r="O11" s="64"/>
    </row>
    <row r="12" spans="1:16" ht="14.25" customHeight="1" x14ac:dyDescent="0.25"/>
    <row r="13" spans="1:16" ht="14.25" customHeight="1" x14ac:dyDescent="0.3">
      <c r="A13" s="54" t="s">
        <v>77</v>
      </c>
      <c r="B13" s="2"/>
      <c r="C13" s="2"/>
      <c r="D13" s="54" t="s">
        <v>78</v>
      </c>
      <c r="E13" s="2"/>
      <c r="F13" s="2"/>
      <c r="G13" s="23">
        <v>6.1199999999999997E-2</v>
      </c>
    </row>
    <row r="14" spans="1:16" ht="14.25" customHeight="1" x14ac:dyDescent="0.3">
      <c r="A14" s="54" t="s">
        <v>89</v>
      </c>
      <c r="B14" s="2"/>
      <c r="C14" s="2"/>
      <c r="D14" s="54"/>
      <c r="E14" s="2"/>
      <c r="F14" s="2"/>
      <c r="G14" s="71">
        <f>SLOPE(NESTLEIND.NS!C3:C159,BSE.NS!C3:C159)</f>
        <v>0.10497878008310975</v>
      </c>
      <c r="L14" s="6" t="s">
        <v>80</v>
      </c>
      <c r="M14" s="63">
        <f>G9</f>
        <v>6.257299999999999E-2</v>
      </c>
      <c r="N14" s="2"/>
      <c r="O14" s="6" t="s">
        <v>90</v>
      </c>
      <c r="P14" s="63">
        <f>G31/SUM(G29,G31)</f>
        <v>1.1864523378900416E-3</v>
      </c>
    </row>
    <row r="15" spans="1:16" ht="14.25" customHeight="1" x14ac:dyDescent="0.3">
      <c r="A15" s="54" t="s">
        <v>91</v>
      </c>
      <c r="B15" s="2"/>
      <c r="C15" s="2"/>
      <c r="D15" s="54"/>
      <c r="E15" s="2"/>
      <c r="F15" s="2"/>
      <c r="G15" s="23">
        <f>G23</f>
        <v>5.8440641092215806E-2</v>
      </c>
      <c r="L15" s="6" t="s">
        <v>92</v>
      </c>
      <c r="M15" s="63">
        <f>G17</f>
        <v>6.0910325868049349E-2</v>
      </c>
      <c r="N15" s="2" t="s">
        <v>93</v>
      </c>
      <c r="O15" s="6" t="s">
        <v>94</v>
      </c>
      <c r="P15" s="63">
        <f>G29/SUM(G29,G31)</f>
        <v>0.99881354766210995</v>
      </c>
    </row>
    <row r="16" spans="1:16" ht="14.25" customHeight="1" x14ac:dyDescent="0.3">
      <c r="A16" s="68" t="s">
        <v>77</v>
      </c>
      <c r="B16" s="68"/>
      <c r="C16" s="68"/>
      <c r="D16" s="68" t="s">
        <v>78</v>
      </c>
      <c r="E16" s="68"/>
      <c r="F16" s="68"/>
      <c r="G16" s="72">
        <v>6.1199999999999997E-2</v>
      </c>
      <c r="L16" s="29" t="s">
        <v>95</v>
      </c>
      <c r="M16" s="73">
        <f>SUMPRODUCT(P14:P15,M14:M15)</f>
        <v>6.0912298551660353E-2</v>
      </c>
      <c r="N16" s="74"/>
      <c r="O16" s="74"/>
      <c r="P16" s="2"/>
    </row>
    <row r="17" spans="1:8" ht="14.25" customHeight="1" x14ac:dyDescent="0.3">
      <c r="A17" s="29" t="s">
        <v>92</v>
      </c>
      <c r="B17" s="2"/>
      <c r="C17" s="2"/>
      <c r="D17" s="2"/>
      <c r="E17" s="2"/>
      <c r="F17" s="2"/>
      <c r="G17" s="23">
        <f>G13+(G14*(G15-G16))</f>
        <v>6.0910325868049349E-2</v>
      </c>
    </row>
    <row r="18" spans="1:8" ht="14.25" customHeight="1" x14ac:dyDescent="0.25"/>
    <row r="19" spans="1:8" ht="14.25" customHeight="1" x14ac:dyDescent="0.3">
      <c r="A19" s="29" t="s">
        <v>96</v>
      </c>
      <c r="B19" s="2"/>
      <c r="C19" s="2"/>
      <c r="D19" s="2"/>
      <c r="E19" s="2"/>
      <c r="F19" s="2"/>
      <c r="G19" s="2"/>
    </row>
    <row r="20" spans="1:8" ht="14.25" customHeight="1" x14ac:dyDescent="0.3">
      <c r="A20" s="2" t="s">
        <v>97</v>
      </c>
      <c r="B20" s="2"/>
      <c r="C20" s="2"/>
      <c r="D20" s="62">
        <v>42769</v>
      </c>
      <c r="E20" s="2"/>
      <c r="F20" s="2"/>
      <c r="G20" s="6">
        <v>929.8</v>
      </c>
    </row>
    <row r="21" spans="1:8" ht="14.25" customHeight="1" x14ac:dyDescent="0.3">
      <c r="A21" s="2" t="s">
        <v>98</v>
      </c>
      <c r="B21" s="2"/>
      <c r="C21" s="2"/>
      <c r="D21" s="62">
        <v>44400</v>
      </c>
      <c r="E21" s="2"/>
      <c r="F21" s="2"/>
      <c r="G21" s="75">
        <v>1132.0999999999999</v>
      </c>
    </row>
    <row r="22" spans="1:8" ht="14.25" customHeight="1" x14ac:dyDescent="0.3">
      <c r="A22" s="2" t="s">
        <v>99</v>
      </c>
      <c r="B22" s="2"/>
      <c r="C22" s="2"/>
      <c r="D22" s="3">
        <f>YEARFRAC(D20,D21,1)</f>
        <v>4.4660460021905806</v>
      </c>
      <c r="E22" s="2"/>
      <c r="F22" s="2"/>
      <c r="G22" s="2"/>
    </row>
    <row r="23" spans="1:8" ht="14.25" customHeight="1" x14ac:dyDescent="0.3">
      <c r="A23" s="2" t="s">
        <v>100</v>
      </c>
      <c r="B23" s="2"/>
      <c r="C23" s="2"/>
      <c r="D23" s="2"/>
      <c r="E23" s="2"/>
      <c r="F23" s="2"/>
      <c r="G23" s="63">
        <f>(G21/G20)^(1/(D22-1))-1</f>
        <v>5.8440641092215806E-2</v>
      </c>
    </row>
    <row r="24" spans="1:8" ht="14.25" customHeight="1" x14ac:dyDescent="0.25"/>
    <row r="25" spans="1:8" ht="14.25" customHeight="1" x14ac:dyDescent="0.3">
      <c r="A25" s="6" t="s">
        <v>101</v>
      </c>
      <c r="B25" s="2"/>
      <c r="C25" s="6"/>
      <c r="D25" s="2"/>
      <c r="E25" s="2"/>
      <c r="F25" s="2"/>
      <c r="G25" s="2"/>
    </row>
    <row r="26" spans="1:8" ht="14.25" customHeight="1" x14ac:dyDescent="0.3">
      <c r="A26" s="2" t="s">
        <v>20</v>
      </c>
      <c r="B26" s="2"/>
      <c r="C26" s="2"/>
      <c r="D26" s="2"/>
      <c r="E26" s="2"/>
      <c r="F26" s="2"/>
      <c r="G26" s="20">
        <f>96415716/10^6</f>
        <v>96.415716000000003</v>
      </c>
      <c r="H26" t="s">
        <v>140</v>
      </c>
    </row>
    <row r="27" spans="1:8" ht="14.25" customHeight="1" x14ac:dyDescent="0.3">
      <c r="A27" s="2" t="s">
        <v>102</v>
      </c>
      <c r="B27" s="2"/>
      <c r="C27" s="2"/>
      <c r="D27" s="2"/>
      <c r="E27" s="2"/>
      <c r="F27" s="2"/>
      <c r="G27" s="75">
        <v>18143.95</v>
      </c>
    </row>
    <row r="28" spans="1:8" ht="14.25" customHeight="1" x14ac:dyDescent="0.25"/>
    <row r="29" spans="1:8" ht="14.25" customHeight="1" x14ac:dyDescent="0.3">
      <c r="A29" s="6" t="s">
        <v>103</v>
      </c>
      <c r="B29" s="2"/>
      <c r="C29" s="2"/>
      <c r="D29" s="2"/>
      <c r="E29" s="2"/>
      <c r="F29" s="2"/>
      <c r="G29" s="3">
        <f>G26*G27</f>
        <v>1749361.9303182</v>
      </c>
      <c r="H29" t="s">
        <v>141</v>
      </c>
    </row>
    <row r="30" spans="1:8" ht="14.25" customHeight="1" x14ac:dyDescent="0.3">
      <c r="C30" s="24"/>
      <c r="D30" s="24"/>
      <c r="E30" s="24"/>
      <c r="F30" s="24"/>
      <c r="G30" s="24"/>
    </row>
    <row r="31" spans="1:8" ht="14.25" customHeight="1" x14ac:dyDescent="0.3">
      <c r="A31" s="6" t="s">
        <v>104</v>
      </c>
      <c r="B31" s="2"/>
      <c r="C31" s="2"/>
      <c r="D31" s="2"/>
      <c r="E31" s="2"/>
      <c r="F31" s="2"/>
      <c r="G31" s="3">
        <f>'debt schedule new'!F6</f>
        <v>2078</v>
      </c>
    </row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 DICOUNTED CASH FLOW</vt:lpstr>
      <vt:lpstr>income statement</vt:lpstr>
      <vt:lpstr>working capital schedule</vt:lpstr>
      <vt:lpstr>fixed asset schedule</vt:lpstr>
      <vt:lpstr>debt schedule new</vt:lpstr>
      <vt:lpstr>NESTLEIND.NS</vt:lpstr>
      <vt:lpstr>BSE.NS</vt:lpstr>
      <vt:lpstr>discount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</dc:creator>
  <cp:lastModifiedBy>DEBASHREE PRIYA SAHOO</cp:lastModifiedBy>
  <dcterms:created xsi:type="dcterms:W3CDTF">2021-07-17T13:50:20Z</dcterms:created>
  <dcterms:modified xsi:type="dcterms:W3CDTF">2023-08-19T21:56:22Z</dcterms:modified>
</cp:coreProperties>
</file>