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yeong\Desktop\github\sharebox\"/>
    </mc:Choice>
  </mc:AlternateContent>
  <xr:revisionPtr revIDLastSave="0" documentId="13_ncr:1_{1A79E100-0EDD-4CCF-A12D-01019D7207B8}" xr6:coauthVersionLast="47" xr6:coauthVersionMax="47" xr10:uidLastSave="{00000000-0000-0000-0000-000000000000}"/>
  <bookViews>
    <workbookView xWindow="-108" yWindow="-108" windowWidth="23256" windowHeight="12576" xr2:uid="{E175750C-111F-479F-A17E-63650490C4F8}"/>
  </bookViews>
  <sheets>
    <sheet name="1월" sheetId="2" r:id="rId1"/>
    <sheet name="2월" sheetId="3" r:id="rId2"/>
  </sheets>
  <definedNames>
    <definedName name="_xlnm._FilterDatabase" localSheetId="0" hidden="1">'1월'!$B$15:$E$15</definedName>
    <definedName name="_xlnm._FilterDatabase" localSheetId="1" hidden="1">'2월'!$B$15:$E$15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N10" i="2"/>
  <c r="J27" i="2"/>
  <c r="C12" i="3"/>
  <c r="Q10" i="3"/>
  <c r="O10" i="3"/>
  <c r="D10" i="3"/>
  <c r="Q9" i="3"/>
  <c r="P9" i="3"/>
  <c r="O9" i="3"/>
  <c r="M9" i="3"/>
  <c r="L9" i="3"/>
  <c r="J9" i="3"/>
  <c r="E9" i="3"/>
  <c r="D9" i="3"/>
  <c r="C9" i="3"/>
  <c r="R8" i="3"/>
  <c r="R9" i="3" s="1"/>
  <c r="N8" i="3"/>
  <c r="K8" i="3"/>
  <c r="I8" i="3"/>
  <c r="I9" i="3" s="1"/>
  <c r="H8" i="3"/>
  <c r="H9" i="3" s="1"/>
  <c r="G8" i="3"/>
  <c r="F8" i="3"/>
  <c r="U7" i="3"/>
  <c r="U11" i="3" s="1"/>
  <c r="N7" i="3"/>
  <c r="N10" i="3" s="1"/>
  <c r="K7" i="3"/>
  <c r="K9" i="3" s="1"/>
  <c r="U5" i="3"/>
  <c r="V14" i="3" s="1"/>
  <c r="G8" i="2"/>
  <c r="C12" i="2"/>
  <c r="I8" i="2"/>
  <c r="I9" i="2" s="1"/>
  <c r="F8" i="2"/>
  <c r="H8" i="2"/>
  <c r="H9" i="2" s="1"/>
  <c r="D10" i="2"/>
  <c r="U5" i="2" s="1"/>
  <c r="V14" i="2" s="1"/>
  <c r="Q10" i="2"/>
  <c r="U7" i="2" s="1"/>
  <c r="N8" i="2"/>
  <c r="N7" i="2"/>
  <c r="D9" i="2"/>
  <c r="K8" i="2"/>
  <c r="N9" i="2"/>
  <c r="M9" i="2"/>
  <c r="O10" i="2"/>
  <c r="Q9" i="2"/>
  <c r="P9" i="2"/>
  <c r="O9" i="2"/>
  <c r="R8" i="2"/>
  <c r="R9" i="2" s="1"/>
  <c r="L9" i="2"/>
  <c r="K7" i="2"/>
  <c r="K9" i="2" s="1"/>
  <c r="I10" i="3" l="1"/>
  <c r="U6" i="3" s="1"/>
  <c r="U10" i="3" s="1"/>
  <c r="R10" i="3"/>
  <c r="V13" i="3"/>
  <c r="N9" i="3"/>
  <c r="V13" i="2"/>
  <c r="I10" i="2"/>
  <c r="U6" i="2" s="1"/>
  <c r="U10" i="2" s="1"/>
  <c r="U11" i="2"/>
  <c r="J9" i="2"/>
  <c r="E9" i="2"/>
  <c r="R10" i="2"/>
  <c r="U9" i="3" l="1"/>
  <c r="U9" i="2"/>
</calcChain>
</file>

<file path=xl/sharedStrings.xml><?xml version="1.0" encoding="utf-8"?>
<sst xmlns="http://schemas.openxmlformats.org/spreadsheetml/2006/main" count="160" uniqueCount="81">
  <si>
    <t>계획</t>
    <phoneticPr fontId="2" type="noConversion"/>
  </si>
  <si>
    <t>실적</t>
    <phoneticPr fontId="2" type="noConversion"/>
  </si>
  <si>
    <t>변동지출</t>
    <phoneticPr fontId="2" type="noConversion"/>
  </si>
  <si>
    <t>식비</t>
    <phoneticPr fontId="2" type="noConversion"/>
  </si>
  <si>
    <t>교통비</t>
    <phoneticPr fontId="2" type="noConversion"/>
  </si>
  <si>
    <t>기타</t>
    <phoneticPr fontId="2" type="noConversion"/>
  </si>
  <si>
    <t>고정지출</t>
    <phoneticPr fontId="2" type="noConversion"/>
  </si>
  <si>
    <t>비상금</t>
    <phoneticPr fontId="2" type="noConversion"/>
  </si>
  <si>
    <t>저축</t>
    <phoneticPr fontId="2" type="noConversion"/>
  </si>
  <si>
    <t>적금</t>
    <phoneticPr fontId="2" type="noConversion"/>
  </si>
  <si>
    <t>청약</t>
    <phoneticPr fontId="2" type="noConversion"/>
  </si>
  <si>
    <t>소득</t>
    <phoneticPr fontId="2" type="noConversion"/>
  </si>
  <si>
    <t>고정수입</t>
    <phoneticPr fontId="2" type="noConversion"/>
  </si>
  <si>
    <t>변동수입</t>
    <phoneticPr fontId="2" type="noConversion"/>
  </si>
  <si>
    <t>구분</t>
    <phoneticPr fontId="2" type="noConversion"/>
  </si>
  <si>
    <t>통신비</t>
    <phoneticPr fontId="2" type="noConversion"/>
  </si>
  <si>
    <t>날짜</t>
    <phoneticPr fontId="2" type="noConversion"/>
  </si>
  <si>
    <t>금액</t>
    <phoneticPr fontId="2" type="noConversion"/>
  </si>
  <si>
    <t>사용처</t>
    <phoneticPr fontId="2" type="noConversion"/>
  </si>
  <si>
    <t>카드사용실적</t>
    <phoneticPr fontId="2" type="noConversion"/>
  </si>
  <si>
    <t>현금사용실적</t>
    <phoneticPr fontId="2" type="noConversion"/>
  </si>
  <si>
    <t>차이</t>
    <phoneticPr fontId="2" type="noConversion"/>
  </si>
  <si>
    <t>-</t>
    <phoneticPr fontId="2" type="noConversion"/>
  </si>
  <si>
    <t>지출률</t>
    <phoneticPr fontId="2" type="noConversion"/>
  </si>
  <si>
    <t>소득계</t>
    <phoneticPr fontId="2" type="noConversion"/>
  </si>
  <si>
    <t>저축계</t>
    <phoneticPr fontId="2" type="noConversion"/>
  </si>
  <si>
    <t>잔액</t>
    <phoneticPr fontId="2" type="noConversion"/>
  </si>
  <si>
    <t>투자</t>
    <phoneticPr fontId="2" type="noConversion"/>
  </si>
  <si>
    <t>지출계</t>
    <phoneticPr fontId="2" type="noConversion"/>
  </si>
  <si>
    <t>투자계</t>
    <phoneticPr fontId="2" type="noConversion"/>
  </si>
  <si>
    <t>잔액 = 소득계 - (지출계+저축계+투자계)</t>
    <phoneticPr fontId="2" type="noConversion"/>
  </si>
  <si>
    <t>지출률 = 지출계/소득계*100</t>
    <phoneticPr fontId="2" type="noConversion"/>
  </si>
  <si>
    <t>지출계 = 변동지출 + 고정지출 + 비상금</t>
    <phoneticPr fontId="2" type="noConversion"/>
  </si>
  <si>
    <t>지출목표</t>
    <phoneticPr fontId="2" type="noConversion"/>
  </si>
  <si>
    <t>현금 흐름</t>
    <phoneticPr fontId="2" type="noConversion"/>
  </si>
  <si>
    <t>월 결산</t>
    <phoneticPr fontId="2" type="noConversion"/>
  </si>
  <si>
    <t>주거비</t>
    <phoneticPr fontId="2" type="noConversion"/>
  </si>
  <si>
    <t>`</t>
    <phoneticPr fontId="2" type="noConversion"/>
  </si>
  <si>
    <t>피트니스</t>
    <phoneticPr fontId="2" type="noConversion"/>
  </si>
  <si>
    <t>아이스크림점</t>
    <phoneticPr fontId="2" type="noConversion"/>
  </si>
  <si>
    <t>관리비</t>
    <phoneticPr fontId="2" type="noConversion"/>
  </si>
  <si>
    <t>보험금</t>
    <phoneticPr fontId="2" type="noConversion"/>
  </si>
  <si>
    <t>용돈</t>
    <phoneticPr fontId="2" type="noConversion"/>
  </si>
  <si>
    <t>기타(데이트통장+유투브 구독)</t>
    <phoneticPr fontId="2" type="noConversion"/>
  </si>
  <si>
    <t>2024년 1월 송민영의 가계부(현대차 주식 18만원 이하일 때 구매)</t>
    <phoneticPr fontId="2" type="noConversion"/>
  </si>
  <si>
    <t>점심</t>
    <phoneticPr fontId="2" type="noConversion"/>
  </si>
  <si>
    <t>저축률</t>
    <phoneticPr fontId="2" type="noConversion"/>
  </si>
  <si>
    <t>저축률 = 저축계/소득계*100</t>
    <phoneticPr fontId="2" type="noConversion"/>
  </si>
  <si>
    <t>저축목표</t>
    <phoneticPr fontId="2" type="noConversion"/>
  </si>
  <si>
    <t>점심</t>
    <phoneticPr fontId="2" type="noConversion"/>
  </si>
  <si>
    <t>김밥천국</t>
    <phoneticPr fontId="2" type="noConversion"/>
  </si>
  <si>
    <t>해든마트</t>
    <phoneticPr fontId="2" type="noConversion"/>
  </si>
  <si>
    <t>단백질바</t>
    <phoneticPr fontId="2" type="noConversion"/>
  </si>
  <si>
    <t>점심</t>
    <phoneticPr fontId="2" type="noConversion"/>
  </si>
  <si>
    <t>주유</t>
    <phoneticPr fontId="2" type="noConversion"/>
  </si>
  <si>
    <t>피부과</t>
    <phoneticPr fontId="2" type="noConversion"/>
  </si>
  <si>
    <t>저녁(치킨)</t>
    <phoneticPr fontId="2" type="noConversion"/>
  </si>
  <si>
    <t>홈플러스</t>
    <phoneticPr fontId="2" type="noConversion"/>
  </si>
  <si>
    <t>올리브영</t>
    <phoneticPr fontId="2" type="noConversion"/>
  </si>
  <si>
    <t>점심</t>
    <phoneticPr fontId="2" type="noConversion"/>
  </si>
  <si>
    <t>점심</t>
    <phoneticPr fontId="2" type="noConversion"/>
  </si>
  <si>
    <t>카드값(전월)</t>
    <phoneticPr fontId="2" type="noConversion"/>
  </si>
  <si>
    <t>카드값(금월)</t>
    <phoneticPr fontId="2" type="noConversion"/>
  </si>
  <si>
    <t>노래방</t>
    <phoneticPr fontId="2" type="noConversion"/>
  </si>
  <si>
    <t>다이소</t>
    <phoneticPr fontId="2" type="noConversion"/>
  </si>
  <si>
    <t>도시가스</t>
    <phoneticPr fontId="2" type="noConversion"/>
  </si>
  <si>
    <t>점심</t>
    <phoneticPr fontId="2" type="noConversion"/>
  </si>
  <si>
    <t>식비</t>
    <phoneticPr fontId="2" type="noConversion"/>
  </si>
  <si>
    <t>닭가슴살</t>
    <phoneticPr fontId="2" type="noConversion"/>
  </si>
  <si>
    <t>물</t>
    <phoneticPr fontId="2" type="noConversion"/>
  </si>
  <si>
    <t>생활비</t>
    <phoneticPr fontId="2" type="noConversion"/>
  </si>
  <si>
    <t>생활비</t>
    <phoneticPr fontId="2" type="noConversion"/>
  </si>
  <si>
    <t>의류구입비</t>
    <phoneticPr fontId="2" type="noConversion"/>
  </si>
  <si>
    <t>2024년 2월 송민영의 가계부(현대차 주식 18만원 이하일 때 구매)</t>
    <phoneticPr fontId="2" type="noConversion"/>
  </si>
  <si>
    <t>생활비</t>
    <phoneticPr fontId="2" type="noConversion"/>
  </si>
  <si>
    <t>저녁(치킨)</t>
    <phoneticPr fontId="2" type="noConversion"/>
  </si>
  <si>
    <t>점심</t>
    <phoneticPr fontId="2" type="noConversion"/>
  </si>
  <si>
    <t>식비</t>
    <phoneticPr fontId="2" type="noConversion"/>
  </si>
  <si>
    <t>카드결제료</t>
    <phoneticPr fontId="2" type="noConversion"/>
  </si>
  <si>
    <t>생활비</t>
    <phoneticPr fontId="2" type="noConversion"/>
  </si>
  <si>
    <t>다이소 및 마트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</si>
</sst>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m&quot;월&quot;\ dd&quot;일&quot;"/>
    <numFmt numFmtId="177" formatCode="0.0%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7A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0" fillId="0" borderId="3" xfId="1" applyFont="1" applyBorder="1" applyAlignment="1">
      <alignment vertical="center"/>
    </xf>
    <xf numFmtId="41" fontId="0" fillId="0" borderId="1" xfId="1" applyFont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5" borderId="0" xfId="0" applyFill="1">
      <alignment vertical="center"/>
    </xf>
    <xf numFmtId="0" fontId="6" fillId="5" borderId="0" xfId="0" applyFont="1" applyFill="1">
      <alignment vertical="center"/>
    </xf>
    <xf numFmtId="41" fontId="0" fillId="5" borderId="0" xfId="0" applyNumberFormat="1" applyFill="1">
      <alignment vertical="center"/>
    </xf>
    <xf numFmtId="0" fontId="0" fillId="5" borderId="0" xfId="0" quotePrefix="1" applyFill="1">
      <alignment vertical="center"/>
    </xf>
    <xf numFmtId="176" fontId="0" fillId="5" borderId="3" xfId="0" applyNumberFormat="1" applyFill="1" applyBorder="1" applyAlignment="1">
      <alignment horizontal="center" vertical="center"/>
    </xf>
    <xf numFmtId="41" fontId="0" fillId="5" borderId="3" xfId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41" fontId="0" fillId="5" borderId="0" xfId="1" applyFont="1" applyFill="1" applyAlignment="1">
      <alignment horizontal="center" vertical="center"/>
    </xf>
    <xf numFmtId="9" fontId="6" fillId="0" borderId="1" xfId="2" applyFont="1" applyBorder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8" fillId="3" borderId="1" xfId="2" applyNumberFormat="1" applyFont="1" applyFill="1" applyBorder="1" applyAlignment="1">
      <alignment vertical="center"/>
    </xf>
    <xf numFmtId="41" fontId="0" fillId="0" borderId="3" xfId="1" applyFont="1" applyBorder="1" applyAlignment="1">
      <alignment horizontal="right" vertical="center"/>
    </xf>
    <xf numFmtId="0" fontId="0" fillId="6" borderId="3" xfId="0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2"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66"/>
      <color rgb="FF006100"/>
      <color rgb="FF000000"/>
      <color rgb="FF9C0006"/>
      <color rgb="FF7A0000"/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BB4D-E324-4A99-BBF5-A16B01E6D104}">
  <dimension ref="A1:AF49"/>
  <sheetViews>
    <sheetView tabSelected="1" zoomScale="85" zoomScaleNormal="85" workbookViewId="0">
      <pane xSplit="2" ySplit="15" topLeftCell="D16" activePane="bottomRight" state="frozen"/>
      <selection pane="topRight" activeCell="C1" sqref="C1"/>
      <selection pane="bottomLeft" activeCell="A10" sqref="A10"/>
      <selection pane="bottomRight" activeCell="B2" sqref="B2:U2"/>
    </sheetView>
  </sheetViews>
  <sheetFormatPr defaultRowHeight="17.399999999999999" x14ac:dyDescent="0.4"/>
  <cols>
    <col min="2" max="4" width="10.8984375" customWidth="1"/>
    <col min="5" max="5" width="12.59765625" bestFit="1" customWidth="1"/>
    <col min="6" max="10" width="10.8984375" customWidth="1"/>
    <col min="11" max="11" width="13.19921875" bestFit="1" customWidth="1"/>
    <col min="12" max="13" width="10.8984375" customWidth="1"/>
    <col min="14" max="14" width="27.5" bestFit="1" customWidth="1"/>
    <col min="15" max="15" width="29.296875" bestFit="1" customWidth="1"/>
    <col min="16" max="17" width="10.8984375" customWidth="1"/>
    <col min="18" max="18" width="9.3984375" bestFit="1" customWidth="1"/>
    <col min="21" max="21" width="10.8984375" bestFit="1" customWidth="1"/>
    <col min="22" max="22" width="13.296875" bestFit="1" customWidth="1"/>
  </cols>
  <sheetData>
    <row r="1" spans="1:32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ht="34.5" customHeight="1" thickBot="1" x14ac:dyDescent="0.45">
      <c r="A2" s="10"/>
      <c r="B2" s="27" t="s">
        <v>44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9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s="9" customFormat="1" ht="19.2" x14ac:dyDescent="0.4">
      <c r="A4" s="11"/>
      <c r="B4" s="26" t="s">
        <v>34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11"/>
      <c r="T4" s="30" t="s">
        <v>35</v>
      </c>
      <c r="U4" s="30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4">
      <c r="A5" s="10"/>
      <c r="B5" s="31" t="s">
        <v>14</v>
      </c>
      <c r="C5" s="33" t="s">
        <v>11</v>
      </c>
      <c r="D5" s="34"/>
      <c r="E5" s="33" t="s">
        <v>2</v>
      </c>
      <c r="F5" s="35"/>
      <c r="G5" s="35"/>
      <c r="H5" s="35"/>
      <c r="I5" s="34"/>
      <c r="J5" s="33" t="s">
        <v>6</v>
      </c>
      <c r="K5" s="35"/>
      <c r="L5" s="35"/>
      <c r="M5" s="35"/>
      <c r="N5" s="34"/>
      <c r="O5" s="31" t="s">
        <v>7</v>
      </c>
      <c r="P5" s="33" t="s">
        <v>8</v>
      </c>
      <c r="Q5" s="34"/>
      <c r="R5" s="31" t="s">
        <v>27</v>
      </c>
      <c r="S5" s="10"/>
      <c r="T5" s="8" t="s">
        <v>24</v>
      </c>
      <c r="U5" s="7">
        <f>D10</f>
        <v>4129547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x14ac:dyDescent="0.4">
      <c r="A6" s="10"/>
      <c r="B6" s="32"/>
      <c r="C6" s="8" t="s">
        <v>12</v>
      </c>
      <c r="D6" s="8" t="s">
        <v>13</v>
      </c>
      <c r="E6" s="8" t="s">
        <v>61</v>
      </c>
      <c r="F6" s="8" t="s">
        <v>40</v>
      </c>
      <c r="G6" s="8" t="s">
        <v>70</v>
      </c>
      <c r="H6" s="8" t="s">
        <v>4</v>
      </c>
      <c r="I6" s="8" t="s">
        <v>72</v>
      </c>
      <c r="J6" s="8" t="s">
        <v>36</v>
      </c>
      <c r="K6" s="8" t="s">
        <v>15</v>
      </c>
      <c r="L6" s="20" t="s">
        <v>41</v>
      </c>
      <c r="M6" s="20" t="s">
        <v>42</v>
      </c>
      <c r="N6" s="20" t="s">
        <v>43</v>
      </c>
      <c r="O6" s="32"/>
      <c r="P6" s="8" t="s">
        <v>9</v>
      </c>
      <c r="Q6" s="8" t="s">
        <v>10</v>
      </c>
      <c r="R6" s="32"/>
      <c r="S6" s="10"/>
      <c r="T6" s="8" t="s">
        <v>28</v>
      </c>
      <c r="U6" s="7">
        <f>I10+N10+O10</f>
        <v>1640735</v>
      </c>
      <c r="V6" s="10" t="s">
        <v>32</v>
      </c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x14ac:dyDescent="0.4">
      <c r="A7" s="10"/>
      <c r="B7" s="4" t="s">
        <v>0</v>
      </c>
      <c r="C7" s="6">
        <v>4000000</v>
      </c>
      <c r="D7" s="6">
        <v>0</v>
      </c>
      <c r="E7" s="6">
        <v>468220</v>
      </c>
      <c r="F7" s="6">
        <v>120000</v>
      </c>
      <c r="G7" s="6">
        <v>400000</v>
      </c>
      <c r="H7" s="24" t="s">
        <v>22</v>
      </c>
      <c r="I7" s="6">
        <v>100000</v>
      </c>
      <c r="J7" s="6">
        <v>300000</v>
      </c>
      <c r="K7" s="6">
        <f>34100+24500</f>
        <v>58600</v>
      </c>
      <c r="L7" s="6">
        <v>135931</v>
      </c>
      <c r="M7" s="6">
        <v>300000</v>
      </c>
      <c r="N7" s="6">
        <f>35000+8690</f>
        <v>43690</v>
      </c>
      <c r="O7" s="6">
        <v>50000</v>
      </c>
      <c r="P7" s="6">
        <v>1000000</v>
      </c>
      <c r="Q7" s="6">
        <v>100000</v>
      </c>
      <c r="R7" s="6"/>
      <c r="S7" s="10"/>
      <c r="T7" s="8" t="s">
        <v>25</v>
      </c>
      <c r="U7" s="7">
        <f>Q10</f>
        <v>1100000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x14ac:dyDescent="0.4">
      <c r="A8" s="10"/>
      <c r="B8" s="5" t="s">
        <v>1</v>
      </c>
      <c r="C8" s="7">
        <v>4129547</v>
      </c>
      <c r="D8" s="7">
        <v>0</v>
      </c>
      <c r="E8" s="7">
        <v>468220</v>
      </c>
      <c r="F8" s="7">
        <f>+SUMIF($L$16:$L$33,F$6,$J$16:$J$33)</f>
        <v>82320</v>
      </c>
      <c r="G8" s="7">
        <f>SUMIF($L$16:$L$33,G$6,$J$16:$J$33)</f>
        <v>191974</v>
      </c>
      <c r="H8" s="7">
        <f>SUMIF($L$16:$L$33,H$6,$J$16:$J$33)</f>
        <v>0</v>
      </c>
      <c r="I8" s="7">
        <f>SUMIF($L$16:$L$33,I$6,$J$16:$J$33)</f>
        <v>0</v>
      </c>
      <c r="J8" s="6">
        <v>300000</v>
      </c>
      <c r="K8" s="6">
        <f>34100+24500</f>
        <v>58600</v>
      </c>
      <c r="L8" s="6">
        <v>135931</v>
      </c>
      <c r="M8" s="6">
        <v>300000</v>
      </c>
      <c r="N8" s="6">
        <f>35000+8690</f>
        <v>43690</v>
      </c>
      <c r="O8" s="7">
        <v>60000</v>
      </c>
      <c r="P8" s="7">
        <v>1000000</v>
      </c>
      <c r="Q8" s="7">
        <v>100000</v>
      </c>
      <c r="R8" s="7">
        <f>SUMIF($E$16:$E$33,R$5,$C$16:$C$33)+SUMIF($L$16:$L$33,R$5,$J$16:$J$33)</f>
        <v>0</v>
      </c>
      <c r="S8" s="10"/>
      <c r="T8" s="8" t="s">
        <v>29</v>
      </c>
      <c r="U8" s="7">
        <v>200000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x14ac:dyDescent="0.4">
      <c r="A9" s="10"/>
      <c r="B9" s="5" t="s">
        <v>21</v>
      </c>
      <c r="C9" s="7">
        <f>C8-C7</f>
        <v>129547</v>
      </c>
      <c r="D9" s="7">
        <f t="shared" ref="C9:R9" si="0">D7-D8</f>
        <v>0</v>
      </c>
      <c r="E9" s="7">
        <f t="shared" si="0"/>
        <v>0</v>
      </c>
      <c r="F9" s="7"/>
      <c r="G9" s="7"/>
      <c r="H9" s="7">
        <f>H8</f>
        <v>0</v>
      </c>
      <c r="I9" s="7">
        <f t="shared" si="0"/>
        <v>100000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7">
        <f t="shared" si="0"/>
        <v>-10000</v>
      </c>
      <c r="P9" s="7">
        <f t="shared" si="0"/>
        <v>0</v>
      </c>
      <c r="Q9" s="7">
        <f t="shared" si="0"/>
        <v>0</v>
      </c>
      <c r="R9" s="7">
        <f t="shared" si="0"/>
        <v>0</v>
      </c>
      <c r="S9" s="10"/>
      <c r="T9" s="8" t="s">
        <v>26</v>
      </c>
      <c r="U9" s="7">
        <f>U5-(U6+U7+U8)</f>
        <v>1188812</v>
      </c>
      <c r="V9" s="13" t="s">
        <v>30</v>
      </c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x14ac:dyDescent="0.4">
      <c r="A10" s="10"/>
      <c r="B10" s="10"/>
      <c r="C10" s="17"/>
      <c r="D10" s="18">
        <f>C8+D8</f>
        <v>4129547</v>
      </c>
      <c r="E10" s="10"/>
      <c r="F10" s="10"/>
      <c r="G10" s="10"/>
      <c r="H10" s="10"/>
      <c r="I10" s="18">
        <f>SUM(E8:I8)</f>
        <v>742514</v>
      </c>
      <c r="J10" s="17"/>
      <c r="K10" s="17"/>
      <c r="L10" s="18"/>
      <c r="M10" s="18"/>
      <c r="N10" s="18">
        <f>SUM(J8:N8)</f>
        <v>838221</v>
      </c>
      <c r="O10" s="18">
        <f>O8</f>
        <v>60000</v>
      </c>
      <c r="P10" s="17"/>
      <c r="Q10" s="18">
        <f>P8+Q8</f>
        <v>1100000</v>
      </c>
      <c r="R10" s="12">
        <f>R8</f>
        <v>0</v>
      </c>
      <c r="S10" s="10"/>
      <c r="T10" s="8" t="s">
        <v>23</v>
      </c>
      <c r="U10" s="23">
        <f>U6/U5</f>
        <v>0.39731597678873737</v>
      </c>
      <c r="V10" s="10" t="s">
        <v>31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x14ac:dyDescent="0.4">
      <c r="A11" s="10"/>
      <c r="B11" s="10"/>
      <c r="C11" s="17"/>
      <c r="D11" s="18"/>
      <c r="E11" s="10"/>
      <c r="F11" s="10"/>
      <c r="G11" s="10"/>
      <c r="H11" s="10"/>
      <c r="I11" s="18"/>
      <c r="J11" s="17"/>
      <c r="K11" s="17"/>
      <c r="L11" s="18"/>
      <c r="M11" s="18"/>
      <c r="N11" s="18"/>
      <c r="O11" s="18"/>
      <c r="P11" s="17"/>
      <c r="Q11" s="18"/>
      <c r="R11" s="12"/>
      <c r="S11" s="10"/>
      <c r="T11" s="21" t="s">
        <v>46</v>
      </c>
      <c r="U11" s="23">
        <f>U7/U5</f>
        <v>0.26637304285433727</v>
      </c>
      <c r="V11" s="10" t="s">
        <v>47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x14ac:dyDescent="0.4">
      <c r="A12" s="10"/>
      <c r="B12" s="8" t="s">
        <v>62</v>
      </c>
      <c r="C12" s="7">
        <f>SUM(C16:C33)</f>
        <v>182939</v>
      </c>
      <c r="D12" s="18"/>
      <c r="E12" s="10"/>
      <c r="F12" s="10"/>
      <c r="G12" s="10"/>
      <c r="H12" s="10"/>
      <c r="I12" s="18"/>
      <c r="J12" s="17"/>
      <c r="K12" s="17"/>
      <c r="L12" s="18"/>
      <c r="M12" s="18"/>
      <c r="N12" s="18"/>
      <c r="O12" s="18"/>
      <c r="P12" s="17"/>
      <c r="Q12" s="18"/>
      <c r="R12" s="12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8" t="s">
        <v>48</v>
      </c>
      <c r="U13" s="19">
        <v>0.45</v>
      </c>
      <c r="V13" s="7">
        <f>U5*U13</f>
        <v>1858296.1500000001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s="9" customFormat="1" ht="19.2" x14ac:dyDescent="0.4">
      <c r="A14" s="11"/>
      <c r="B14" s="26" t="s">
        <v>19</v>
      </c>
      <c r="C14" s="26"/>
      <c r="D14" s="26"/>
      <c r="E14" s="26"/>
      <c r="F14" s="17" t="s">
        <v>37</v>
      </c>
      <c r="G14" s="17"/>
      <c r="H14" s="11"/>
      <c r="I14" s="26" t="s">
        <v>20</v>
      </c>
      <c r="J14" s="26"/>
      <c r="K14" s="26"/>
      <c r="L14" s="26"/>
      <c r="M14" s="11"/>
      <c r="N14" s="11"/>
      <c r="O14" s="11"/>
      <c r="P14" s="11"/>
      <c r="Q14" s="11"/>
      <c r="R14" s="11"/>
      <c r="S14" s="11"/>
      <c r="T14" s="8" t="s">
        <v>33</v>
      </c>
      <c r="U14" s="19">
        <v>0.5</v>
      </c>
      <c r="V14" s="7">
        <f>U5*U14</f>
        <v>2064773.5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x14ac:dyDescent="0.4">
      <c r="A15" s="10"/>
      <c r="B15" s="8" t="s">
        <v>16</v>
      </c>
      <c r="C15" s="8" t="s">
        <v>17</v>
      </c>
      <c r="D15" s="8" t="s">
        <v>18</v>
      </c>
      <c r="E15" s="8" t="s">
        <v>14</v>
      </c>
      <c r="F15" s="17"/>
      <c r="G15" s="17"/>
      <c r="H15" s="10"/>
      <c r="I15" s="8" t="s">
        <v>16</v>
      </c>
      <c r="J15" s="8" t="s">
        <v>17</v>
      </c>
      <c r="K15" s="8" t="s">
        <v>18</v>
      </c>
      <c r="L15" s="8" t="s">
        <v>14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x14ac:dyDescent="0.4">
      <c r="A16" s="10"/>
      <c r="B16" s="2">
        <v>45293</v>
      </c>
      <c r="C16" s="15">
        <v>4500</v>
      </c>
      <c r="D16" s="16" t="s">
        <v>45</v>
      </c>
      <c r="E16" s="16" t="s">
        <v>3</v>
      </c>
      <c r="F16" s="22"/>
      <c r="G16" s="22"/>
      <c r="H16" s="10"/>
      <c r="I16" s="2">
        <v>45292</v>
      </c>
      <c r="J16" s="3">
        <v>22500</v>
      </c>
      <c r="K16" s="1" t="s">
        <v>38</v>
      </c>
      <c r="L16" s="1" t="s">
        <v>71</v>
      </c>
      <c r="M16" s="22"/>
      <c r="N16" s="22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x14ac:dyDescent="0.4">
      <c r="A17" s="10"/>
      <c r="B17" s="2">
        <v>45294</v>
      </c>
      <c r="C17" s="15">
        <v>4500</v>
      </c>
      <c r="D17" s="16" t="s">
        <v>49</v>
      </c>
      <c r="E17" s="16" t="s">
        <v>3</v>
      </c>
      <c r="F17" s="17"/>
      <c r="G17" s="17"/>
      <c r="H17" s="10"/>
      <c r="I17" s="2">
        <v>45292</v>
      </c>
      <c r="J17" s="15">
        <v>1500</v>
      </c>
      <c r="K17" s="16" t="s">
        <v>39</v>
      </c>
      <c r="L17" s="16" t="s">
        <v>71</v>
      </c>
      <c r="M17" s="17"/>
      <c r="N17" s="1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x14ac:dyDescent="0.4">
      <c r="A18" s="10"/>
      <c r="B18" s="2">
        <v>45295</v>
      </c>
      <c r="C18" s="15">
        <v>19920</v>
      </c>
      <c r="D18" s="16" t="s">
        <v>52</v>
      </c>
      <c r="E18" s="16" t="s">
        <v>3</v>
      </c>
      <c r="F18" s="17"/>
      <c r="G18" s="17"/>
      <c r="H18" s="10"/>
      <c r="I18" s="2">
        <v>45293</v>
      </c>
      <c r="J18" s="15">
        <v>10580</v>
      </c>
      <c r="K18" s="16" t="s">
        <v>51</v>
      </c>
      <c r="L18" s="16" t="s">
        <v>71</v>
      </c>
      <c r="M18" s="17"/>
      <c r="N18" s="1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x14ac:dyDescent="0.4">
      <c r="A19" s="10"/>
      <c r="B19" s="2">
        <v>45295</v>
      </c>
      <c r="C19" s="15">
        <v>5400</v>
      </c>
      <c r="D19" s="16" t="s">
        <v>53</v>
      </c>
      <c r="E19" s="16" t="s">
        <v>3</v>
      </c>
      <c r="F19" s="17"/>
      <c r="G19" s="17"/>
      <c r="H19" s="10"/>
      <c r="I19" s="2">
        <v>45294</v>
      </c>
      <c r="J19" s="15">
        <v>4500</v>
      </c>
      <c r="K19" s="16" t="s">
        <v>50</v>
      </c>
      <c r="L19" s="16" t="s">
        <v>70</v>
      </c>
      <c r="M19" s="17"/>
      <c r="N19" s="1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x14ac:dyDescent="0.4">
      <c r="A20" s="10"/>
      <c r="B20" s="2">
        <v>45295</v>
      </c>
      <c r="C20" s="15">
        <v>50000</v>
      </c>
      <c r="D20" s="16" t="s">
        <v>54</v>
      </c>
      <c r="E20" s="16" t="s">
        <v>4</v>
      </c>
      <c r="F20" s="17"/>
      <c r="G20" s="17"/>
      <c r="H20" s="10"/>
      <c r="I20" s="2">
        <v>45295</v>
      </c>
      <c r="J20" s="15">
        <v>6990</v>
      </c>
      <c r="K20" s="16" t="s">
        <v>57</v>
      </c>
      <c r="L20" s="16" t="s">
        <v>71</v>
      </c>
      <c r="M20" s="17"/>
      <c r="N20" s="17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x14ac:dyDescent="0.4">
      <c r="A21" s="10"/>
      <c r="B21" s="2">
        <v>45295</v>
      </c>
      <c r="C21" s="15">
        <v>22000</v>
      </c>
      <c r="D21" s="16" t="s">
        <v>55</v>
      </c>
      <c r="E21" s="16" t="s">
        <v>5</v>
      </c>
      <c r="F21" s="17"/>
      <c r="G21" s="17"/>
      <c r="H21" s="10"/>
      <c r="I21" s="2">
        <v>45296</v>
      </c>
      <c r="J21" s="15">
        <v>30919</v>
      </c>
      <c r="K21" s="16" t="s">
        <v>58</v>
      </c>
      <c r="L21" s="16" t="s">
        <v>71</v>
      </c>
      <c r="M21" s="17"/>
      <c r="N21" s="17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x14ac:dyDescent="0.4">
      <c r="A22" s="10"/>
      <c r="B22" s="2">
        <v>45295</v>
      </c>
      <c r="C22" s="15">
        <v>23219</v>
      </c>
      <c r="D22" s="25" t="s">
        <v>56</v>
      </c>
      <c r="E22" s="16" t="s">
        <v>3</v>
      </c>
      <c r="F22" s="17"/>
      <c r="G22" s="17"/>
      <c r="H22" s="10"/>
      <c r="I22" s="2">
        <v>45296</v>
      </c>
      <c r="J22" s="15">
        <v>82320</v>
      </c>
      <c r="K22" s="16" t="s">
        <v>65</v>
      </c>
      <c r="L22" s="16" t="s">
        <v>40</v>
      </c>
      <c r="M22" s="17"/>
      <c r="N22" s="17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x14ac:dyDescent="0.4">
      <c r="A23" s="10"/>
      <c r="B23" s="2">
        <v>45296</v>
      </c>
      <c r="C23" s="15">
        <v>4500</v>
      </c>
      <c r="D23" s="16" t="s">
        <v>59</v>
      </c>
      <c r="E23" s="16" t="s">
        <v>3</v>
      </c>
      <c r="F23" s="17"/>
      <c r="G23" s="17"/>
      <c r="H23" s="10"/>
      <c r="I23" s="2">
        <v>45298</v>
      </c>
      <c r="J23" s="15">
        <v>4000</v>
      </c>
      <c r="K23" s="16" t="s">
        <v>63</v>
      </c>
      <c r="L23" s="16" t="s">
        <v>71</v>
      </c>
      <c r="M23" s="17"/>
      <c r="N23" s="17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x14ac:dyDescent="0.4">
      <c r="A24" s="10"/>
      <c r="B24" s="2">
        <v>45297</v>
      </c>
      <c r="C24" s="15">
        <v>30900</v>
      </c>
      <c r="D24" s="16" t="s">
        <v>60</v>
      </c>
      <c r="E24" s="16" t="s">
        <v>3</v>
      </c>
      <c r="F24" s="17"/>
      <c r="G24" s="17"/>
      <c r="H24" s="10"/>
      <c r="I24" s="2">
        <v>45298</v>
      </c>
      <c r="J24" s="15">
        <v>10000</v>
      </c>
      <c r="K24" s="16" t="s">
        <v>64</v>
      </c>
      <c r="L24" s="16" t="s">
        <v>71</v>
      </c>
      <c r="M24" s="17"/>
      <c r="N24" s="17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x14ac:dyDescent="0.4">
      <c r="A25" s="10"/>
      <c r="B25" s="2">
        <v>45299</v>
      </c>
      <c r="C25" s="15">
        <v>4500</v>
      </c>
      <c r="D25" s="16" t="s">
        <v>66</v>
      </c>
      <c r="E25" s="16" t="s">
        <v>67</v>
      </c>
      <c r="F25" s="17"/>
      <c r="G25" s="17"/>
      <c r="H25" s="10"/>
      <c r="I25" s="2">
        <v>45298</v>
      </c>
      <c r="J25" s="15">
        <v>39535</v>
      </c>
      <c r="K25" s="16" t="s">
        <v>68</v>
      </c>
      <c r="L25" s="16" t="s">
        <v>70</v>
      </c>
      <c r="M25" s="17"/>
      <c r="N25" s="17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x14ac:dyDescent="0.4">
      <c r="A26" s="10"/>
      <c r="B26" s="2">
        <v>45300</v>
      </c>
      <c r="C26" s="15">
        <v>4500</v>
      </c>
      <c r="D26" s="16" t="s">
        <v>76</v>
      </c>
      <c r="E26" s="16" t="s">
        <v>77</v>
      </c>
      <c r="F26" s="17"/>
      <c r="G26" s="17"/>
      <c r="H26" s="10"/>
      <c r="I26" s="2">
        <v>45299</v>
      </c>
      <c r="J26" s="15">
        <v>3150</v>
      </c>
      <c r="K26" s="16" t="s">
        <v>69</v>
      </c>
      <c r="L26" s="16" t="s">
        <v>70</v>
      </c>
      <c r="M26" s="17"/>
      <c r="N26" s="17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x14ac:dyDescent="0.4">
      <c r="A27" s="10"/>
      <c r="B27" s="2">
        <v>45301</v>
      </c>
      <c r="C27" s="15">
        <v>4500</v>
      </c>
      <c r="D27" s="16" t="s">
        <v>76</v>
      </c>
      <c r="E27" s="16" t="s">
        <v>77</v>
      </c>
      <c r="F27" s="17"/>
      <c r="G27" s="17"/>
      <c r="H27" s="10"/>
      <c r="I27" s="2">
        <v>45300</v>
      </c>
      <c r="J27" s="15">
        <f>7700+13200+20500</f>
        <v>41400</v>
      </c>
      <c r="K27" s="25" t="s">
        <v>75</v>
      </c>
      <c r="L27" s="16" t="s">
        <v>74</v>
      </c>
      <c r="M27" s="17"/>
      <c r="N27" s="17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x14ac:dyDescent="0.4">
      <c r="A28" s="10"/>
      <c r="B28" s="2">
        <v>45302</v>
      </c>
      <c r="C28" s="15">
        <v>4500</v>
      </c>
      <c r="D28" s="16" t="s">
        <v>76</v>
      </c>
      <c r="E28" s="16" t="s">
        <v>77</v>
      </c>
      <c r="F28" s="17"/>
      <c r="G28" s="17"/>
      <c r="H28" s="10"/>
      <c r="I28" s="2">
        <v>45302</v>
      </c>
      <c r="J28" s="15">
        <v>5400</v>
      </c>
      <c r="K28" s="16" t="s">
        <v>78</v>
      </c>
      <c r="L28" s="16" t="s">
        <v>79</v>
      </c>
      <c r="M28" s="17"/>
      <c r="N28" s="17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x14ac:dyDescent="0.4">
      <c r="A29" s="10"/>
      <c r="B29" s="14"/>
      <c r="C29" s="15"/>
      <c r="D29" s="16"/>
      <c r="E29" s="16"/>
      <c r="F29" s="17"/>
      <c r="G29" s="17"/>
      <c r="H29" s="10"/>
      <c r="I29" s="2">
        <v>45302</v>
      </c>
      <c r="J29" s="15">
        <v>11500</v>
      </c>
      <c r="K29" s="16" t="s">
        <v>80</v>
      </c>
      <c r="L29" s="16" t="s">
        <v>79</v>
      </c>
      <c r="M29" s="17"/>
      <c r="N29" s="17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x14ac:dyDescent="0.4">
      <c r="A30" s="10"/>
      <c r="B30" s="14"/>
      <c r="C30" s="15"/>
      <c r="D30" s="16"/>
      <c r="E30" s="16"/>
      <c r="F30" s="17"/>
      <c r="G30" s="17"/>
      <c r="H30" s="10"/>
      <c r="I30" s="2"/>
      <c r="J30" s="15"/>
      <c r="K30" s="16"/>
      <c r="L30" s="16"/>
      <c r="M30" s="17"/>
      <c r="N30" s="17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x14ac:dyDescent="0.4">
      <c r="A31" s="10"/>
      <c r="B31" s="14"/>
      <c r="C31" s="15"/>
      <c r="D31" s="16"/>
      <c r="E31" s="16"/>
      <c r="F31" s="17"/>
      <c r="G31" s="17"/>
      <c r="H31" s="10"/>
      <c r="I31" s="14"/>
      <c r="J31" s="15"/>
      <c r="K31" s="16"/>
      <c r="L31" s="16"/>
      <c r="M31" s="17"/>
      <c r="N31" s="17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x14ac:dyDescent="0.4">
      <c r="A32" s="10"/>
      <c r="B32" s="14"/>
      <c r="C32" s="15"/>
      <c r="D32" s="16"/>
      <c r="E32" s="16"/>
      <c r="F32" s="17"/>
      <c r="G32" s="17"/>
      <c r="H32" s="10"/>
      <c r="I32" s="14"/>
      <c r="J32" s="15"/>
      <c r="K32" s="16"/>
      <c r="L32" s="16"/>
      <c r="M32" s="17"/>
      <c r="N32" s="17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x14ac:dyDescent="0.4">
      <c r="A33" s="10"/>
      <c r="B33" s="14"/>
      <c r="C33" s="15"/>
      <c r="D33" s="16"/>
      <c r="E33" s="16"/>
      <c r="F33" s="17"/>
      <c r="G33" s="17"/>
      <c r="H33" s="10"/>
      <c r="I33" s="14"/>
      <c r="J33" s="15"/>
      <c r="K33" s="16"/>
      <c r="L33" s="16"/>
      <c r="M33" s="17"/>
      <c r="N33" s="17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x14ac:dyDescent="0.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x14ac:dyDescent="0.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x14ac:dyDescent="0.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x14ac:dyDescent="0.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x14ac:dyDescent="0.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x14ac:dyDescent="0.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x14ac:dyDescent="0.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x14ac:dyDescent="0.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x14ac:dyDescent="0.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x14ac:dyDescent="0.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x14ac:dyDescent="0.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x14ac:dyDescent="0.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x14ac:dyDescent="0.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x14ac:dyDescent="0.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x14ac:dyDescent="0.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x14ac:dyDescent="0.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</sheetData>
  <mergeCells count="12">
    <mergeCell ref="B14:E14"/>
    <mergeCell ref="I14:L14"/>
    <mergeCell ref="B2:U2"/>
    <mergeCell ref="B4:R4"/>
    <mergeCell ref="T4:U4"/>
    <mergeCell ref="B5:B6"/>
    <mergeCell ref="C5:D5"/>
    <mergeCell ref="E5:I5"/>
    <mergeCell ref="J5:N5"/>
    <mergeCell ref="O5:O6"/>
    <mergeCell ref="P5:Q5"/>
    <mergeCell ref="R5:R6"/>
  </mergeCells>
  <phoneticPr fontId="2" type="noConversion"/>
  <conditionalFormatting sqref="C12">
    <cfRule type="cellIs" dxfId="11" priority="5" operator="lessThan">
      <formula>0</formula>
    </cfRule>
  </conditionalFormatting>
  <conditionalFormatting sqref="C9:R9">
    <cfRule type="cellIs" dxfId="10" priority="7" operator="lessThan">
      <formula>0</formula>
    </cfRule>
  </conditionalFormatting>
  <conditionalFormatting sqref="U10">
    <cfRule type="cellIs" dxfId="9" priority="9" operator="lessThan">
      <formula>$U$14</formula>
    </cfRule>
    <cfRule type="cellIs" dxfId="8" priority="10" operator="greaterThan">
      <formula>$U$14</formula>
    </cfRule>
  </conditionalFormatting>
  <conditionalFormatting sqref="U11">
    <cfRule type="cellIs" dxfId="7" priority="1" operator="lessThan">
      <formula>$U$13</formula>
    </cfRule>
    <cfRule type="cellIs" dxfId="6" priority="2" operator="greaterThan">
      <formula>$U$13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5D24-AA82-4C1F-B69C-8DBF4B15B831}">
  <dimension ref="A1:AF49"/>
  <sheetViews>
    <sheetView view="pageBreakPreview" zoomScale="92" zoomScaleNormal="85" zoomScaleSheetLayoutView="92" workbookViewId="0">
      <pane xSplit="2" ySplit="15" topLeftCell="C16" activePane="bottomRight" state="frozen"/>
      <selection pane="topRight" activeCell="C1" sqref="C1"/>
      <selection pane="bottomLeft" activeCell="A10" sqref="A10"/>
      <selection pane="bottomRight" activeCell="E9" sqref="E9"/>
    </sheetView>
  </sheetViews>
  <sheetFormatPr defaultRowHeight="17.399999999999999" x14ac:dyDescent="0.4"/>
  <cols>
    <col min="2" max="4" width="10.8984375" customWidth="1"/>
    <col min="5" max="5" width="12.59765625" bestFit="1" customWidth="1"/>
    <col min="6" max="10" width="10.8984375" customWidth="1"/>
    <col min="11" max="11" width="13.19921875" bestFit="1" customWidth="1"/>
    <col min="12" max="13" width="10.8984375" customWidth="1"/>
    <col min="14" max="14" width="27.5" bestFit="1" customWidth="1"/>
    <col min="15" max="15" width="29.296875" bestFit="1" customWidth="1"/>
    <col min="16" max="17" width="10.8984375" customWidth="1"/>
    <col min="18" max="18" width="9.3984375" bestFit="1" customWidth="1"/>
    <col min="21" max="21" width="10.8984375" bestFit="1" customWidth="1"/>
    <col min="22" max="22" width="13.296875" bestFit="1" customWidth="1"/>
  </cols>
  <sheetData>
    <row r="1" spans="1:32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ht="34.5" customHeight="1" thickBot="1" x14ac:dyDescent="0.45">
      <c r="A2" s="10"/>
      <c r="B2" s="27" t="s">
        <v>73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9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s="9" customFormat="1" ht="19.2" x14ac:dyDescent="0.4">
      <c r="A4" s="11"/>
      <c r="B4" s="26" t="s">
        <v>34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11"/>
      <c r="T4" s="30" t="s">
        <v>35</v>
      </c>
      <c r="U4" s="30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4">
      <c r="A5" s="10"/>
      <c r="B5" s="31" t="s">
        <v>14</v>
      </c>
      <c r="C5" s="33" t="s">
        <v>11</v>
      </c>
      <c r="D5" s="34"/>
      <c r="E5" s="33" t="s">
        <v>2</v>
      </c>
      <c r="F5" s="35"/>
      <c r="G5" s="35"/>
      <c r="H5" s="35"/>
      <c r="I5" s="34"/>
      <c r="J5" s="33" t="s">
        <v>6</v>
      </c>
      <c r="K5" s="35"/>
      <c r="L5" s="35"/>
      <c r="M5" s="35"/>
      <c r="N5" s="34"/>
      <c r="O5" s="31" t="s">
        <v>7</v>
      </c>
      <c r="P5" s="33" t="s">
        <v>8</v>
      </c>
      <c r="Q5" s="34"/>
      <c r="R5" s="31" t="s">
        <v>27</v>
      </c>
      <c r="S5" s="10"/>
      <c r="T5" s="8" t="s">
        <v>24</v>
      </c>
      <c r="U5" s="7">
        <f>D10</f>
        <v>4000000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x14ac:dyDescent="0.4">
      <c r="A6" s="10"/>
      <c r="B6" s="32"/>
      <c r="C6" s="8" t="s">
        <v>12</v>
      </c>
      <c r="D6" s="8" t="s">
        <v>13</v>
      </c>
      <c r="E6" s="8" t="s">
        <v>61</v>
      </c>
      <c r="F6" s="8" t="s">
        <v>40</v>
      </c>
      <c r="G6" s="8" t="s">
        <v>70</v>
      </c>
      <c r="H6" s="8" t="s">
        <v>4</v>
      </c>
      <c r="I6" s="8" t="s">
        <v>72</v>
      </c>
      <c r="J6" s="8" t="s">
        <v>36</v>
      </c>
      <c r="K6" s="8" t="s">
        <v>15</v>
      </c>
      <c r="L6" s="20" t="s">
        <v>41</v>
      </c>
      <c r="M6" s="20" t="s">
        <v>42</v>
      </c>
      <c r="N6" s="20" t="s">
        <v>43</v>
      </c>
      <c r="O6" s="32"/>
      <c r="P6" s="8" t="s">
        <v>9</v>
      </c>
      <c r="Q6" s="8" t="s">
        <v>10</v>
      </c>
      <c r="R6" s="32"/>
      <c r="S6" s="10"/>
      <c r="T6" s="8" t="s">
        <v>28</v>
      </c>
      <c r="U6" s="7">
        <f>I10+N10+O10</f>
        <v>1359242</v>
      </c>
      <c r="V6" s="10" t="s">
        <v>32</v>
      </c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x14ac:dyDescent="0.4">
      <c r="A7" s="10"/>
      <c r="B7" s="4" t="s">
        <v>0</v>
      </c>
      <c r="C7" s="6">
        <v>4000000</v>
      </c>
      <c r="D7" s="6">
        <v>0</v>
      </c>
      <c r="E7" s="6">
        <v>300000</v>
      </c>
      <c r="F7" s="6">
        <v>120000</v>
      </c>
      <c r="G7" s="6">
        <v>400000</v>
      </c>
      <c r="H7" s="24" t="s">
        <v>22</v>
      </c>
      <c r="I7" s="6">
        <v>100000</v>
      </c>
      <c r="J7" s="6">
        <v>300000</v>
      </c>
      <c r="K7" s="6">
        <f>34100+24500</f>
        <v>58600</v>
      </c>
      <c r="L7" s="6">
        <v>135931</v>
      </c>
      <c r="M7" s="6">
        <v>300000</v>
      </c>
      <c r="N7" s="6">
        <f>35000+8690</f>
        <v>43690</v>
      </c>
      <c r="O7" s="6">
        <v>100000</v>
      </c>
      <c r="P7" s="6">
        <v>1800000</v>
      </c>
      <c r="Q7" s="6">
        <v>100000</v>
      </c>
      <c r="R7" s="6"/>
      <c r="S7" s="10"/>
      <c r="T7" s="8" t="s">
        <v>25</v>
      </c>
      <c r="U7" s="7">
        <f>Q10</f>
        <v>1900000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x14ac:dyDescent="0.4">
      <c r="A8" s="10"/>
      <c r="B8" s="5" t="s">
        <v>1</v>
      </c>
      <c r="C8" s="7">
        <v>4000000</v>
      </c>
      <c r="D8" s="7">
        <v>0</v>
      </c>
      <c r="E8" s="7">
        <v>300000</v>
      </c>
      <c r="F8" s="7">
        <f>+SUMIF($L$16:$L$33,F$6,$J$16:$J$33)</f>
        <v>0</v>
      </c>
      <c r="G8" s="7">
        <f>SUMIF($L$16:$L$33,G$6,$J$16:$J$33)</f>
        <v>0</v>
      </c>
      <c r="H8" s="7">
        <f>SUMIF($L$16:$L$33,H$6,$J$16:$J$33)</f>
        <v>0</v>
      </c>
      <c r="I8" s="7">
        <f>SUMIF($L$16:$L$33,I$6,$J$16:$J$33)</f>
        <v>0</v>
      </c>
      <c r="J8" s="6">
        <v>300000</v>
      </c>
      <c r="K8" s="6">
        <f>34100+24500</f>
        <v>58600</v>
      </c>
      <c r="L8" s="6">
        <v>135931</v>
      </c>
      <c r="M8" s="6">
        <v>300000</v>
      </c>
      <c r="N8" s="6">
        <f>35000+8690</f>
        <v>43690</v>
      </c>
      <c r="O8" s="7">
        <v>100000</v>
      </c>
      <c r="P8" s="7">
        <v>1800000</v>
      </c>
      <c r="Q8" s="7">
        <v>100000</v>
      </c>
      <c r="R8" s="7">
        <f>SUMIF($E$16:$E$33,R$5,$C$16:$C$33)+SUMIF($L$16:$L$33,R$5,$J$16:$J$33)</f>
        <v>0</v>
      </c>
      <c r="S8" s="10"/>
      <c r="T8" s="8" t="s">
        <v>29</v>
      </c>
      <c r="U8" s="7">
        <v>200000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x14ac:dyDescent="0.4">
      <c r="A9" s="10"/>
      <c r="B9" s="5" t="s">
        <v>21</v>
      </c>
      <c r="C9" s="7">
        <f t="shared" ref="C9:R9" si="0">C7-C8</f>
        <v>0</v>
      </c>
      <c r="D9" s="7">
        <f t="shared" si="0"/>
        <v>0</v>
      </c>
      <c r="E9" s="7">
        <f t="shared" si="0"/>
        <v>0</v>
      </c>
      <c r="F9" s="7"/>
      <c r="G9" s="7"/>
      <c r="H9" s="7">
        <f>H8</f>
        <v>0</v>
      </c>
      <c r="I9" s="7">
        <f t="shared" si="0"/>
        <v>100000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7">
        <f t="shared" si="0"/>
        <v>0</v>
      </c>
      <c r="P9" s="7">
        <f t="shared" si="0"/>
        <v>0</v>
      </c>
      <c r="Q9" s="7">
        <f t="shared" si="0"/>
        <v>0</v>
      </c>
      <c r="R9" s="7">
        <f t="shared" si="0"/>
        <v>0</v>
      </c>
      <c r="S9" s="10"/>
      <c r="T9" s="8" t="s">
        <v>26</v>
      </c>
      <c r="U9" s="7">
        <f>U5-(U6+U7+U8)</f>
        <v>540758</v>
      </c>
      <c r="V9" s="13" t="s">
        <v>30</v>
      </c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x14ac:dyDescent="0.4">
      <c r="A10" s="10"/>
      <c r="B10" s="10"/>
      <c r="C10" s="17"/>
      <c r="D10" s="18">
        <f>C8+D8</f>
        <v>4000000</v>
      </c>
      <c r="E10" s="10"/>
      <c r="F10" s="10"/>
      <c r="G10" s="10"/>
      <c r="H10" s="10"/>
      <c r="I10" s="18">
        <f>SUM(E8:I8)</f>
        <v>300000</v>
      </c>
      <c r="J10" s="17"/>
      <c r="K10" s="17"/>
      <c r="L10" s="18"/>
      <c r="M10" s="18"/>
      <c r="N10" s="18">
        <f>SUM(L6:N8)</f>
        <v>959242</v>
      </c>
      <c r="O10" s="18">
        <f>O8</f>
        <v>100000</v>
      </c>
      <c r="P10" s="17"/>
      <c r="Q10" s="18">
        <f>P8+Q8</f>
        <v>1900000</v>
      </c>
      <c r="R10" s="12">
        <f>R8</f>
        <v>0</v>
      </c>
      <c r="S10" s="10"/>
      <c r="T10" s="8" t="s">
        <v>23</v>
      </c>
      <c r="U10" s="23">
        <f>U6/U5</f>
        <v>0.33981050000000002</v>
      </c>
      <c r="V10" s="10" t="s">
        <v>31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x14ac:dyDescent="0.4">
      <c r="A11" s="10"/>
      <c r="B11" s="10"/>
      <c r="C11" s="17"/>
      <c r="D11" s="18"/>
      <c r="E11" s="10"/>
      <c r="F11" s="10"/>
      <c r="G11" s="10"/>
      <c r="H11" s="10"/>
      <c r="I11" s="18"/>
      <c r="J11" s="17"/>
      <c r="K11" s="17"/>
      <c r="L11" s="18"/>
      <c r="M11" s="18"/>
      <c r="N11" s="18"/>
      <c r="O11" s="18"/>
      <c r="P11" s="17"/>
      <c r="Q11" s="18"/>
      <c r="R11" s="12"/>
      <c r="S11" s="10"/>
      <c r="T11" s="21" t="s">
        <v>46</v>
      </c>
      <c r="U11" s="23">
        <f>U7/U5</f>
        <v>0.47499999999999998</v>
      </c>
      <c r="V11" s="10" t="s">
        <v>47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x14ac:dyDescent="0.4">
      <c r="A12" s="10"/>
      <c r="B12" s="8" t="s">
        <v>62</v>
      </c>
      <c r="C12" s="7">
        <f>SUM(C16:C33)</f>
        <v>0</v>
      </c>
      <c r="D12" s="18"/>
      <c r="E12" s="10"/>
      <c r="F12" s="10"/>
      <c r="G12" s="10"/>
      <c r="H12" s="10"/>
      <c r="I12" s="18"/>
      <c r="J12" s="17"/>
      <c r="K12" s="17"/>
      <c r="L12" s="18"/>
      <c r="M12" s="18"/>
      <c r="N12" s="18"/>
      <c r="O12" s="18"/>
      <c r="P12" s="17"/>
      <c r="Q12" s="18"/>
      <c r="R12" s="12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8" t="s">
        <v>48</v>
      </c>
      <c r="U13" s="19">
        <v>0.45</v>
      </c>
      <c r="V13" s="7">
        <f>U5*U13</f>
        <v>1800000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s="9" customFormat="1" ht="19.2" x14ac:dyDescent="0.4">
      <c r="A14" s="11"/>
      <c r="B14" s="26" t="s">
        <v>19</v>
      </c>
      <c r="C14" s="26"/>
      <c r="D14" s="26"/>
      <c r="E14" s="26"/>
      <c r="F14" s="17" t="s">
        <v>37</v>
      </c>
      <c r="G14" s="17"/>
      <c r="H14" s="11"/>
      <c r="I14" s="26" t="s">
        <v>20</v>
      </c>
      <c r="J14" s="26"/>
      <c r="K14" s="26"/>
      <c r="L14" s="26"/>
      <c r="M14" s="11"/>
      <c r="N14" s="11"/>
      <c r="O14" s="11"/>
      <c r="P14" s="11"/>
      <c r="Q14" s="11"/>
      <c r="R14" s="11"/>
      <c r="S14" s="11"/>
      <c r="T14" s="8" t="s">
        <v>33</v>
      </c>
      <c r="U14" s="19">
        <v>0.5</v>
      </c>
      <c r="V14" s="7">
        <f>U5*U14</f>
        <v>2000000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x14ac:dyDescent="0.4">
      <c r="A15" s="10"/>
      <c r="B15" s="8" t="s">
        <v>16</v>
      </c>
      <c r="C15" s="8" t="s">
        <v>17</v>
      </c>
      <c r="D15" s="8" t="s">
        <v>18</v>
      </c>
      <c r="E15" s="8" t="s">
        <v>14</v>
      </c>
      <c r="F15" s="17"/>
      <c r="G15" s="17"/>
      <c r="H15" s="10"/>
      <c r="I15" s="8" t="s">
        <v>16</v>
      </c>
      <c r="J15" s="8" t="s">
        <v>17</v>
      </c>
      <c r="K15" s="8" t="s">
        <v>18</v>
      </c>
      <c r="L15" s="8" t="s">
        <v>14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x14ac:dyDescent="0.4">
      <c r="A16" s="10"/>
      <c r="B16" s="2"/>
      <c r="C16" s="15"/>
      <c r="D16" s="16"/>
      <c r="E16" s="16"/>
      <c r="F16" s="22"/>
      <c r="G16" s="22"/>
      <c r="H16" s="10"/>
      <c r="I16" s="2"/>
      <c r="J16" s="3"/>
      <c r="K16" s="1"/>
      <c r="L16" s="1"/>
      <c r="M16" s="22"/>
      <c r="N16" s="22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x14ac:dyDescent="0.4">
      <c r="A17" s="10"/>
      <c r="B17" s="2"/>
      <c r="C17" s="15"/>
      <c r="D17" s="16"/>
      <c r="E17" s="16"/>
      <c r="F17" s="17"/>
      <c r="G17" s="17"/>
      <c r="H17" s="10"/>
      <c r="I17" s="2"/>
      <c r="J17" s="15"/>
      <c r="K17" s="16"/>
      <c r="L17" s="16"/>
      <c r="M17" s="17"/>
      <c r="N17" s="1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x14ac:dyDescent="0.4">
      <c r="A18" s="10"/>
      <c r="B18" s="2"/>
      <c r="C18" s="15"/>
      <c r="D18" s="16"/>
      <c r="E18" s="16"/>
      <c r="F18" s="17"/>
      <c r="G18" s="17"/>
      <c r="H18" s="10"/>
      <c r="I18" s="2"/>
      <c r="J18" s="15"/>
      <c r="K18" s="16"/>
      <c r="L18" s="16"/>
      <c r="M18" s="17"/>
      <c r="N18" s="1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x14ac:dyDescent="0.4">
      <c r="A19" s="10"/>
      <c r="B19" s="2"/>
      <c r="C19" s="15"/>
      <c r="D19" s="16"/>
      <c r="E19" s="16"/>
      <c r="F19" s="17"/>
      <c r="G19" s="17"/>
      <c r="H19" s="10"/>
      <c r="I19" s="2"/>
      <c r="J19" s="15"/>
      <c r="K19" s="16"/>
      <c r="L19" s="16"/>
      <c r="M19" s="17"/>
      <c r="N19" s="1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x14ac:dyDescent="0.4">
      <c r="A20" s="10"/>
      <c r="B20" s="2"/>
      <c r="C20" s="15"/>
      <c r="D20" s="16"/>
      <c r="E20" s="16"/>
      <c r="F20" s="17"/>
      <c r="G20" s="17"/>
      <c r="H20" s="10"/>
      <c r="I20" s="2"/>
      <c r="J20" s="15"/>
      <c r="K20" s="16"/>
      <c r="L20" s="16"/>
      <c r="M20" s="17"/>
      <c r="N20" s="17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x14ac:dyDescent="0.4">
      <c r="A21" s="10"/>
      <c r="B21" s="2"/>
      <c r="C21" s="15"/>
      <c r="D21" s="16"/>
      <c r="E21" s="16"/>
      <c r="F21" s="17"/>
      <c r="G21" s="17"/>
      <c r="H21" s="10"/>
      <c r="I21" s="2"/>
      <c r="J21" s="15"/>
      <c r="K21" s="16"/>
      <c r="L21" s="16"/>
      <c r="M21" s="17"/>
      <c r="N21" s="17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x14ac:dyDescent="0.4">
      <c r="A22" s="10"/>
      <c r="B22" s="2"/>
      <c r="C22" s="15"/>
      <c r="D22" s="16"/>
      <c r="E22" s="16"/>
      <c r="F22" s="17"/>
      <c r="G22" s="17"/>
      <c r="H22" s="10"/>
      <c r="I22" s="2"/>
      <c r="J22" s="15"/>
      <c r="K22" s="16"/>
      <c r="L22" s="16"/>
      <c r="M22" s="17"/>
      <c r="N22" s="17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x14ac:dyDescent="0.4">
      <c r="A23" s="10"/>
      <c r="B23" s="2"/>
      <c r="C23" s="15"/>
      <c r="D23" s="16"/>
      <c r="E23" s="16"/>
      <c r="F23" s="17"/>
      <c r="G23" s="17"/>
      <c r="H23" s="10"/>
      <c r="I23" s="2"/>
      <c r="J23" s="15"/>
      <c r="K23" s="16"/>
      <c r="L23" s="16"/>
      <c r="M23" s="17"/>
      <c r="N23" s="17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x14ac:dyDescent="0.4">
      <c r="A24" s="10"/>
      <c r="B24" s="2"/>
      <c r="C24" s="15"/>
      <c r="D24" s="16"/>
      <c r="E24" s="16"/>
      <c r="F24" s="17"/>
      <c r="G24" s="17"/>
      <c r="H24" s="10"/>
      <c r="I24" s="2"/>
      <c r="J24" s="15"/>
      <c r="K24" s="16"/>
      <c r="L24" s="16"/>
      <c r="M24" s="17"/>
      <c r="N24" s="17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x14ac:dyDescent="0.4">
      <c r="A25" s="10"/>
      <c r="B25" s="2"/>
      <c r="C25" s="15"/>
      <c r="D25" s="16"/>
      <c r="E25" s="16"/>
      <c r="F25" s="17"/>
      <c r="G25" s="17"/>
      <c r="H25" s="10"/>
      <c r="I25" s="2"/>
      <c r="J25" s="15"/>
      <c r="K25" s="16"/>
      <c r="L25" s="16"/>
      <c r="M25" s="17"/>
      <c r="N25" s="17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x14ac:dyDescent="0.4">
      <c r="A26" s="10"/>
      <c r="B26" s="14"/>
      <c r="C26" s="15"/>
      <c r="D26" s="16"/>
      <c r="E26" s="16"/>
      <c r="F26" s="17"/>
      <c r="G26" s="17"/>
      <c r="H26" s="10"/>
      <c r="I26" s="2"/>
      <c r="J26" s="15"/>
      <c r="K26" s="16"/>
      <c r="L26" s="16"/>
      <c r="M26" s="17"/>
      <c r="N26" s="17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x14ac:dyDescent="0.4">
      <c r="A27" s="10"/>
      <c r="B27" s="14"/>
      <c r="C27" s="15"/>
      <c r="D27" s="16"/>
      <c r="E27" s="16"/>
      <c r="F27" s="17"/>
      <c r="G27" s="17"/>
      <c r="H27" s="10"/>
      <c r="I27" s="14"/>
      <c r="J27" s="15"/>
      <c r="K27" s="16"/>
      <c r="L27" s="16"/>
      <c r="M27" s="17"/>
      <c r="N27" s="17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x14ac:dyDescent="0.4">
      <c r="A28" s="10"/>
      <c r="B28" s="14"/>
      <c r="C28" s="15"/>
      <c r="D28" s="16"/>
      <c r="E28" s="16"/>
      <c r="F28" s="17"/>
      <c r="G28" s="17"/>
      <c r="H28" s="10"/>
      <c r="I28" s="14"/>
      <c r="J28" s="15"/>
      <c r="K28" s="16"/>
      <c r="L28" s="16"/>
      <c r="M28" s="17"/>
      <c r="N28" s="17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x14ac:dyDescent="0.4">
      <c r="A29" s="10"/>
      <c r="B29" s="14"/>
      <c r="C29" s="15"/>
      <c r="D29" s="16"/>
      <c r="E29" s="16"/>
      <c r="F29" s="17"/>
      <c r="G29" s="17"/>
      <c r="H29" s="10"/>
      <c r="I29" s="14"/>
      <c r="J29" s="15"/>
      <c r="K29" s="16"/>
      <c r="L29" s="16"/>
      <c r="M29" s="17"/>
      <c r="N29" s="17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x14ac:dyDescent="0.4">
      <c r="A30" s="10"/>
      <c r="B30" s="14"/>
      <c r="C30" s="15"/>
      <c r="D30" s="16"/>
      <c r="E30" s="16"/>
      <c r="F30" s="17"/>
      <c r="G30" s="17"/>
      <c r="H30" s="10"/>
      <c r="I30" s="14"/>
      <c r="J30" s="15"/>
      <c r="K30" s="16"/>
      <c r="L30" s="16"/>
      <c r="M30" s="17"/>
      <c r="N30" s="17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x14ac:dyDescent="0.4">
      <c r="A31" s="10"/>
      <c r="B31" s="14"/>
      <c r="C31" s="15"/>
      <c r="D31" s="16"/>
      <c r="E31" s="16"/>
      <c r="F31" s="17"/>
      <c r="G31" s="17"/>
      <c r="H31" s="10"/>
      <c r="I31" s="14"/>
      <c r="J31" s="15"/>
      <c r="K31" s="16"/>
      <c r="L31" s="16"/>
      <c r="M31" s="17"/>
      <c r="N31" s="17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x14ac:dyDescent="0.4">
      <c r="A32" s="10"/>
      <c r="B32" s="14"/>
      <c r="C32" s="15"/>
      <c r="D32" s="16"/>
      <c r="E32" s="16"/>
      <c r="F32" s="17"/>
      <c r="G32" s="17"/>
      <c r="H32" s="10"/>
      <c r="I32" s="14"/>
      <c r="J32" s="15"/>
      <c r="K32" s="16"/>
      <c r="L32" s="16"/>
      <c r="M32" s="17"/>
      <c r="N32" s="17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x14ac:dyDescent="0.4">
      <c r="A33" s="10"/>
      <c r="B33" s="14"/>
      <c r="C33" s="15"/>
      <c r="D33" s="16"/>
      <c r="E33" s="16"/>
      <c r="F33" s="17"/>
      <c r="G33" s="17"/>
      <c r="H33" s="10"/>
      <c r="I33" s="14"/>
      <c r="J33" s="15"/>
      <c r="K33" s="16"/>
      <c r="L33" s="16"/>
      <c r="M33" s="17"/>
      <c r="N33" s="17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x14ac:dyDescent="0.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x14ac:dyDescent="0.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x14ac:dyDescent="0.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x14ac:dyDescent="0.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x14ac:dyDescent="0.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x14ac:dyDescent="0.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x14ac:dyDescent="0.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x14ac:dyDescent="0.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x14ac:dyDescent="0.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x14ac:dyDescent="0.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x14ac:dyDescent="0.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x14ac:dyDescent="0.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x14ac:dyDescent="0.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x14ac:dyDescent="0.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x14ac:dyDescent="0.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x14ac:dyDescent="0.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</sheetData>
  <mergeCells count="12">
    <mergeCell ref="B14:E14"/>
    <mergeCell ref="I14:L14"/>
    <mergeCell ref="B2:U2"/>
    <mergeCell ref="B4:R4"/>
    <mergeCell ref="T4:U4"/>
    <mergeCell ref="B5:B6"/>
    <mergeCell ref="C5:D5"/>
    <mergeCell ref="E5:I5"/>
    <mergeCell ref="J5:N5"/>
    <mergeCell ref="O5:O6"/>
    <mergeCell ref="P5:Q5"/>
    <mergeCell ref="R5:R6"/>
  </mergeCells>
  <phoneticPr fontId="2" type="noConversion"/>
  <conditionalFormatting sqref="C12">
    <cfRule type="cellIs" dxfId="5" priority="3" operator="lessThan">
      <formula>0</formula>
    </cfRule>
  </conditionalFormatting>
  <conditionalFormatting sqref="C9:R9">
    <cfRule type="cellIs" dxfId="4" priority="4" operator="lessThan">
      <formula>0</formula>
    </cfRule>
  </conditionalFormatting>
  <conditionalFormatting sqref="U10">
    <cfRule type="cellIs" dxfId="3" priority="5" operator="lessThan">
      <formula>$U$14</formula>
    </cfRule>
    <cfRule type="cellIs" dxfId="2" priority="6" operator="greaterThan">
      <formula>$U$14</formula>
    </cfRule>
  </conditionalFormatting>
  <conditionalFormatting sqref="U11">
    <cfRule type="cellIs" dxfId="1" priority="1" operator="lessThan">
      <formula>$U$13</formula>
    </cfRule>
    <cfRule type="cellIs" dxfId="0" priority="2" operator="greaterThan">
      <formula>$U$13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1월</vt:lpstr>
      <vt:lpstr>2월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</dc:creator>
  <cp:lastModifiedBy>minyeong</cp:lastModifiedBy>
  <dcterms:created xsi:type="dcterms:W3CDTF">2020-09-01T07:58:34Z</dcterms:created>
  <dcterms:modified xsi:type="dcterms:W3CDTF">2024-01-11T10:49:55Z</dcterms:modified>
</cp:coreProperties>
</file>