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EE0E0A8B-0D6B-4623-A6E0-EA878DC1783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4월" sheetId="1" r:id="rId1"/>
    <sheet name="4월(자산)" sheetId="2" r:id="rId2"/>
    <sheet name="3월" sheetId="3" r:id="rId3"/>
    <sheet name="3월(자산)" sheetId="4" r:id="rId4"/>
    <sheet name="2월" sheetId="5" r:id="rId5"/>
    <sheet name="2월(자산)" sheetId="6" r:id="rId6"/>
    <sheet name="1월" sheetId="7" r:id="rId7"/>
    <sheet name="1월(자산)" sheetId="8" r:id="rId8"/>
  </sheets>
  <definedNames>
    <definedName name="_xlnm._FilterDatabase" localSheetId="6" hidden="1">'1월'!$B$15:$E$15</definedName>
    <definedName name="_xlnm._FilterDatabase" localSheetId="7" hidden="1">'1월(자산)'!#REF!</definedName>
    <definedName name="_xlnm._FilterDatabase" localSheetId="4" hidden="1">'2월'!$L$15:$O$15</definedName>
    <definedName name="_xlnm._FilterDatabase" localSheetId="5" hidden="1">'2월(자산)'!#REF!</definedName>
    <definedName name="_xlnm._FilterDatabase" localSheetId="2" hidden="1">'3월'!$L$15:$O$15</definedName>
    <definedName name="_xlnm._FilterDatabase" localSheetId="3" hidden="1">'3월(자산)'!#REF!</definedName>
    <definedName name="_xlnm._FilterDatabase" localSheetId="0" hidden="1">'4월'!$L$15:$O$15</definedName>
  </definedNames>
  <calcPr calcId="191029"/>
</workbook>
</file>

<file path=xl/calcChain.xml><?xml version="1.0" encoding="utf-8"?>
<calcChain xmlns="http://schemas.openxmlformats.org/spreadsheetml/2006/main">
  <c r="L10" i="3" l="1"/>
  <c r="M12" i="3"/>
  <c r="M30" i="3"/>
  <c r="M29" i="3"/>
  <c r="M25" i="3"/>
  <c r="Q10" i="3"/>
  <c r="O8" i="3"/>
  <c r="O7" i="3"/>
  <c r="G8" i="3"/>
  <c r="G9" i="3" s="1"/>
  <c r="C12" i="5"/>
  <c r="I8" i="5"/>
  <c r="L9" i="8"/>
  <c r="K9" i="8"/>
  <c r="I9" i="8"/>
  <c r="G9" i="8"/>
  <c r="E9" i="8"/>
  <c r="C9" i="8"/>
  <c r="O6" i="8" s="1"/>
  <c r="O5" i="8"/>
  <c r="O9" i="8" s="1"/>
  <c r="K71" i="7"/>
  <c r="K57" i="7"/>
  <c r="K46" i="7"/>
  <c r="K39" i="7"/>
  <c r="C12" i="7"/>
  <c r="S10" i="7"/>
  <c r="R10" i="7"/>
  <c r="P10" i="7"/>
  <c r="O10" i="7"/>
  <c r="R9" i="7"/>
  <c r="Q9" i="7"/>
  <c r="P9" i="7"/>
  <c r="N9" i="7"/>
  <c r="M9" i="7"/>
  <c r="K9" i="7"/>
  <c r="E9" i="7"/>
  <c r="D9" i="7"/>
  <c r="V8" i="7"/>
  <c r="O8" i="7"/>
  <c r="L8" i="7"/>
  <c r="J8" i="7"/>
  <c r="J9" i="7" s="1"/>
  <c r="I8" i="7"/>
  <c r="I9" i="7" s="1"/>
  <c r="H8" i="7"/>
  <c r="H9" i="7" s="1"/>
  <c r="G8" i="7"/>
  <c r="G9" i="7" s="1"/>
  <c r="F8" i="7"/>
  <c r="F9" i="7" s="1"/>
  <c r="C8" i="7"/>
  <c r="C9" i="7" s="1"/>
  <c r="V7" i="7"/>
  <c r="O7" i="7"/>
  <c r="O9" i="7" s="1"/>
  <c r="L7" i="7"/>
  <c r="L9" i="7" s="1"/>
  <c r="L9" i="6"/>
  <c r="K9" i="6"/>
  <c r="I9" i="6"/>
  <c r="G9" i="6"/>
  <c r="E9" i="6"/>
  <c r="O6" i="6" s="1"/>
  <c r="C9" i="6"/>
  <c r="I7" i="6"/>
  <c r="G7" i="6"/>
  <c r="G7" i="4" s="1"/>
  <c r="G7" i="2" s="1"/>
  <c r="E7" i="6"/>
  <c r="R5" i="6"/>
  <c r="O5" i="6"/>
  <c r="M51" i="5"/>
  <c r="G8" i="5" s="1"/>
  <c r="G9" i="5" s="1"/>
  <c r="M47" i="5"/>
  <c r="M45" i="5"/>
  <c r="M26" i="5"/>
  <c r="H8" i="5" s="1"/>
  <c r="H9" i="5" s="1"/>
  <c r="C22" i="5"/>
  <c r="M21" i="5"/>
  <c r="T10" i="5"/>
  <c r="X7" i="5" s="1"/>
  <c r="R10" i="5"/>
  <c r="T9" i="5"/>
  <c r="S9" i="5"/>
  <c r="R9" i="5"/>
  <c r="P9" i="5"/>
  <c r="O9" i="5"/>
  <c r="M9" i="5"/>
  <c r="D9" i="5"/>
  <c r="U8" i="5"/>
  <c r="U9" i="5" s="1"/>
  <c r="Q8" i="5"/>
  <c r="N8" i="5"/>
  <c r="Q10" i="5" s="1"/>
  <c r="L8" i="5"/>
  <c r="L9" i="5" s="1"/>
  <c r="K8" i="5"/>
  <c r="K9" i="5" s="1"/>
  <c r="J8" i="5"/>
  <c r="F8" i="5"/>
  <c r="C8" i="5"/>
  <c r="C9" i="5" s="1"/>
  <c r="Q7" i="5"/>
  <c r="Q9" i="5" s="1"/>
  <c r="N7" i="5"/>
  <c r="N9" i="5" s="1"/>
  <c r="C7" i="5"/>
  <c r="L9" i="4"/>
  <c r="K9" i="4"/>
  <c r="I9" i="4"/>
  <c r="E9" i="4"/>
  <c r="O6" i="4" s="1"/>
  <c r="I7" i="4"/>
  <c r="I7" i="2" s="1"/>
  <c r="R5" i="4"/>
  <c r="O5" i="4"/>
  <c r="C12" i="3"/>
  <c r="T10" i="3"/>
  <c r="X7" i="3" s="1"/>
  <c r="R10" i="3"/>
  <c r="D10" i="3"/>
  <c r="X5" i="3" s="1"/>
  <c r="T9" i="3"/>
  <c r="S9" i="3"/>
  <c r="R9" i="3"/>
  <c r="P9" i="3"/>
  <c r="O9" i="3"/>
  <c r="M9" i="3"/>
  <c r="E9" i="3"/>
  <c r="D9" i="3"/>
  <c r="C9" i="3"/>
  <c r="U8" i="3"/>
  <c r="U9" i="3" s="1"/>
  <c r="Q8" i="3"/>
  <c r="N8" i="3"/>
  <c r="L8" i="3"/>
  <c r="L9" i="3" s="1"/>
  <c r="K8" i="3"/>
  <c r="K9" i="3" s="1"/>
  <c r="J8" i="3"/>
  <c r="J9" i="3" s="1"/>
  <c r="I8" i="3"/>
  <c r="H8" i="3"/>
  <c r="H9" i="3" s="1"/>
  <c r="F8" i="3"/>
  <c r="F9" i="3" s="1"/>
  <c r="Q7" i="3"/>
  <c r="Q9" i="3" s="1"/>
  <c r="N7" i="3"/>
  <c r="N9" i="3" s="1"/>
  <c r="L9" i="2"/>
  <c r="K9" i="2"/>
  <c r="I9" i="2"/>
  <c r="E9" i="2"/>
  <c r="O6" i="2" s="1"/>
  <c r="C12" i="1"/>
  <c r="T10" i="1"/>
  <c r="R10" i="1"/>
  <c r="D10" i="1"/>
  <c r="U9" i="1"/>
  <c r="T9" i="1"/>
  <c r="S9" i="1"/>
  <c r="R9" i="1"/>
  <c r="Q9" i="1"/>
  <c r="P9" i="1"/>
  <c r="O9" i="1"/>
  <c r="M9" i="1"/>
  <c r="H9" i="1"/>
  <c r="E9" i="1"/>
  <c r="D9" i="1"/>
  <c r="C9" i="1"/>
  <c r="U8" i="1"/>
  <c r="U10" i="1" s="1"/>
  <c r="Q8" i="1"/>
  <c r="N8" i="1"/>
  <c r="N9" i="1" s="1"/>
  <c r="L8" i="1"/>
  <c r="L9" i="1" s="1"/>
  <c r="K8" i="1"/>
  <c r="K9" i="1" s="1"/>
  <c r="J8" i="1"/>
  <c r="J9" i="1" s="1"/>
  <c r="I8" i="1"/>
  <c r="H8" i="1"/>
  <c r="G8" i="1"/>
  <c r="G9" i="1" s="1"/>
  <c r="F8" i="1"/>
  <c r="L10" i="1" s="1"/>
  <c r="X7" i="1"/>
  <c r="X11" i="1" s="1"/>
  <c r="Q7" i="1"/>
  <c r="N7" i="1"/>
  <c r="X5" i="1"/>
  <c r="Y13" i="1" s="1"/>
  <c r="X11" i="3" l="1"/>
  <c r="U10" i="5"/>
  <c r="L10" i="5"/>
  <c r="X6" i="5" s="1"/>
  <c r="V11" i="7"/>
  <c r="Y14" i="3"/>
  <c r="Y13" i="3"/>
  <c r="O9" i="4"/>
  <c r="D10" i="7"/>
  <c r="V5" i="7" s="1"/>
  <c r="J10" i="7"/>
  <c r="V6" i="7" s="1"/>
  <c r="V10" i="7" s="1"/>
  <c r="F9" i="5"/>
  <c r="F9" i="1"/>
  <c r="R5" i="2"/>
  <c r="O5" i="2" s="1"/>
  <c r="O9" i="2" s="1"/>
  <c r="X6" i="3"/>
  <c r="X10" i="3" s="1"/>
  <c r="U10" i="3"/>
  <c r="Q10" i="1"/>
  <c r="X6" i="1" s="1"/>
  <c r="Y14" i="1"/>
  <c r="D10" i="5"/>
  <c r="X5" i="5" s="1"/>
  <c r="X10" i="1" l="1"/>
  <c r="X9" i="1"/>
  <c r="X9" i="5"/>
  <c r="Y13" i="5"/>
  <c r="Y14" i="5"/>
  <c r="X9" i="3"/>
  <c r="X10" i="5"/>
  <c r="V9" i="7"/>
  <c r="W14" i="7"/>
  <c r="W13" i="7"/>
  <c r="X11" i="5"/>
</calcChain>
</file>

<file path=xl/sharedStrings.xml><?xml version="1.0" encoding="utf-8"?>
<sst xmlns="http://schemas.openxmlformats.org/spreadsheetml/2006/main" count="658" uniqueCount="181">
  <si>
    <t>금액</t>
  </si>
  <si>
    <t>점심 데이트</t>
  </si>
  <si>
    <t>세탁비</t>
  </si>
  <si>
    <t>`</t>
  </si>
  <si>
    <t>수익</t>
  </si>
  <si>
    <t>관리비</t>
  </si>
  <si>
    <t>청약통장</t>
  </si>
  <si>
    <t>2024년 2월 송민영의 가계부</t>
  </si>
  <si>
    <t>교통비</t>
  </si>
  <si>
    <t>투자계</t>
  </si>
  <si>
    <t>소득</t>
  </si>
  <si>
    <t>재생크림</t>
  </si>
  <si>
    <t>다이소(파스)</t>
  </si>
  <si>
    <t>하나은행</t>
  </si>
  <si>
    <t>점심</t>
  </si>
  <si>
    <t>해든마트</t>
  </si>
  <si>
    <t>피자</t>
  </si>
  <si>
    <t>한전</t>
  </si>
  <si>
    <t>국민은행</t>
  </si>
  <si>
    <t>채권</t>
  </si>
  <si>
    <t>변동수입</t>
  </si>
  <si>
    <t>월 결산</t>
  </si>
  <si>
    <t>2024년 1월 송민영의 가계부</t>
  </si>
  <si>
    <t>주택관리비</t>
  </si>
  <si>
    <t>도시가스</t>
  </si>
  <si>
    <t>전기세</t>
  </si>
  <si>
    <t>설 명절 선물</t>
  </si>
  <si>
    <t>다이소</t>
  </si>
  <si>
    <t>탈모약</t>
  </si>
  <si>
    <t>취미</t>
  </si>
  <si>
    <t>자산</t>
  </si>
  <si>
    <t>미용(커트)</t>
  </si>
  <si>
    <t>귀성비</t>
  </si>
  <si>
    <t>노래방</t>
  </si>
  <si>
    <t>돈까스</t>
  </si>
  <si>
    <t>요가 강습</t>
  </si>
  <si>
    <t>기타</t>
  </si>
  <si>
    <t>저축률</t>
  </si>
  <si>
    <t>피트니스</t>
  </si>
  <si>
    <t>요가매트</t>
  </si>
  <si>
    <t>저축</t>
  </si>
  <si>
    <t>아침(편의점)</t>
  </si>
  <si>
    <t>단백질바</t>
  </si>
  <si>
    <t>지출목표</t>
  </si>
  <si>
    <t>주유소</t>
  </si>
  <si>
    <t>청약</t>
  </si>
  <si>
    <t>커피</t>
  </si>
  <si>
    <t>계획</t>
  </si>
  <si>
    <t>마트(쌀구매)</t>
  </si>
  <si>
    <t>저녁(모임)</t>
  </si>
  <si>
    <t>ABC마트</t>
  </si>
  <si>
    <t>보험금</t>
  </si>
  <si>
    <t>전월</t>
  </si>
  <si>
    <t>예금</t>
  </si>
  <si>
    <t>2024년 3월 송민영의 가계부</t>
  </si>
  <si>
    <t>올리브영(치실)</t>
  </si>
  <si>
    <t>지출계 = 변동지출 + 고정지출 + 비상금</t>
  </si>
  <si>
    <t>아이스크림점</t>
  </si>
  <si>
    <t>홈플러스</t>
  </si>
  <si>
    <t>수익률</t>
  </si>
  <si>
    <t>지출률</t>
  </si>
  <si>
    <t>뽀미약</t>
  </si>
  <si>
    <t>카드결제료</t>
  </si>
  <si>
    <t>우리은행</t>
  </si>
  <si>
    <t>주차비</t>
  </si>
  <si>
    <t>저녁(데이트)</t>
  </si>
  <si>
    <t>구분</t>
  </si>
  <si>
    <t>2024년 4월 송민영의 가계부</t>
  </si>
  <si>
    <t>가용자산</t>
  </si>
  <si>
    <t>올리브영</t>
  </si>
  <si>
    <t>비상금</t>
  </si>
  <si>
    <t>잔액</t>
  </si>
  <si>
    <t>생활비(식비)</t>
  </si>
  <si>
    <t>용돈</t>
  </si>
  <si>
    <t>수영복</t>
  </si>
  <si>
    <t>김밥천국</t>
  </si>
  <si>
    <t>카드사용실적</t>
  </si>
  <si>
    <t>변동지출</t>
  </si>
  <si>
    <t>정기예금</t>
  </si>
  <si>
    <t>소득계</t>
  </si>
  <si>
    <t>의류구입비</t>
  </si>
  <si>
    <t>지출계</t>
  </si>
  <si>
    <t>스타501</t>
  </si>
  <si>
    <t>본죽</t>
  </si>
  <si>
    <t>저축목표</t>
  </si>
  <si>
    <t>수영 이어폰</t>
  </si>
  <si>
    <t>2024년 3월 송민영의 자본</t>
  </si>
  <si>
    <t>2024년 4월 송민영의 자본</t>
  </si>
  <si>
    <t>2024년 1월 송민영의 자본</t>
  </si>
  <si>
    <t>편의점</t>
  </si>
  <si>
    <t>-</t>
  </si>
  <si>
    <t>사용처</t>
  </si>
  <si>
    <t>잔고</t>
  </si>
  <si>
    <t>카드값(전월)</t>
  </si>
  <si>
    <t>실적</t>
  </si>
  <si>
    <t>빨래</t>
  </si>
  <si>
    <t>투자금</t>
  </si>
  <si>
    <t>저녁</t>
  </si>
  <si>
    <t>회식</t>
  </si>
  <si>
    <t>셍활비(식비)</t>
  </si>
  <si>
    <t>아침</t>
  </si>
  <si>
    <t>지출률 = 지출계/소득계*100</t>
  </si>
  <si>
    <t>날짜</t>
  </si>
  <si>
    <t>가슴패치</t>
  </si>
  <si>
    <t>지하철비</t>
  </si>
  <si>
    <t>택시비</t>
  </si>
  <si>
    <t>기타(데이트통장+유투브 구독)</t>
  </si>
  <si>
    <t>카드값(금월)</t>
  </si>
  <si>
    <t>투자</t>
  </si>
  <si>
    <t>닭가슴살</t>
  </si>
  <si>
    <t>저녁(치킨)</t>
  </si>
  <si>
    <t>현금사용실적</t>
  </si>
  <si>
    <t>피부과</t>
  </si>
  <si>
    <t>이마트</t>
  </si>
  <si>
    <t>교통후불</t>
  </si>
  <si>
    <t>고정지출</t>
  </si>
  <si>
    <t>주식</t>
  </si>
  <si>
    <t>적금</t>
  </si>
  <si>
    <t>점심(데이트)</t>
  </si>
  <si>
    <t>물</t>
  </si>
  <si>
    <t>차이</t>
  </si>
  <si>
    <t>현금 흐름</t>
  </si>
  <si>
    <t>수영강습</t>
  </si>
  <si>
    <t>명절선물비</t>
  </si>
  <si>
    <t>잔액 = 소득계 - (지출계+저축계+투자계)</t>
  </si>
  <si>
    <t>저녁(감자탕)</t>
  </si>
  <si>
    <t>다이소 및 마트</t>
  </si>
  <si>
    <t>생활비</t>
  </si>
  <si>
    <t>주거비</t>
  </si>
  <si>
    <t>저축률 = 저축계/소득계*100</t>
  </si>
  <si>
    <t>통신비</t>
  </si>
  <si>
    <t>금액조정</t>
  </si>
  <si>
    <t>고정수입</t>
  </si>
  <si>
    <t>건강검진</t>
  </si>
  <si>
    <t>마트</t>
  </si>
  <si>
    <t>병원</t>
  </si>
  <si>
    <t>2024년 2월 송민영의 자본</t>
  </si>
  <si>
    <t>식비</t>
  </si>
  <si>
    <t>주유</t>
  </si>
  <si>
    <t>저축계</t>
  </si>
  <si>
    <t>커트</t>
  </si>
  <si>
    <t>아침</t>
    <phoneticPr fontId="8" type="noConversion"/>
  </si>
  <si>
    <t>도서구매</t>
    <phoneticPr fontId="8" type="noConversion"/>
  </si>
  <si>
    <t>생활비</t>
    <phoneticPr fontId="8" type="noConversion"/>
  </si>
  <si>
    <t>해든마트</t>
    <phoneticPr fontId="8" type="noConversion"/>
  </si>
  <si>
    <t>수영장 입장</t>
    <phoneticPr fontId="8" type="noConversion"/>
  </si>
  <si>
    <t>취미</t>
    <phoneticPr fontId="8" type="noConversion"/>
  </si>
  <si>
    <t>저녁</t>
    <phoneticPr fontId="8" type="noConversion"/>
  </si>
  <si>
    <t>`</t>
    <phoneticPr fontId="8" type="noConversion"/>
  </si>
  <si>
    <t>식비</t>
    <phoneticPr fontId="8" type="noConversion"/>
  </si>
  <si>
    <t>점심</t>
    <phoneticPr fontId="8" type="noConversion"/>
  </si>
  <si>
    <t>저녁(치킨)</t>
    <phoneticPr fontId="8" type="noConversion"/>
  </si>
  <si>
    <t>쥬유소</t>
    <phoneticPr fontId="8" type="noConversion"/>
  </si>
  <si>
    <t>주유</t>
    <phoneticPr fontId="8" type="noConversion"/>
  </si>
  <si>
    <t>주유소</t>
    <phoneticPr fontId="8" type="noConversion"/>
  </si>
  <si>
    <t>주유비</t>
    <phoneticPr fontId="8" type="noConversion"/>
  </si>
  <si>
    <t>점심</t>
    <phoneticPr fontId="8" type="noConversion"/>
  </si>
  <si>
    <t>컴포즈커피</t>
    <phoneticPr fontId="8" type="noConversion"/>
  </si>
  <si>
    <t>생활비</t>
    <phoneticPr fontId="8" type="noConversion"/>
  </si>
  <si>
    <t>저녁</t>
    <phoneticPr fontId="8" type="noConversion"/>
  </si>
  <si>
    <t>식비</t>
    <phoneticPr fontId="8" type="noConversion"/>
  </si>
  <si>
    <t>수영</t>
    <phoneticPr fontId="8" type="noConversion"/>
  </si>
  <si>
    <t>취미</t>
    <phoneticPr fontId="8" type="noConversion"/>
  </si>
  <si>
    <t>샴푸</t>
    <phoneticPr fontId="8" type="noConversion"/>
  </si>
  <si>
    <t>바디워시</t>
    <phoneticPr fontId="8" type="noConversion"/>
  </si>
  <si>
    <t>점심</t>
    <phoneticPr fontId="8" type="noConversion"/>
  </si>
  <si>
    <t>식비</t>
    <phoneticPr fontId="8" type="noConversion"/>
  </si>
  <si>
    <t>해든마트</t>
    <phoneticPr fontId="8" type="noConversion"/>
  </si>
  <si>
    <t>저녁</t>
    <phoneticPr fontId="8" type="noConversion"/>
  </si>
  <si>
    <t>스킨 구입</t>
    <phoneticPr fontId="8" type="noConversion"/>
  </si>
  <si>
    <t>선크림 구입</t>
    <phoneticPr fontId="8" type="noConversion"/>
  </si>
  <si>
    <t>생활비</t>
    <phoneticPr fontId="8" type="noConversion"/>
  </si>
  <si>
    <t>아침</t>
    <phoneticPr fontId="8" type="noConversion"/>
  </si>
  <si>
    <t>택시비</t>
    <phoneticPr fontId="8" type="noConversion"/>
  </si>
  <si>
    <t>교통비</t>
    <phoneticPr fontId="8" type="noConversion"/>
  </si>
  <si>
    <t>하나카드 체크</t>
    <phoneticPr fontId="8" type="noConversion"/>
  </si>
  <si>
    <t>수경 구매</t>
    <phoneticPr fontId="8" type="noConversion"/>
  </si>
  <si>
    <t>취미</t>
    <phoneticPr fontId="8" type="noConversion"/>
  </si>
  <si>
    <t>추목수영장</t>
    <phoneticPr fontId="8" type="noConversion"/>
  </si>
  <si>
    <t>미용실</t>
    <phoneticPr fontId="8" type="noConversion"/>
  </si>
  <si>
    <t>현금사용량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</si>
</sst>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  <numFmt numFmtId="179" formatCode="_-* #,##0.00_-;\-* #,##0.0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7A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  <fill>
      <patternFill patternType="solid">
        <fgColor rgb="FFFFFF00"/>
        <bgColor rgb="FFFFFFFF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7" fillId="0" borderId="0">
      <alignment vertical="center"/>
    </xf>
    <xf numFmtId="41" fontId="7" fillId="0" borderId="0">
      <alignment vertical="center"/>
    </xf>
    <xf numFmtId="41" fontId="7" fillId="0" borderId="2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StyleXfs>
  <cellXfs count="11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1" fontId="7" fillId="0" borderId="2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7" fillId="0" borderId="2" xfId="2" applyBorder="1">
      <alignment vertical="center"/>
    </xf>
    <xf numFmtId="41" fontId="7" fillId="0" borderId="1" xfId="2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41" fontId="0" fillId="3" borderId="0" xfId="0" applyNumberFormat="1" applyFill="1">
      <alignment vertical="center"/>
    </xf>
    <xf numFmtId="0" fontId="0" fillId="3" borderId="0" xfId="0" quotePrefix="1" applyFill="1">
      <alignment vertical="center"/>
    </xf>
    <xf numFmtId="176" fontId="0" fillId="3" borderId="2" xfId="0" applyNumberFormat="1" applyFill="1" applyBorder="1" applyAlignment="1">
      <alignment horizontal="center" vertical="center"/>
    </xf>
    <xf numFmtId="41" fontId="7" fillId="3" borderId="2" xfId="2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7" fillId="3" borderId="0" xfId="2" applyFill="1" applyAlignment="1">
      <alignment horizontal="center" vertical="center"/>
    </xf>
    <xf numFmtId="9" fontId="4" fillId="0" borderId="1" xfId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5" fillId="4" borderId="1" xfId="1" applyNumberFormat="1" applyFont="1" applyFill="1" applyBorder="1">
      <alignment vertical="center"/>
    </xf>
    <xf numFmtId="41" fontId="7" fillId="0" borderId="2" xfId="2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41" fontId="7" fillId="0" borderId="1" xfId="2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1" fontId="0" fillId="3" borderId="0" xfId="0" applyNumberFormat="1" applyFill="1" applyAlignment="1">
      <alignment horizontal="center" vertical="center"/>
    </xf>
    <xf numFmtId="178" fontId="0" fillId="0" borderId="6" xfId="5" applyNumberFormat="1" applyFont="1" applyBorder="1">
      <alignment horizontal="center" vertical="center"/>
    </xf>
    <xf numFmtId="41" fontId="7" fillId="3" borderId="7" xfId="2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6" xfId="5" applyFont="1" applyFill="1" applyBorder="1">
      <alignment horizontal="center" vertical="center"/>
    </xf>
    <xf numFmtId="0" fontId="0" fillId="6" borderId="0" xfId="5" applyFont="1" applyFill="1" applyBorder="1" applyAlignment="1">
      <alignment vertical="center"/>
    </xf>
    <xf numFmtId="178" fontId="0" fillId="0" borderId="0" xfId="5" applyNumberFormat="1" applyFont="1" applyBorder="1">
      <alignment horizontal="center" vertical="center"/>
    </xf>
    <xf numFmtId="41" fontId="0" fillId="6" borderId="0" xfId="5" applyNumberFormat="1" applyFont="1" applyFill="1" applyBorder="1">
      <alignment horizontal="center" vertical="center"/>
    </xf>
    <xf numFmtId="0" fontId="0" fillId="6" borderId="0" xfId="5" applyFont="1" applyFill="1" applyBorder="1">
      <alignment horizontal="center" vertical="center"/>
    </xf>
    <xf numFmtId="41" fontId="0" fillId="6" borderId="9" xfId="5" applyNumberFormat="1" applyFont="1" applyFill="1" applyBorder="1">
      <alignment horizontal="center" vertical="center"/>
    </xf>
    <xf numFmtId="41" fontId="0" fillId="6" borderId="6" xfId="5" applyNumberFormat="1" applyFont="1" applyFill="1" applyBorder="1">
      <alignment horizontal="center" vertical="center"/>
    </xf>
    <xf numFmtId="178" fontId="0" fillId="0" borderId="6" xfId="4" applyNumberFormat="1" applyFont="1" applyBorder="1">
      <alignment horizontal="center" vertical="center"/>
    </xf>
    <xf numFmtId="0" fontId="0" fillId="6" borderId="0" xfId="4" applyFont="1" applyFill="1" applyBorder="1" applyAlignment="1">
      <alignment vertical="center"/>
    </xf>
    <xf numFmtId="0" fontId="0" fillId="6" borderId="0" xfId="4" applyFont="1" applyFill="1" applyBorder="1">
      <alignment horizontal="center" vertical="center"/>
    </xf>
    <xf numFmtId="176" fontId="0" fillId="6" borderId="6" xfId="4" applyNumberFormat="1" applyFont="1" applyFill="1" applyBorder="1">
      <alignment horizontal="center" vertical="center"/>
    </xf>
    <xf numFmtId="41" fontId="0" fillId="6" borderId="6" xfId="4" applyNumberFormat="1" applyFont="1" applyFill="1" applyBorder="1">
      <alignment horizontal="center" vertical="center"/>
    </xf>
    <xf numFmtId="0" fontId="0" fillId="6" borderId="6" xfId="4" applyFont="1" applyFill="1" applyBorder="1">
      <alignment horizontal="center" vertical="center"/>
    </xf>
    <xf numFmtId="41" fontId="0" fillId="6" borderId="9" xfId="4" applyNumberFormat="1" applyFont="1" applyFill="1" applyBorder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4" applyFont="1" applyBorder="1">
      <alignment horizontal="center" vertical="center"/>
    </xf>
    <xf numFmtId="0" fontId="3" fillId="7" borderId="3" xfId="4" applyFont="1" applyFill="1" applyBorder="1">
      <alignment horizontal="center" vertical="center"/>
    </xf>
    <xf numFmtId="41" fontId="7" fillId="0" borderId="8" xfId="2" applyBorder="1">
      <alignment vertical="center"/>
    </xf>
    <xf numFmtId="41" fontId="0" fillId="0" borderId="6" xfId="4" applyNumberFormat="1" applyFont="1" applyBorder="1" applyAlignment="1">
      <alignment vertical="center"/>
    </xf>
    <xf numFmtId="41" fontId="7" fillId="0" borderId="10" xfId="2" applyBorder="1">
      <alignment vertical="center"/>
    </xf>
    <xf numFmtId="41" fontId="0" fillId="0" borderId="11" xfId="4" applyNumberFormat="1" applyFont="1" applyBorder="1" applyAlignment="1">
      <alignment vertical="center"/>
    </xf>
    <xf numFmtId="41" fontId="7" fillId="0" borderId="12" xfId="2" applyBorder="1">
      <alignment vertical="center"/>
    </xf>
    <xf numFmtId="0" fontId="4" fillId="6" borderId="0" xfId="0" applyFont="1" applyFill="1">
      <alignment vertical="center"/>
    </xf>
    <xf numFmtId="41" fontId="7" fillId="0" borderId="13" xfId="2" applyBorder="1" applyAlignment="1">
      <alignment horizontal="right" vertical="center"/>
    </xf>
    <xf numFmtId="41" fontId="7" fillId="0" borderId="7" xfId="2" applyBorder="1">
      <alignment vertical="center"/>
    </xf>
    <xf numFmtId="41" fontId="0" fillId="6" borderId="0" xfId="4" applyNumberFormat="1" applyFont="1" applyFill="1" applyBorder="1">
      <alignment horizontal="center" vertical="center"/>
    </xf>
    <xf numFmtId="41" fontId="7" fillId="0" borderId="14" xfId="2" applyBorder="1">
      <alignment vertical="center"/>
    </xf>
    <xf numFmtId="41" fontId="7" fillId="0" borderId="15" xfId="2" applyBorder="1">
      <alignment vertical="center"/>
    </xf>
    <xf numFmtId="41" fontId="7" fillId="0" borderId="16" xfId="2" applyBorder="1">
      <alignment vertical="center"/>
    </xf>
    <xf numFmtId="0" fontId="0" fillId="8" borderId="6" xfId="4" applyFont="1" applyFill="1" applyBorder="1">
      <alignment horizontal="center" vertical="center"/>
    </xf>
    <xf numFmtId="41" fontId="7" fillId="0" borderId="7" xfId="2" applyBorder="1" applyAlignment="1">
      <alignment horizontal="center" vertical="center"/>
    </xf>
    <xf numFmtId="41" fontId="0" fillId="0" borderId="9" xfId="4" applyNumberFormat="1" applyFont="1" applyBorder="1">
      <alignment horizontal="center" vertical="center"/>
    </xf>
    <xf numFmtId="0" fontId="0" fillId="0" borderId="6" xfId="4" applyFont="1" applyBorder="1">
      <alignment horizontal="center" vertical="center"/>
    </xf>
    <xf numFmtId="41" fontId="0" fillId="0" borderId="6" xfId="4" applyNumberFormat="1" applyFont="1" applyBorder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78" fontId="0" fillId="0" borderId="6" xfId="3" applyNumberFormat="1" applyFont="1" applyBorder="1">
      <alignment horizontal="center" vertical="center"/>
    </xf>
    <xf numFmtId="179" fontId="7" fillId="0" borderId="1" xfId="2" applyNumberFormat="1" applyBorder="1">
      <alignment vertical="center"/>
    </xf>
    <xf numFmtId="41" fontId="0" fillId="0" borderId="11" xfId="3" applyFont="1" applyBorder="1" applyAlignment="1">
      <alignment vertical="center"/>
    </xf>
    <xf numFmtId="41" fontId="7" fillId="0" borderId="18" xfId="2" applyBorder="1">
      <alignment vertical="center"/>
    </xf>
    <xf numFmtId="41" fontId="7" fillId="0" borderId="19" xfId="2" applyBorder="1">
      <alignment vertical="center"/>
    </xf>
    <xf numFmtId="41" fontId="0" fillId="6" borderId="9" xfId="3" applyFont="1" applyFill="1" applyBorder="1">
      <alignment horizontal="center" vertical="center"/>
    </xf>
    <xf numFmtId="0" fontId="0" fillId="6" borderId="6" xfId="3" applyNumberFormat="1" applyFont="1" applyFill="1" applyBorder="1">
      <alignment horizontal="center" vertical="center"/>
    </xf>
    <xf numFmtId="0" fontId="1" fillId="6" borderId="6" xfId="4" applyFont="1" applyFill="1" applyBorder="1">
      <alignment horizontal="center" vertical="center"/>
    </xf>
    <xf numFmtId="41" fontId="1" fillId="6" borderId="9" xfId="4" applyNumberFormat="1" applyFont="1" applyFill="1" applyBorder="1">
      <alignment horizontal="center" vertical="center"/>
    </xf>
    <xf numFmtId="0" fontId="1" fillId="6" borderId="0" xfId="4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1" fontId="1" fillId="0" borderId="7" xfId="2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1" fontId="7" fillId="5" borderId="7" xfId="2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1" fontId="1" fillId="0" borderId="2" xfId="2" applyFont="1" applyBorder="1">
      <alignment vertical="center"/>
    </xf>
    <xf numFmtId="178" fontId="1" fillId="0" borderId="6" xfId="3" applyNumberFormat="1" applyFont="1" applyBorder="1">
      <alignment horizontal="center" vertical="center"/>
    </xf>
    <xf numFmtId="0" fontId="1" fillId="0" borderId="6" xfId="4" applyFont="1" applyBorder="1">
      <alignment horizontal="center" vertical="center"/>
    </xf>
    <xf numFmtId="41" fontId="0" fillId="5" borderId="9" xfId="4" applyNumberFormat="1" applyFont="1" applyFill="1" applyBorder="1">
      <alignment horizontal="center" vertical="center"/>
    </xf>
    <xf numFmtId="41" fontId="7" fillId="5" borderId="2" xfId="2" applyFill="1" applyBorder="1" applyAlignment="1">
      <alignment horizontal="center" vertical="center"/>
    </xf>
    <xf numFmtId="41" fontId="1" fillId="5" borderId="7" xfId="2" applyFont="1" applyFill="1" applyBorder="1" applyAlignment="1">
      <alignment horizontal="center" vertical="center"/>
    </xf>
    <xf numFmtId="41" fontId="7" fillId="0" borderId="20" xfId="2" applyBorder="1" applyAlignment="1">
      <alignment horizontal="center" vertical="center"/>
    </xf>
    <xf numFmtId="41" fontId="7" fillId="0" borderId="18" xfId="2" applyBorder="1" applyAlignment="1">
      <alignment horizontal="center" vertical="center"/>
    </xf>
    <xf numFmtId="41" fontId="7" fillId="0" borderId="21" xfId="2" applyBorder="1" applyAlignment="1">
      <alignment horizontal="center" vertical="center"/>
    </xf>
    <xf numFmtId="41" fontId="7" fillId="0" borderId="22" xfId="2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79" fontId="7" fillId="0" borderId="10" xfId="2" applyNumberFormat="1" applyBorder="1" applyAlignment="1">
      <alignment horizontal="center" vertical="center"/>
    </xf>
    <xf numFmtId="179" fontId="7" fillId="0" borderId="12" xfId="2" applyNumberFormat="1" applyBorder="1" applyAlignment="1">
      <alignment horizontal="center" vertical="center"/>
    </xf>
    <xf numFmtId="41" fontId="7" fillId="0" borderId="1" xfId="2" applyBorder="1" applyAlignment="1">
      <alignment horizontal="center" vertical="center"/>
    </xf>
    <xf numFmtId="41" fontId="7" fillId="0" borderId="10" xfId="2" applyBorder="1" applyAlignment="1">
      <alignment horizontal="center" vertical="center"/>
    </xf>
    <xf numFmtId="41" fontId="7" fillId="0" borderId="12" xfId="2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43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  <tableStyle name="Light Style 1 - Accent 1" table="0" count="7" xr9:uid="{00000000-0011-0000-FFFF-FFFF01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82"/>
  <sheetViews>
    <sheetView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X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4" t="s">
        <v>67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3" t="s">
        <v>121</v>
      </c>
      <c r="C4" s="89"/>
      <c r="D4" s="89"/>
      <c r="E4" s="90"/>
      <c r="F4" s="90"/>
      <c r="G4" s="90"/>
      <c r="H4" s="90"/>
      <c r="I4" s="91"/>
      <c r="J4" s="90"/>
      <c r="K4" s="91"/>
      <c r="L4" s="90"/>
      <c r="M4" s="89"/>
      <c r="N4" s="89"/>
      <c r="O4" s="89"/>
      <c r="P4" s="89"/>
      <c r="Q4" s="89"/>
      <c r="R4" s="89"/>
      <c r="S4" s="89"/>
      <c r="T4" s="89"/>
      <c r="U4" s="92"/>
      <c r="V4" s="11"/>
      <c r="W4" s="4" t="s">
        <v>21</v>
      </c>
      <c r="X4" s="4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93" t="s">
        <v>66</v>
      </c>
      <c r="C5" s="95" t="s">
        <v>10</v>
      </c>
      <c r="D5" s="96"/>
      <c r="E5" s="97" t="s">
        <v>77</v>
      </c>
      <c r="F5" s="97"/>
      <c r="G5" s="97"/>
      <c r="H5" s="97"/>
      <c r="I5" s="97"/>
      <c r="J5" s="97"/>
      <c r="K5" s="97"/>
      <c r="L5" s="97"/>
      <c r="M5" s="95" t="s">
        <v>115</v>
      </c>
      <c r="N5" s="98"/>
      <c r="O5" s="98"/>
      <c r="P5" s="98"/>
      <c r="Q5" s="96"/>
      <c r="R5" s="93" t="s">
        <v>70</v>
      </c>
      <c r="S5" s="95" t="s">
        <v>40</v>
      </c>
      <c r="T5" s="96"/>
      <c r="U5" s="93" t="s">
        <v>108</v>
      </c>
      <c r="V5" s="10"/>
      <c r="W5" s="8" t="s">
        <v>79</v>
      </c>
      <c r="X5" s="7">
        <f>D10</f>
        <v>0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94"/>
      <c r="C6" s="8" t="s">
        <v>132</v>
      </c>
      <c r="D6" s="8" t="s">
        <v>20</v>
      </c>
      <c r="E6" s="8" t="s">
        <v>93</v>
      </c>
      <c r="F6" s="8" t="s">
        <v>5</v>
      </c>
      <c r="G6" s="8" t="s">
        <v>137</v>
      </c>
      <c r="H6" s="8" t="s">
        <v>127</v>
      </c>
      <c r="I6" s="49" t="s">
        <v>29</v>
      </c>
      <c r="J6" s="8" t="s">
        <v>8</v>
      </c>
      <c r="K6" s="49" t="s">
        <v>80</v>
      </c>
      <c r="L6" s="8" t="s">
        <v>36</v>
      </c>
      <c r="M6" s="8" t="s">
        <v>128</v>
      </c>
      <c r="N6" s="8" t="s">
        <v>130</v>
      </c>
      <c r="O6" s="20" t="s">
        <v>51</v>
      </c>
      <c r="P6" s="20" t="s">
        <v>73</v>
      </c>
      <c r="Q6" s="20" t="s">
        <v>106</v>
      </c>
      <c r="R6" s="94"/>
      <c r="S6" s="8" t="s">
        <v>117</v>
      </c>
      <c r="T6" s="8" t="s">
        <v>45</v>
      </c>
      <c r="U6" s="94"/>
      <c r="V6" s="10"/>
      <c r="W6" s="8" t="s">
        <v>81</v>
      </c>
      <c r="X6" s="7">
        <f>L10+Q10+R10</f>
        <v>938221</v>
      </c>
      <c r="Y6" s="10" t="s">
        <v>56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47</v>
      </c>
      <c r="C7" s="6"/>
      <c r="D7" s="6">
        <v>0</v>
      </c>
      <c r="E7" s="71">
        <v>300000</v>
      </c>
      <c r="F7" s="6">
        <v>120000</v>
      </c>
      <c r="G7" s="6">
        <v>300000</v>
      </c>
      <c r="H7" s="50">
        <v>300000</v>
      </c>
      <c r="I7" s="51"/>
      <c r="J7" s="56" t="s">
        <v>90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6">
        <v>135931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139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94</v>
      </c>
      <c r="C8" s="7"/>
      <c r="D8" s="52"/>
      <c r="E8" s="70"/>
      <c r="F8" s="72">
        <f>+SUMIF($O$16:$O$66,F$6,$M$16:$M$66)</f>
        <v>0</v>
      </c>
      <c r="G8" s="59">
        <f t="shared" ref="G8:L8" si="0">SUMIF($O$16:$O$66,G$6,$M$16:$M$66)</f>
        <v>0</v>
      </c>
      <c r="H8" s="60">
        <f t="shared" si="0"/>
        <v>0</v>
      </c>
      <c r="I8" s="53">
        <f t="shared" si="0"/>
        <v>0</v>
      </c>
      <c r="J8" s="61">
        <f t="shared" si="0"/>
        <v>0</v>
      </c>
      <c r="K8" s="53">
        <f t="shared" si="0"/>
        <v>0</v>
      </c>
      <c r="L8" s="53">
        <f t="shared" si="0"/>
        <v>0</v>
      </c>
      <c r="M8" s="57">
        <v>300000</v>
      </c>
      <c r="N8" s="6">
        <f>34100+24500</f>
        <v>58600</v>
      </c>
      <c r="O8" s="6">
        <v>135931</v>
      </c>
      <c r="P8" s="6">
        <v>300000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SUMIF($E$16:$E$66,U$5,$C$16:$C$66)+SUMIF($O$16:$O$66,U$5,$M$16:$M$66)</f>
        <v>0</v>
      </c>
      <c r="V8" s="10"/>
      <c r="W8" s="8" t="s">
        <v>9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120</v>
      </c>
      <c r="C9" s="7">
        <f>C8-C7</f>
        <v>0</v>
      </c>
      <c r="D9" s="7">
        <f>D8-D7</f>
        <v>0</v>
      </c>
      <c r="E9" s="50">
        <f>E7-E8</f>
        <v>300000</v>
      </c>
      <c r="F9" s="53">
        <f>F7-F8</f>
        <v>120000</v>
      </c>
      <c r="G9" s="53">
        <f>G7-G8</f>
        <v>300000</v>
      </c>
      <c r="H9" s="53">
        <f>H7-H8</f>
        <v>300000</v>
      </c>
      <c r="I9" s="53"/>
      <c r="J9" s="53" t="e">
        <f t="shared" ref="J9:U9" si="1">J7-J8</f>
        <v>#VALUE!</v>
      </c>
      <c r="K9" s="53">
        <f t="shared" si="1"/>
        <v>100000</v>
      </c>
      <c r="L9" s="53">
        <f t="shared" si="1"/>
        <v>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71</v>
      </c>
      <c r="X9" s="7">
        <f>X5-(X6+X7+X8)</f>
        <v>-2838221</v>
      </c>
      <c r="Y9" s="13" t="s">
        <v>124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41"/>
      <c r="J10" s="10"/>
      <c r="K10" s="58"/>
      <c r="L10" s="58">
        <f>SUM(E8:L8)</f>
        <v>0</v>
      </c>
      <c r="M10" s="17"/>
      <c r="N10" s="17"/>
      <c r="O10" s="18"/>
      <c r="P10" s="18"/>
      <c r="Q10" s="18">
        <f>SUM(M8:Q8)</f>
        <v>838221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60</v>
      </c>
      <c r="X10" s="23" t="e">
        <f>X6/X5</f>
        <v>#DIV/0!</v>
      </c>
      <c r="Y10" s="10" t="s">
        <v>101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37</v>
      </c>
      <c r="X11" s="23" t="e">
        <f>X7/X5</f>
        <v>#DIV/0!</v>
      </c>
      <c r="Y11" s="10" t="s">
        <v>129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67" t="s">
        <v>107</v>
      </c>
      <c r="C12" s="70">
        <f>SUM(C16:C66)</f>
        <v>0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84</v>
      </c>
      <c r="X13" s="19">
        <v>0.5</v>
      </c>
      <c r="Y13" s="7">
        <f>X5*X13</f>
        <v>0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5" t="s">
        <v>76</v>
      </c>
      <c r="C14" s="5"/>
      <c r="D14" s="5"/>
      <c r="E14" s="5"/>
      <c r="F14" s="17" t="s">
        <v>3</v>
      </c>
      <c r="G14" s="17"/>
      <c r="H14" s="17"/>
      <c r="I14" s="47"/>
      <c r="J14" s="11"/>
      <c r="K14" s="55"/>
      <c r="L14" s="5" t="s">
        <v>111</v>
      </c>
      <c r="M14" s="5"/>
      <c r="N14" s="5"/>
      <c r="O14" s="5"/>
      <c r="P14" s="11"/>
      <c r="Q14" s="11"/>
      <c r="R14" s="11"/>
      <c r="S14" s="11"/>
      <c r="T14" s="11"/>
      <c r="U14" s="11"/>
      <c r="V14" s="11"/>
      <c r="W14" s="8" t="s">
        <v>43</v>
      </c>
      <c r="X14" s="19">
        <v>0.5</v>
      </c>
      <c r="Y14" s="7">
        <f>X5*X14</f>
        <v>0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102</v>
      </c>
      <c r="C15" s="8" t="s">
        <v>0</v>
      </c>
      <c r="D15" s="8" t="s">
        <v>91</v>
      </c>
      <c r="E15" s="8" t="s">
        <v>66</v>
      </c>
      <c r="F15" s="17"/>
      <c r="G15" s="17"/>
      <c r="H15" s="17"/>
      <c r="I15" s="42"/>
      <c r="J15" s="10"/>
      <c r="K15" s="41"/>
      <c r="L15" s="8" t="s">
        <v>102</v>
      </c>
      <c r="M15" s="8" t="s">
        <v>0</v>
      </c>
      <c r="N15" s="8" t="s">
        <v>91</v>
      </c>
      <c r="O15" s="8" t="s">
        <v>66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68"/>
      <c r="C16" s="31"/>
      <c r="D16" s="16"/>
      <c r="E16" s="16"/>
      <c r="F16" s="22"/>
      <c r="G16" s="22"/>
      <c r="H16" s="22"/>
      <c r="I16" s="48"/>
      <c r="J16" s="10"/>
      <c r="K16" s="41"/>
      <c r="L16" s="26"/>
      <c r="M16" s="3"/>
      <c r="N16" s="1"/>
      <c r="O16" s="1"/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68"/>
      <c r="C17" s="31"/>
      <c r="D17" s="16"/>
      <c r="E17" s="16"/>
      <c r="F17" s="17"/>
      <c r="G17" s="17"/>
      <c r="H17" s="17"/>
      <c r="I17" s="42"/>
      <c r="J17" s="10"/>
      <c r="K17" s="41"/>
      <c r="L17" s="30"/>
      <c r="M17" s="63"/>
      <c r="N17" s="1"/>
      <c r="O17" s="1"/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26"/>
      <c r="C18" s="15"/>
      <c r="D18" s="16"/>
      <c r="E18" s="16"/>
      <c r="F18" s="17"/>
      <c r="G18" s="17"/>
      <c r="H18" s="17"/>
      <c r="I18" s="42"/>
      <c r="J18" s="10"/>
      <c r="K18" s="41"/>
      <c r="L18" s="30"/>
      <c r="M18" s="63"/>
      <c r="N18" s="1"/>
      <c r="O18" s="1"/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26"/>
      <c r="C19" s="15"/>
      <c r="D19" s="16"/>
      <c r="E19" s="16"/>
      <c r="F19" s="17"/>
      <c r="G19" s="17"/>
      <c r="H19" s="17"/>
      <c r="I19" s="42"/>
      <c r="J19" s="10"/>
      <c r="K19" s="41"/>
      <c r="L19" s="30"/>
      <c r="M19" s="63"/>
      <c r="N19" s="1"/>
      <c r="O19" s="1"/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26"/>
      <c r="C20" s="15"/>
      <c r="D20" s="16"/>
      <c r="E20" s="16"/>
      <c r="F20" s="17"/>
      <c r="G20" s="17"/>
      <c r="H20" s="17"/>
      <c r="I20" s="42"/>
      <c r="J20" s="10"/>
      <c r="K20" s="41"/>
      <c r="L20" s="30"/>
      <c r="M20" s="63"/>
      <c r="N20" s="1"/>
      <c r="O20" s="1"/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26"/>
      <c r="C21" s="15"/>
      <c r="D21" s="16"/>
      <c r="E21" s="16"/>
      <c r="F21" s="17"/>
      <c r="G21" s="17"/>
      <c r="H21" s="17"/>
      <c r="I21" s="42"/>
      <c r="J21" s="10"/>
      <c r="K21" s="41"/>
      <c r="L21" s="30"/>
      <c r="M21" s="63"/>
      <c r="N21" s="1"/>
      <c r="O21" s="1"/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2"/>
      <c r="C22" s="15"/>
      <c r="D22" s="16"/>
      <c r="E22" s="16"/>
      <c r="F22" s="17"/>
      <c r="G22" s="17"/>
      <c r="H22" s="17"/>
      <c r="I22" s="42"/>
      <c r="J22" s="10"/>
      <c r="K22" s="41"/>
      <c r="L22" s="30"/>
      <c r="M22" s="63"/>
      <c r="N22" s="1"/>
      <c r="O22" s="1"/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2"/>
      <c r="C23" s="15"/>
      <c r="D23" s="16"/>
      <c r="E23" s="16"/>
      <c r="F23" s="17"/>
      <c r="G23" s="17"/>
      <c r="H23" s="17"/>
      <c r="I23" s="42"/>
      <c r="J23" s="10"/>
      <c r="K23" s="41"/>
      <c r="L23" s="30"/>
      <c r="M23" s="63"/>
      <c r="N23" s="1"/>
      <c r="O23" s="1"/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2"/>
      <c r="C24" s="15"/>
      <c r="D24" s="16"/>
      <c r="E24" s="16"/>
      <c r="F24" s="17"/>
      <c r="G24" s="17"/>
      <c r="H24" s="17"/>
      <c r="I24" s="42"/>
      <c r="J24" s="10"/>
      <c r="K24" s="41"/>
      <c r="L24" s="30"/>
      <c r="M24" s="3"/>
      <c r="N24" s="1"/>
      <c r="O24" s="1"/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/>
      <c r="M25" s="3"/>
      <c r="N25" s="1"/>
      <c r="O25" s="1"/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14"/>
      <c r="C26" s="15"/>
      <c r="D26" s="16"/>
      <c r="E26" s="16"/>
      <c r="F26" s="17"/>
      <c r="G26" s="17"/>
      <c r="H26" s="17"/>
      <c r="I26" s="42"/>
      <c r="J26" s="10"/>
      <c r="K26" s="41"/>
      <c r="L26" s="30"/>
      <c r="M26" s="3"/>
      <c r="N26" s="1"/>
      <c r="O26" s="1"/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/>
      <c r="M27" s="3"/>
      <c r="N27" s="1"/>
      <c r="O27" s="1"/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/>
      <c r="M28" s="3"/>
      <c r="N28" s="1"/>
      <c r="O28" s="1"/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/>
      <c r="M29" s="3"/>
      <c r="N29" s="1"/>
      <c r="O29" s="1"/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40"/>
      <c r="M30" s="63"/>
      <c r="N30" s="1"/>
      <c r="O30" s="1"/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41"/>
      <c r="B31" s="43"/>
      <c r="C31" s="44"/>
      <c r="D31" s="45"/>
      <c r="E31" s="45"/>
      <c r="F31" s="42"/>
      <c r="G31" s="42"/>
      <c r="H31" s="42"/>
      <c r="I31" s="42"/>
      <c r="J31" s="41"/>
      <c r="K31" s="41"/>
      <c r="L31" s="40"/>
      <c r="M31" s="64"/>
      <c r="N31" s="65"/>
      <c r="O31" s="65"/>
      <c r="P31" s="42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x14ac:dyDescent="0.4">
      <c r="A32" s="10"/>
      <c r="B32" s="14"/>
      <c r="C32" s="15"/>
      <c r="D32" s="16"/>
      <c r="E32" s="16"/>
      <c r="F32" s="17"/>
      <c r="G32" s="17"/>
      <c r="H32" s="17"/>
      <c r="I32" s="42"/>
      <c r="J32" s="10"/>
      <c r="K32" s="41"/>
      <c r="L32" s="40"/>
      <c r="M32" s="63"/>
      <c r="N32" s="1"/>
      <c r="O32" s="1"/>
      <c r="P32" s="17"/>
      <c r="Q32" s="1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4">
      <c r="A33" s="41"/>
      <c r="B33" s="43"/>
      <c r="C33" s="44"/>
      <c r="D33" s="45"/>
      <c r="E33" s="45"/>
      <c r="F33" s="42"/>
      <c r="G33" s="42"/>
      <c r="H33" s="42"/>
      <c r="I33" s="42"/>
      <c r="J33" s="41"/>
      <c r="K33" s="41"/>
      <c r="L33" s="40"/>
      <c r="M33" s="66"/>
      <c r="N33" s="65"/>
      <c r="O33" s="65"/>
      <c r="P33" s="42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/>
      <c r="M34" s="64"/>
      <c r="N34" s="65"/>
      <c r="O34" s="65"/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/>
      <c r="M35" s="64"/>
      <c r="N35" s="65"/>
      <c r="O35" s="65"/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/>
      <c r="M36" s="64"/>
      <c r="N36" s="65"/>
      <c r="O36" s="65"/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/>
      <c r="M37" s="64"/>
      <c r="N37" s="65"/>
      <c r="O37" s="65"/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/>
      <c r="M38" s="64"/>
      <c r="N38" s="65"/>
      <c r="O38" s="65"/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/>
      <c r="M39" s="64"/>
      <c r="N39" s="65"/>
      <c r="O39" s="65"/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/>
      <c r="M40" s="64"/>
      <c r="N40" s="65"/>
      <c r="O40" s="65"/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/>
      <c r="M41" s="64"/>
      <c r="N41" s="65"/>
      <c r="O41" s="65"/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/>
      <c r="M42" s="64"/>
      <c r="N42" s="65"/>
      <c r="O42" s="65"/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/>
      <c r="M43" s="64"/>
      <c r="N43" s="65"/>
      <c r="O43" s="65"/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/>
      <c r="M44" s="64"/>
      <c r="N44" s="65"/>
      <c r="O44" s="65"/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/>
      <c r="M45" s="64"/>
      <c r="N45" s="65"/>
      <c r="O45" s="65"/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/>
      <c r="M46" s="64"/>
      <c r="N46" s="65"/>
      <c r="O46" s="65"/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40"/>
      <c r="M47" s="64"/>
      <c r="N47" s="65"/>
      <c r="O47" s="65"/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40"/>
      <c r="M48" s="46"/>
      <c r="N48" s="45"/>
      <c r="O48" s="45"/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40"/>
      <c r="M49" s="46"/>
      <c r="N49" s="45"/>
      <c r="O49" s="45"/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40"/>
      <c r="M50" s="46"/>
      <c r="N50" s="45"/>
      <c r="O50" s="45"/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40"/>
      <c r="M51" s="46"/>
      <c r="N51" s="45"/>
      <c r="O51" s="45"/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40"/>
      <c r="M52" s="46"/>
      <c r="N52" s="45"/>
      <c r="O52" s="45"/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40"/>
      <c r="M53" s="46"/>
      <c r="N53" s="45"/>
      <c r="O53" s="45"/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40"/>
      <c r="M54" s="46"/>
      <c r="N54" s="45"/>
      <c r="O54" s="45"/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40"/>
      <c r="M55" s="46"/>
      <c r="N55" s="45"/>
      <c r="O55" s="45"/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40"/>
      <c r="M56" s="46"/>
      <c r="N56" s="45"/>
      <c r="O56" s="45"/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40"/>
      <c r="M57" s="46"/>
      <c r="N57" s="45"/>
      <c r="O57" s="45"/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40"/>
      <c r="M58" s="46"/>
      <c r="N58" s="45"/>
      <c r="O58" s="45"/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5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41"/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41"/>
      <c r="B65" s="43"/>
      <c r="C65" s="44"/>
      <c r="D65" s="45"/>
      <c r="E65" s="45"/>
      <c r="F65" s="42"/>
      <c r="G65" s="42"/>
      <c r="H65" s="42"/>
      <c r="I65" s="42"/>
      <c r="J65" s="41"/>
      <c r="K65" s="41"/>
      <c r="L65" s="40"/>
      <c r="M65" s="46"/>
      <c r="N65" s="45"/>
      <c r="O65" s="45"/>
      <c r="P65" s="42"/>
      <c r="Q65" s="42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x14ac:dyDescent="0.4">
      <c r="A66" s="10"/>
      <c r="B66" s="14"/>
      <c r="C66" s="15"/>
      <c r="D66" s="16"/>
      <c r="E66" s="16"/>
      <c r="F66" s="17"/>
      <c r="G66" s="17"/>
      <c r="H66" s="17"/>
      <c r="I66" s="42"/>
      <c r="J66" s="10"/>
      <c r="K66" s="41"/>
      <c r="L66" s="40"/>
      <c r="M66" s="31"/>
      <c r="N66" s="16"/>
      <c r="O66" s="16"/>
      <c r="P66" s="17"/>
      <c r="Q66" s="1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4">
      <c r="A67" s="10"/>
      <c r="B67" s="10"/>
      <c r="C67" s="10"/>
      <c r="D67" s="10"/>
      <c r="E67" s="10"/>
      <c r="F67" s="10"/>
      <c r="G67" s="10"/>
      <c r="H67" s="10"/>
      <c r="I67" s="41"/>
      <c r="J67" s="10"/>
      <c r="K67" s="4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x14ac:dyDescent="0.4">
      <c r="A82" s="10"/>
      <c r="B82" s="10"/>
      <c r="C82" s="10"/>
      <c r="D82" s="10"/>
      <c r="E82" s="10"/>
      <c r="F82" s="10"/>
      <c r="G82" s="10"/>
      <c r="H82" s="10"/>
      <c r="I82" s="41"/>
      <c r="J82" s="10"/>
      <c r="K82" s="4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</sheetData>
  <autoFilter ref="L15:O15" xr:uid="{00000000-0009-0000-0000-000000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28" priority="9" operator="lessThan">
      <formula>0</formula>
    </cfRule>
  </conditionalFormatting>
  <conditionalFormatting sqref="C9:E9 M9:U9">
    <cfRule type="cellIs" dxfId="27" priority="10" operator="lessThan">
      <formula>0</formula>
    </cfRule>
  </conditionalFormatting>
  <conditionalFormatting sqref="E8">
    <cfRule type="cellIs" dxfId="26" priority="1" operator="lessThan">
      <formula>0</formula>
    </cfRule>
  </conditionalFormatting>
  <conditionalFormatting sqref="F9:L9">
    <cfRule type="cellIs" dxfId="25" priority="6" operator="lessThan">
      <formula>0</formula>
    </cfRule>
  </conditionalFormatting>
  <conditionalFormatting sqref="X10">
    <cfRule type="cellIs" dxfId="24" priority="11" operator="lessThan">
      <formula>$X$14</formula>
    </cfRule>
    <cfRule type="cellIs" dxfId="23" priority="12" operator="greaterThan">
      <formula>$X$14</formula>
    </cfRule>
  </conditionalFormatting>
  <conditionalFormatting sqref="X11">
    <cfRule type="cellIs" dxfId="22" priority="7" operator="lessThan">
      <formula>$X$13</formula>
    </cfRule>
    <cfRule type="cellIs" dxfId="21" priority="8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1"/>
  <sheetViews>
    <sheetView zoomScale="80" zoomScaleNormal="80" zoomScaleSheetLayoutView="80" workbookViewId="0">
      <selection activeCell="B27" sqref="B27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104" t="s">
        <v>87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4" t="s">
        <v>21</v>
      </c>
      <c r="O4" s="4"/>
      <c r="Q4" s="4" t="s">
        <v>52</v>
      </c>
      <c r="R4" s="4"/>
      <c r="S4" s="11"/>
      <c r="V4" s="11"/>
      <c r="W4" s="11"/>
      <c r="X4" s="11"/>
      <c r="Y4" s="11"/>
      <c r="Z4" s="11"/>
    </row>
    <row r="5" spans="1:26" x14ac:dyDescent="0.4">
      <c r="A5" s="10"/>
      <c r="B5" s="107" t="s">
        <v>66</v>
      </c>
      <c r="C5" s="108" t="s">
        <v>78</v>
      </c>
      <c r="D5" s="109"/>
      <c r="E5" s="108" t="s">
        <v>53</v>
      </c>
      <c r="F5" s="109"/>
      <c r="G5" s="108" t="s">
        <v>6</v>
      </c>
      <c r="H5" s="109"/>
      <c r="I5" s="108" t="s">
        <v>117</v>
      </c>
      <c r="J5" s="109"/>
      <c r="K5" s="108" t="s">
        <v>96</v>
      </c>
      <c r="L5" s="110"/>
      <c r="M5" s="10"/>
      <c r="N5" s="8" t="s">
        <v>30</v>
      </c>
      <c r="O5" s="7">
        <f>R5+SUM(C8:L8)</f>
        <v>52600000</v>
      </c>
      <c r="Q5" s="8" t="s">
        <v>30</v>
      </c>
      <c r="R5" s="7">
        <f>'3월(자산)'!O5</f>
        <v>50700000</v>
      </c>
      <c r="S5" s="10"/>
      <c r="V5" s="10"/>
      <c r="W5" s="10"/>
      <c r="X5" s="10"/>
      <c r="Y5" s="10"/>
      <c r="Z5" s="10"/>
    </row>
    <row r="6" spans="1:26" x14ac:dyDescent="0.4">
      <c r="A6" s="10"/>
      <c r="B6" s="93"/>
      <c r="C6" s="111" t="s">
        <v>63</v>
      </c>
      <c r="D6" s="112"/>
      <c r="E6" s="113" t="s">
        <v>63</v>
      </c>
      <c r="F6" s="114"/>
      <c r="G6" s="113" t="s">
        <v>18</v>
      </c>
      <c r="H6" s="114"/>
      <c r="I6" s="111" t="s">
        <v>13</v>
      </c>
      <c r="J6" s="112"/>
      <c r="K6" s="25" t="s">
        <v>116</v>
      </c>
      <c r="L6" s="25" t="s">
        <v>19</v>
      </c>
      <c r="M6" s="10"/>
      <c r="N6" s="67" t="s">
        <v>4</v>
      </c>
      <c r="O6" s="69">
        <f>SUM(C9:L9)</f>
        <v>3.72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92</v>
      </c>
      <c r="C7" s="5">
        <v>30000000</v>
      </c>
      <c r="D7" s="5"/>
      <c r="E7" s="102">
        <v>10000000</v>
      </c>
      <c r="F7" s="103"/>
      <c r="G7" s="102">
        <f>SUM('3월(자산)'!G7:H8)</f>
        <v>7100000</v>
      </c>
      <c r="H7" s="103"/>
      <c r="I7" s="5">
        <f>SUM('3월(자산)'!I7:J8)</f>
        <v>4600000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94</v>
      </c>
      <c r="C8" s="5">
        <v>0</v>
      </c>
      <c r="D8" s="5"/>
      <c r="E8" s="102">
        <v>0</v>
      </c>
      <c r="F8" s="103"/>
      <c r="G8" s="102">
        <v>100000</v>
      </c>
      <c r="H8" s="103"/>
      <c r="I8" s="102">
        <v>1800000</v>
      </c>
      <c r="J8" s="103"/>
      <c r="K8" s="7">
        <v>0</v>
      </c>
      <c r="L8" s="7">
        <v>0</v>
      </c>
      <c r="M8" s="10"/>
      <c r="N8" s="4" t="s">
        <v>68</v>
      </c>
      <c r="O8" s="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59</v>
      </c>
      <c r="C9" s="99">
        <v>3.72</v>
      </c>
      <c r="D9" s="100"/>
      <c r="E9" s="5">
        <f>E8*0</f>
        <v>0</v>
      </c>
      <c r="F9" s="5"/>
      <c r="G9" s="101"/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30</v>
      </c>
      <c r="O9" s="7">
        <f>O5-G7</f>
        <v>45500000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  <mergeCell ref="C6:D6"/>
    <mergeCell ref="E6:F6"/>
    <mergeCell ref="G6:H6"/>
    <mergeCell ref="I6:J6"/>
    <mergeCell ref="C7:D7"/>
    <mergeCell ref="E7:F7"/>
    <mergeCell ref="G7:H7"/>
    <mergeCell ref="I7:J7"/>
    <mergeCell ref="N8:O8"/>
    <mergeCell ref="C9:D9"/>
    <mergeCell ref="E9:F9"/>
    <mergeCell ref="G9:H9"/>
    <mergeCell ref="I9:J9"/>
    <mergeCell ref="C8:D8"/>
    <mergeCell ref="E8:F8"/>
    <mergeCell ref="G8:H8"/>
    <mergeCell ref="I8:J8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83"/>
  <sheetViews>
    <sheetView tabSelected="1"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X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4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3" t="s">
        <v>121</v>
      </c>
      <c r="C4" s="89"/>
      <c r="D4" s="89"/>
      <c r="E4" s="90"/>
      <c r="F4" s="90"/>
      <c r="G4" s="90"/>
      <c r="H4" s="90"/>
      <c r="I4" s="91"/>
      <c r="J4" s="90"/>
      <c r="K4" s="91"/>
      <c r="L4" s="90"/>
      <c r="M4" s="89"/>
      <c r="N4" s="89"/>
      <c r="O4" s="89"/>
      <c r="P4" s="89"/>
      <c r="Q4" s="89"/>
      <c r="R4" s="89"/>
      <c r="S4" s="89"/>
      <c r="T4" s="89"/>
      <c r="U4" s="92"/>
      <c r="V4" s="11"/>
      <c r="W4" s="4" t="s">
        <v>21</v>
      </c>
      <c r="X4" s="4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93" t="s">
        <v>66</v>
      </c>
      <c r="C5" s="95" t="s">
        <v>10</v>
      </c>
      <c r="D5" s="96"/>
      <c r="E5" s="97" t="s">
        <v>77</v>
      </c>
      <c r="F5" s="97"/>
      <c r="G5" s="97"/>
      <c r="H5" s="97"/>
      <c r="I5" s="97"/>
      <c r="J5" s="97"/>
      <c r="K5" s="97"/>
      <c r="L5" s="97"/>
      <c r="M5" s="95" t="s">
        <v>115</v>
      </c>
      <c r="N5" s="98"/>
      <c r="O5" s="98"/>
      <c r="P5" s="98"/>
      <c r="Q5" s="96"/>
      <c r="R5" s="93" t="s">
        <v>70</v>
      </c>
      <c r="S5" s="95" t="s">
        <v>40</v>
      </c>
      <c r="T5" s="96"/>
      <c r="U5" s="93" t="s">
        <v>108</v>
      </c>
      <c r="V5" s="10"/>
      <c r="W5" s="8" t="s">
        <v>79</v>
      </c>
      <c r="X5" s="7">
        <f>D10</f>
        <v>4090705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94"/>
      <c r="C6" s="8" t="s">
        <v>132</v>
      </c>
      <c r="D6" s="8" t="s">
        <v>20</v>
      </c>
      <c r="E6" s="8" t="s">
        <v>93</v>
      </c>
      <c r="F6" s="8" t="s">
        <v>5</v>
      </c>
      <c r="G6" s="8" t="s">
        <v>137</v>
      </c>
      <c r="H6" s="8" t="s">
        <v>127</v>
      </c>
      <c r="I6" s="49" t="s">
        <v>29</v>
      </c>
      <c r="J6" s="8" t="s">
        <v>8</v>
      </c>
      <c r="K6" s="49" t="s">
        <v>80</v>
      </c>
      <c r="L6" s="8" t="s">
        <v>36</v>
      </c>
      <c r="M6" s="8" t="s">
        <v>128</v>
      </c>
      <c r="N6" s="8" t="s">
        <v>130</v>
      </c>
      <c r="O6" s="20" t="s">
        <v>51</v>
      </c>
      <c r="P6" s="20" t="s">
        <v>73</v>
      </c>
      <c r="Q6" s="20" t="s">
        <v>106</v>
      </c>
      <c r="R6" s="94"/>
      <c r="S6" s="8" t="s">
        <v>117</v>
      </c>
      <c r="T6" s="8" t="s">
        <v>45</v>
      </c>
      <c r="U6" s="94"/>
      <c r="V6" s="10"/>
      <c r="W6" s="8" t="s">
        <v>81</v>
      </c>
      <c r="X6" s="7">
        <f>L10+Q10+R10</f>
        <v>1730946</v>
      </c>
      <c r="Y6" s="10" t="s">
        <v>56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47</v>
      </c>
      <c r="C7" s="6"/>
      <c r="D7" s="6">
        <v>0</v>
      </c>
      <c r="E7" s="6">
        <v>300000</v>
      </c>
      <c r="F7" s="6">
        <v>120000</v>
      </c>
      <c r="G7" s="6">
        <v>400000</v>
      </c>
      <c r="H7" s="50">
        <v>400000</v>
      </c>
      <c r="I7" s="51"/>
      <c r="J7" s="56" t="s">
        <v>90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83">
        <f>135931+14430</f>
        <v>150361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139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94</v>
      </c>
      <c r="C8" s="7">
        <v>4021000</v>
      </c>
      <c r="D8" s="7">
        <v>69705</v>
      </c>
      <c r="E8" s="7">
        <v>99000</v>
      </c>
      <c r="F8" s="59">
        <f>+SUMIF($O$16:$O$67,F$6,$M$16:$M$67)</f>
        <v>0</v>
      </c>
      <c r="G8" s="59">
        <f t="shared" ref="G8:L8" si="0">SUMIF($O$16:$O$67,G$6,$M$16:$M$67)</f>
        <v>160410</v>
      </c>
      <c r="H8" s="60">
        <f t="shared" si="0"/>
        <v>178200</v>
      </c>
      <c r="I8" s="53">
        <f t="shared" si="0"/>
        <v>20800</v>
      </c>
      <c r="J8" s="61">
        <f t="shared" si="0"/>
        <v>20885</v>
      </c>
      <c r="K8" s="53">
        <f t="shared" si="0"/>
        <v>0</v>
      </c>
      <c r="L8" s="53">
        <f t="shared" si="0"/>
        <v>0</v>
      </c>
      <c r="M8" s="57">
        <v>300000</v>
      </c>
      <c r="N8" s="6">
        <f>34100+24500</f>
        <v>58600</v>
      </c>
      <c r="O8" s="83">
        <f>135931+14430</f>
        <v>150361</v>
      </c>
      <c r="P8" s="6">
        <v>300000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SUMIF($E$16:$E$67,U$5,$C$16:$C$67)+SUMIF($O$16:$O$67,U$5,$M$16:$M$67)</f>
        <v>0</v>
      </c>
      <c r="V8" s="10"/>
      <c r="W8" s="8" t="s">
        <v>9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120</v>
      </c>
      <c r="C9" s="7">
        <f>C8-C7</f>
        <v>4021000</v>
      </c>
      <c r="D9" s="7">
        <f>D8-D7</f>
        <v>69705</v>
      </c>
      <c r="E9" s="52">
        <f>E7-E8</f>
        <v>201000</v>
      </c>
      <c r="F9" s="53">
        <f>F7-F8</f>
        <v>120000</v>
      </c>
      <c r="G9" s="53">
        <f>G7-G8</f>
        <v>239590</v>
      </c>
      <c r="H9" s="53">
        <f>H7-H8</f>
        <v>221800</v>
      </c>
      <c r="I9" s="53"/>
      <c r="J9" s="53" t="e">
        <f t="shared" ref="J9:U9" si="1">J7-J8</f>
        <v>#VALUE!</v>
      </c>
      <c r="K9" s="53">
        <f t="shared" si="1"/>
        <v>100000</v>
      </c>
      <c r="L9" s="53">
        <f t="shared" si="1"/>
        <v>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71</v>
      </c>
      <c r="X9" s="7">
        <f>X5-(X6+X7+X8)</f>
        <v>459759</v>
      </c>
      <c r="Y9" s="13" t="s">
        <v>124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4090705</v>
      </c>
      <c r="E10" s="10"/>
      <c r="F10" s="10"/>
      <c r="G10" s="10"/>
      <c r="H10" s="10"/>
      <c r="I10" s="41"/>
      <c r="J10" s="10"/>
      <c r="K10" s="58"/>
      <c r="L10" s="58">
        <f>SUM(E8:L8)</f>
        <v>479295</v>
      </c>
      <c r="M10" s="17"/>
      <c r="N10" s="17"/>
      <c r="O10" s="18"/>
      <c r="P10" s="18"/>
      <c r="Q10" s="18">
        <f>SUM(M8:Q8)+E8+R10+T8</f>
        <v>1151651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60</v>
      </c>
      <c r="X10" s="23">
        <f>X6/X5</f>
        <v>0.42314124337980863</v>
      </c>
      <c r="Y10" s="10" t="s">
        <v>101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37</v>
      </c>
      <c r="X11" s="23">
        <f>X7/X5</f>
        <v>0.46446761621774241</v>
      </c>
      <c r="Y11" s="10" t="s">
        <v>129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8" t="s">
        <v>107</v>
      </c>
      <c r="C12" s="7">
        <f>SUM(C16:C67)</f>
        <v>295371</v>
      </c>
      <c r="D12" s="18"/>
      <c r="E12" s="10"/>
      <c r="F12" s="10"/>
      <c r="G12" s="10"/>
      <c r="H12" s="10"/>
      <c r="I12" s="41"/>
      <c r="J12" s="10"/>
      <c r="K12" s="41"/>
      <c r="L12" s="8" t="s">
        <v>180</v>
      </c>
      <c r="M12" s="7">
        <f>SUM(M16:M67)</f>
        <v>380295</v>
      </c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84</v>
      </c>
      <c r="X13" s="19">
        <v>0.5</v>
      </c>
      <c r="Y13" s="7">
        <f>X5*X13</f>
        <v>2045352.5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5" t="s">
        <v>76</v>
      </c>
      <c r="C14" s="5"/>
      <c r="D14" s="5"/>
      <c r="E14" s="5"/>
      <c r="F14" s="17" t="s">
        <v>3</v>
      </c>
      <c r="G14" s="17"/>
      <c r="H14" s="17"/>
      <c r="I14" s="47"/>
      <c r="J14" s="11"/>
      <c r="K14" s="55"/>
      <c r="L14" s="5" t="s">
        <v>111</v>
      </c>
      <c r="M14" s="5"/>
      <c r="N14" s="5"/>
      <c r="O14" s="5"/>
      <c r="P14" s="11"/>
      <c r="Q14" s="11"/>
      <c r="R14" s="11"/>
      <c r="S14" s="11"/>
      <c r="T14" s="11"/>
      <c r="U14" s="11"/>
      <c r="V14" s="11"/>
      <c r="W14" s="8" t="s">
        <v>43</v>
      </c>
      <c r="X14" s="19">
        <v>0.5</v>
      </c>
      <c r="Y14" s="7">
        <f>X5*X14</f>
        <v>2045352.5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102</v>
      </c>
      <c r="C15" s="8" t="s">
        <v>0</v>
      </c>
      <c r="D15" s="8" t="s">
        <v>91</v>
      </c>
      <c r="E15" s="8" t="s">
        <v>66</v>
      </c>
      <c r="F15" s="17"/>
      <c r="G15" s="17"/>
      <c r="H15" s="17"/>
      <c r="I15" s="42"/>
      <c r="J15" s="10"/>
      <c r="K15" s="41"/>
      <c r="L15" s="8" t="s">
        <v>102</v>
      </c>
      <c r="M15" s="8" t="s">
        <v>0</v>
      </c>
      <c r="N15" s="8" t="s">
        <v>91</v>
      </c>
      <c r="O15" s="8" t="s">
        <v>66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68">
        <v>45352</v>
      </c>
      <c r="C16" s="73">
        <v>95841</v>
      </c>
      <c r="D16" s="74" t="s">
        <v>11</v>
      </c>
      <c r="E16" s="74" t="s">
        <v>127</v>
      </c>
      <c r="F16" s="22"/>
      <c r="G16" s="22"/>
      <c r="H16" s="22"/>
      <c r="I16" s="48"/>
      <c r="J16" s="10"/>
      <c r="K16" s="41"/>
      <c r="L16" s="68">
        <v>45359</v>
      </c>
      <c r="M16" s="46">
        <v>2800</v>
      </c>
      <c r="N16" s="79" t="s">
        <v>141</v>
      </c>
      <c r="O16" s="75" t="s">
        <v>149</v>
      </c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68">
        <v>45353</v>
      </c>
      <c r="C17" s="31">
        <v>26300</v>
      </c>
      <c r="D17" s="16" t="s">
        <v>1</v>
      </c>
      <c r="E17" s="16" t="s">
        <v>127</v>
      </c>
      <c r="F17" s="17"/>
      <c r="G17" s="17"/>
      <c r="H17" s="17"/>
      <c r="I17" s="42"/>
      <c r="J17" s="10"/>
      <c r="K17" s="41"/>
      <c r="L17" s="68">
        <v>45359</v>
      </c>
      <c r="M17" s="88">
        <v>25400</v>
      </c>
      <c r="N17" s="79" t="s">
        <v>147</v>
      </c>
      <c r="O17" s="78" t="s">
        <v>149</v>
      </c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68">
        <v>45354</v>
      </c>
      <c r="C18" s="31">
        <v>40850</v>
      </c>
      <c r="D18" s="80" t="s">
        <v>154</v>
      </c>
      <c r="E18" s="80" t="s">
        <v>155</v>
      </c>
      <c r="F18" s="17"/>
      <c r="G18" s="17"/>
      <c r="H18" s="17"/>
      <c r="I18" s="42"/>
      <c r="J18" s="10"/>
      <c r="K18" s="41"/>
      <c r="L18" s="68">
        <v>45360</v>
      </c>
      <c r="M18" s="63">
        <v>1500</v>
      </c>
      <c r="N18" s="78" t="s">
        <v>157</v>
      </c>
      <c r="O18" s="78" t="s">
        <v>158</v>
      </c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68">
        <v>45354</v>
      </c>
      <c r="C19" s="31">
        <v>10280</v>
      </c>
      <c r="D19" s="16" t="s">
        <v>15</v>
      </c>
      <c r="E19" s="80" t="s">
        <v>143</v>
      </c>
      <c r="F19" s="17"/>
      <c r="G19" s="17"/>
      <c r="H19" s="17"/>
      <c r="I19" s="42"/>
      <c r="J19" s="10"/>
      <c r="K19" s="41"/>
      <c r="L19" s="68">
        <v>45360</v>
      </c>
      <c r="M19" s="81">
        <v>25270</v>
      </c>
      <c r="N19" s="78" t="s">
        <v>159</v>
      </c>
      <c r="O19" s="78" t="s">
        <v>160</v>
      </c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68">
        <v>45354</v>
      </c>
      <c r="C20" s="81">
        <v>31100</v>
      </c>
      <c r="D20" s="82" t="s">
        <v>151</v>
      </c>
      <c r="E20" s="80" t="s">
        <v>149</v>
      </c>
      <c r="F20" s="17"/>
      <c r="G20" s="17"/>
      <c r="H20" s="17"/>
      <c r="I20" s="42"/>
      <c r="J20" s="10"/>
      <c r="K20" s="41"/>
      <c r="L20" s="68">
        <v>45361</v>
      </c>
      <c r="M20" s="63">
        <v>4400</v>
      </c>
      <c r="N20" s="78" t="s">
        <v>161</v>
      </c>
      <c r="O20" s="78" t="s">
        <v>162</v>
      </c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68">
        <v>45355</v>
      </c>
      <c r="C21" s="15">
        <v>4500</v>
      </c>
      <c r="D21" s="80" t="s">
        <v>150</v>
      </c>
      <c r="E21" s="80" t="s">
        <v>149</v>
      </c>
      <c r="F21" s="17"/>
      <c r="G21" s="17"/>
      <c r="H21" s="17"/>
      <c r="I21" s="42"/>
      <c r="J21" s="10"/>
      <c r="K21" s="41"/>
      <c r="L21" s="68">
        <v>45361</v>
      </c>
      <c r="M21" s="81">
        <v>21800</v>
      </c>
      <c r="N21" s="78" t="s">
        <v>156</v>
      </c>
      <c r="O21" s="78" t="s">
        <v>158</v>
      </c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68">
        <v>45356</v>
      </c>
      <c r="C22" s="15">
        <v>4500</v>
      </c>
      <c r="D22" s="80" t="s">
        <v>150</v>
      </c>
      <c r="E22" s="80" t="s">
        <v>149</v>
      </c>
      <c r="F22" s="17"/>
      <c r="G22" s="17"/>
      <c r="H22" s="17"/>
      <c r="I22" s="42"/>
      <c r="J22" s="10"/>
      <c r="K22" s="41"/>
      <c r="L22" s="68">
        <v>45361</v>
      </c>
      <c r="M22" s="63">
        <v>55100</v>
      </c>
      <c r="N22" s="78" t="s">
        <v>163</v>
      </c>
      <c r="O22" s="78" t="s">
        <v>158</v>
      </c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68">
        <v>45359</v>
      </c>
      <c r="C23" s="15">
        <v>4500</v>
      </c>
      <c r="D23" s="80" t="s">
        <v>150</v>
      </c>
      <c r="E23" s="80" t="s">
        <v>149</v>
      </c>
      <c r="F23" s="17"/>
      <c r="G23" s="17"/>
      <c r="H23" s="17"/>
      <c r="I23" s="42"/>
      <c r="J23" s="10"/>
      <c r="K23" s="41"/>
      <c r="L23" s="68">
        <v>45361</v>
      </c>
      <c r="M23" s="63">
        <v>21800</v>
      </c>
      <c r="N23" s="78" t="s">
        <v>164</v>
      </c>
      <c r="O23" s="78" t="s">
        <v>158</v>
      </c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68">
        <v>45361</v>
      </c>
      <c r="C24" s="15">
        <v>55000</v>
      </c>
      <c r="D24" s="80" t="s">
        <v>152</v>
      </c>
      <c r="E24" s="80" t="s">
        <v>153</v>
      </c>
      <c r="F24" s="17"/>
      <c r="G24" s="17"/>
      <c r="H24" s="17"/>
      <c r="I24" s="42"/>
      <c r="J24" s="10"/>
      <c r="K24" s="41"/>
      <c r="L24" s="68">
        <v>45361</v>
      </c>
      <c r="M24" s="63">
        <v>9730</v>
      </c>
      <c r="N24" s="78" t="s">
        <v>167</v>
      </c>
      <c r="O24" s="78" t="s">
        <v>166</v>
      </c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68">
        <v>45362</v>
      </c>
      <c r="C25" s="15">
        <v>4500</v>
      </c>
      <c r="D25" s="80" t="s">
        <v>165</v>
      </c>
      <c r="E25" s="80" t="s">
        <v>166</v>
      </c>
      <c r="F25" s="17"/>
      <c r="G25" s="17"/>
      <c r="H25" s="17"/>
      <c r="I25" s="42"/>
      <c r="J25" s="10"/>
      <c r="K25" s="41"/>
      <c r="L25" s="68">
        <v>45362</v>
      </c>
      <c r="M25" s="87">
        <f>3900+18810+17900</f>
        <v>40610</v>
      </c>
      <c r="N25" s="78" t="s">
        <v>168</v>
      </c>
      <c r="O25" s="78" t="s">
        <v>166</v>
      </c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68">
        <v>45363</v>
      </c>
      <c r="C26" s="15">
        <v>4500</v>
      </c>
      <c r="D26" s="80" t="s">
        <v>165</v>
      </c>
      <c r="E26" s="80" t="s">
        <v>166</v>
      </c>
      <c r="F26" s="17"/>
      <c r="G26" s="17"/>
      <c r="H26" s="17"/>
      <c r="I26" s="42"/>
      <c r="J26" s="10"/>
      <c r="K26" s="41"/>
      <c r="L26" s="68">
        <v>45363</v>
      </c>
      <c r="M26" s="3">
        <v>25000</v>
      </c>
      <c r="N26" s="78" t="s">
        <v>170</v>
      </c>
      <c r="O26" s="78" t="s">
        <v>171</v>
      </c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68">
        <v>45364</v>
      </c>
      <c r="C27" s="15">
        <v>4500</v>
      </c>
      <c r="D27" s="80" t="s">
        <v>165</v>
      </c>
      <c r="E27" s="80" t="s">
        <v>166</v>
      </c>
      <c r="F27" s="17"/>
      <c r="G27" s="17"/>
      <c r="H27" s="17"/>
      <c r="I27" s="42"/>
      <c r="J27" s="10"/>
      <c r="K27" s="41"/>
      <c r="L27" s="68">
        <v>45364</v>
      </c>
      <c r="M27" s="3">
        <v>18000</v>
      </c>
      <c r="N27" s="78" t="s">
        <v>169</v>
      </c>
      <c r="O27" s="78" t="s">
        <v>171</v>
      </c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68">
        <v>45365</v>
      </c>
      <c r="C28" s="15">
        <v>4500</v>
      </c>
      <c r="D28" s="80" t="s">
        <v>165</v>
      </c>
      <c r="E28" s="80" t="s">
        <v>166</v>
      </c>
      <c r="F28" s="17"/>
      <c r="G28" s="17"/>
      <c r="H28" s="17"/>
      <c r="I28" s="42"/>
      <c r="J28" s="10"/>
      <c r="K28" s="41"/>
      <c r="L28" s="68">
        <v>45365</v>
      </c>
      <c r="M28" s="3">
        <v>1600</v>
      </c>
      <c r="N28" s="78" t="s">
        <v>172</v>
      </c>
      <c r="O28" s="78" t="s">
        <v>166</v>
      </c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68">
        <v>45366</v>
      </c>
      <c r="C29" s="15">
        <v>4500</v>
      </c>
      <c r="D29" s="80" t="s">
        <v>165</v>
      </c>
      <c r="E29" s="80" t="s">
        <v>166</v>
      </c>
      <c r="F29" s="17"/>
      <c r="G29" s="17"/>
      <c r="H29" s="17"/>
      <c r="I29" s="42"/>
      <c r="J29" s="10"/>
      <c r="K29" s="41"/>
      <c r="L29" s="68">
        <v>45365</v>
      </c>
      <c r="M29" s="3">
        <f>10700+4700</f>
        <v>15400</v>
      </c>
      <c r="N29" s="78" t="s">
        <v>173</v>
      </c>
      <c r="O29" s="78" t="s">
        <v>174</v>
      </c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68">
        <v>45366</v>
      </c>
      <c r="M30" s="3">
        <f>7200-1715</f>
        <v>5485</v>
      </c>
      <c r="N30" s="78" t="s">
        <v>175</v>
      </c>
      <c r="O30" s="78" t="s">
        <v>174</v>
      </c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10"/>
      <c r="B31" s="14"/>
      <c r="C31" s="15"/>
      <c r="D31" s="16"/>
      <c r="E31" s="16"/>
      <c r="F31" s="17"/>
      <c r="G31" s="17"/>
      <c r="H31" s="17"/>
      <c r="I31" s="42"/>
      <c r="J31" s="10"/>
      <c r="K31" s="41"/>
      <c r="L31" s="68">
        <v>45367</v>
      </c>
      <c r="M31" s="63">
        <v>12000</v>
      </c>
      <c r="N31" s="78" t="s">
        <v>176</v>
      </c>
      <c r="O31" s="78" t="s">
        <v>177</v>
      </c>
      <c r="P31" s="17"/>
      <c r="Q31" s="1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4">
      <c r="A32" s="41"/>
      <c r="B32" s="43"/>
      <c r="C32" s="44"/>
      <c r="D32" s="45"/>
      <c r="E32" s="45"/>
      <c r="F32" s="42"/>
      <c r="G32" s="42"/>
      <c r="H32" s="42"/>
      <c r="I32" s="42"/>
      <c r="J32" s="41"/>
      <c r="K32" s="41"/>
      <c r="L32" s="68">
        <v>45367</v>
      </c>
      <c r="M32" s="86">
        <v>55000</v>
      </c>
      <c r="N32" s="85" t="s">
        <v>165</v>
      </c>
      <c r="O32" s="85" t="s">
        <v>166</v>
      </c>
      <c r="P32" s="42"/>
      <c r="Q32" s="42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x14ac:dyDescent="0.4">
      <c r="A33" s="10"/>
      <c r="B33" s="14"/>
      <c r="C33" s="15"/>
      <c r="D33" s="16"/>
      <c r="E33" s="16"/>
      <c r="F33" s="17"/>
      <c r="G33" s="17"/>
      <c r="H33" s="17"/>
      <c r="I33" s="42"/>
      <c r="J33" s="10"/>
      <c r="K33" s="41"/>
      <c r="L33" s="68">
        <v>45368</v>
      </c>
      <c r="M33" s="63">
        <v>4400</v>
      </c>
      <c r="N33" s="78" t="s">
        <v>178</v>
      </c>
      <c r="O33" s="78" t="s">
        <v>177</v>
      </c>
      <c r="P33" s="17"/>
      <c r="Q33" s="1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84">
        <v>45368</v>
      </c>
      <c r="M34" s="66">
        <v>35000</v>
      </c>
      <c r="N34" s="85" t="s">
        <v>179</v>
      </c>
      <c r="O34" s="85" t="s">
        <v>171</v>
      </c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/>
      <c r="M35" s="64"/>
      <c r="N35" s="65"/>
      <c r="O35" s="65"/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/>
      <c r="M36" s="64"/>
      <c r="N36" s="65"/>
      <c r="O36" s="65"/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/>
      <c r="M37" s="64"/>
      <c r="N37" s="65"/>
      <c r="O37" s="65"/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/>
      <c r="M38" s="64"/>
      <c r="N38" s="65"/>
      <c r="O38" s="65"/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/>
      <c r="M39" s="64"/>
      <c r="N39" s="65"/>
      <c r="O39" s="65"/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/>
      <c r="M40" s="64"/>
      <c r="N40" s="65"/>
      <c r="O40" s="65"/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/>
      <c r="M41" s="64"/>
      <c r="N41" s="65"/>
      <c r="O41" s="65"/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/>
      <c r="M42" s="64"/>
      <c r="N42" s="65"/>
      <c r="O42" s="65"/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/>
      <c r="M43" s="64"/>
      <c r="N43" s="65"/>
      <c r="O43" s="65"/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/>
      <c r="M44" s="64"/>
      <c r="N44" s="65"/>
      <c r="O44" s="65"/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/>
      <c r="M45" s="64"/>
      <c r="N45" s="65"/>
      <c r="O45" s="65"/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/>
      <c r="M46" s="64"/>
      <c r="N46" s="65"/>
      <c r="O46" s="65"/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40"/>
      <c r="M47" s="64"/>
      <c r="N47" s="65"/>
      <c r="O47" s="65"/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40"/>
      <c r="M48" s="64"/>
      <c r="N48" s="65"/>
      <c r="O48" s="65"/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40"/>
      <c r="M49" s="46"/>
      <c r="N49" s="45"/>
      <c r="O49" s="45"/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40"/>
      <c r="M50" s="46"/>
      <c r="N50" s="45"/>
      <c r="O50" s="45"/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40"/>
      <c r="M51" s="46"/>
      <c r="N51" s="45"/>
      <c r="O51" s="45"/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40"/>
      <c r="M52" s="46"/>
      <c r="N52" s="45"/>
      <c r="O52" s="45"/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40"/>
      <c r="M53" s="46"/>
      <c r="N53" s="45"/>
      <c r="O53" s="45"/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40"/>
      <c r="M54" s="46"/>
      <c r="N54" s="45"/>
      <c r="O54" s="45"/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40"/>
      <c r="M55" s="46"/>
      <c r="N55" s="45"/>
      <c r="O55" s="45"/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40"/>
      <c r="M56" s="46"/>
      <c r="N56" s="45"/>
      <c r="O56" s="45"/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40"/>
      <c r="M57" s="46"/>
      <c r="N57" s="45"/>
      <c r="O57" s="45"/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40"/>
      <c r="M58" s="46"/>
      <c r="N58" s="45"/>
      <c r="O58" s="45"/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5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41"/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41"/>
      <c r="B65" s="43"/>
      <c r="C65" s="44"/>
      <c r="D65" s="45"/>
      <c r="E65" s="45"/>
      <c r="F65" s="42"/>
      <c r="G65" s="42"/>
      <c r="H65" s="42"/>
      <c r="I65" s="42"/>
      <c r="J65" s="41"/>
      <c r="K65" s="41"/>
      <c r="L65" s="40"/>
      <c r="M65" s="46"/>
      <c r="N65" s="45"/>
      <c r="O65" s="45"/>
      <c r="P65" s="42"/>
      <c r="Q65" s="42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x14ac:dyDescent="0.4">
      <c r="A66" s="41"/>
      <c r="B66" s="43"/>
      <c r="C66" s="44"/>
      <c r="D66" s="45"/>
      <c r="E66" s="45"/>
      <c r="F66" s="42"/>
      <c r="G66" s="42"/>
      <c r="H66" s="42"/>
      <c r="I66" s="42"/>
      <c r="J66" s="41"/>
      <c r="K66" s="41"/>
      <c r="L66" s="40"/>
      <c r="M66" s="46"/>
      <c r="N66" s="45"/>
      <c r="O66" s="45"/>
      <c r="P66" s="42"/>
      <c r="Q66" s="42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x14ac:dyDescent="0.4">
      <c r="A67" s="10"/>
      <c r="B67" s="14"/>
      <c r="C67" s="15"/>
      <c r="D67" s="16"/>
      <c r="E67" s="16"/>
      <c r="F67" s="17"/>
      <c r="G67" s="17"/>
      <c r="H67" s="17"/>
      <c r="I67" s="42"/>
      <c r="J67" s="10"/>
      <c r="K67" s="41"/>
      <c r="L67" s="40"/>
      <c r="M67" s="31"/>
      <c r="N67" s="16"/>
      <c r="O67" s="16"/>
      <c r="P67" s="17"/>
      <c r="Q67" s="1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x14ac:dyDescent="0.4">
      <c r="A82" s="10"/>
      <c r="B82" s="10"/>
      <c r="C82" s="10"/>
      <c r="D82" s="10"/>
      <c r="E82" s="10"/>
      <c r="F82" s="10"/>
      <c r="G82" s="10"/>
      <c r="H82" s="10"/>
      <c r="I82" s="41"/>
      <c r="J82" s="10"/>
      <c r="K82" s="4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x14ac:dyDescent="0.4">
      <c r="A83" s="10"/>
      <c r="B83" s="10"/>
      <c r="C83" s="10"/>
      <c r="D83" s="10"/>
      <c r="E83" s="10"/>
      <c r="F83" s="10"/>
      <c r="G83" s="10"/>
      <c r="H83" s="10"/>
      <c r="I83" s="41"/>
      <c r="J83" s="10"/>
      <c r="K83" s="4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</sheetData>
  <autoFilter ref="L15:O15" xr:uid="{00000000-0009-0000-0000-000002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20" priority="5" operator="lessThan">
      <formula>0</formula>
    </cfRule>
  </conditionalFormatting>
  <conditionalFormatting sqref="C9:E9 M9:U9">
    <cfRule type="cellIs" dxfId="19" priority="6" operator="lessThan">
      <formula>0</formula>
    </cfRule>
  </conditionalFormatting>
  <conditionalFormatting sqref="F9:L9">
    <cfRule type="cellIs" dxfId="18" priority="2" operator="lessThan">
      <formula>0</formula>
    </cfRule>
  </conditionalFormatting>
  <conditionalFormatting sqref="M12">
    <cfRule type="cellIs" dxfId="17" priority="1" operator="lessThan">
      <formula>0</formula>
    </cfRule>
  </conditionalFormatting>
  <conditionalFormatting sqref="X10">
    <cfRule type="cellIs" dxfId="16" priority="7" operator="lessThan">
      <formula>$X$14</formula>
    </cfRule>
    <cfRule type="cellIs" dxfId="15" priority="8" operator="greaterThan">
      <formula>$X$14</formula>
    </cfRule>
  </conditionalFormatting>
  <conditionalFormatting sqref="X11">
    <cfRule type="cellIs" dxfId="14" priority="3" operator="lessThan">
      <formula>$X$13</formula>
    </cfRule>
    <cfRule type="cellIs" dxfId="13" priority="4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1"/>
  <sheetViews>
    <sheetView zoomScale="80" zoomScaleNormal="80" zoomScaleSheetLayoutView="80" workbookViewId="0">
      <selection activeCell="I8" sqref="I8:J8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104" t="s">
        <v>86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4" t="s">
        <v>21</v>
      </c>
      <c r="O4" s="4"/>
      <c r="Q4" s="4" t="s">
        <v>52</v>
      </c>
      <c r="R4" s="4"/>
      <c r="S4" s="11"/>
      <c r="V4" s="11"/>
      <c r="W4" s="11"/>
      <c r="X4" s="11"/>
      <c r="Y4" s="11"/>
      <c r="Z4" s="11"/>
    </row>
    <row r="5" spans="1:26" x14ac:dyDescent="0.4">
      <c r="A5" s="10"/>
      <c r="B5" s="107" t="s">
        <v>66</v>
      </c>
      <c r="C5" s="108" t="s">
        <v>78</v>
      </c>
      <c r="D5" s="109"/>
      <c r="E5" s="108" t="s">
        <v>53</v>
      </c>
      <c r="F5" s="109"/>
      <c r="G5" s="108" t="s">
        <v>6</v>
      </c>
      <c r="H5" s="109"/>
      <c r="I5" s="108" t="s">
        <v>117</v>
      </c>
      <c r="J5" s="109"/>
      <c r="K5" s="108" t="s">
        <v>96</v>
      </c>
      <c r="L5" s="110"/>
      <c r="M5" s="10"/>
      <c r="N5" s="8" t="s">
        <v>30</v>
      </c>
      <c r="O5" s="7">
        <f>R5+SUM(C8:L8)</f>
        <v>50700000</v>
      </c>
      <c r="Q5" s="8" t="s">
        <v>30</v>
      </c>
      <c r="R5" s="7">
        <f>'2월(자산)'!O5</f>
        <v>48800000</v>
      </c>
      <c r="S5" s="10"/>
      <c r="V5" s="10"/>
      <c r="W5" s="10"/>
      <c r="X5" s="10"/>
      <c r="Y5" s="10"/>
      <c r="Z5" s="10"/>
    </row>
    <row r="6" spans="1:26" x14ac:dyDescent="0.4">
      <c r="A6" s="10"/>
      <c r="B6" s="93"/>
      <c r="C6" s="111" t="s">
        <v>63</v>
      </c>
      <c r="D6" s="112"/>
      <c r="E6" s="113" t="s">
        <v>63</v>
      </c>
      <c r="F6" s="114"/>
      <c r="G6" s="113" t="s">
        <v>18</v>
      </c>
      <c r="H6" s="114"/>
      <c r="I6" s="111" t="s">
        <v>13</v>
      </c>
      <c r="J6" s="112"/>
      <c r="K6" s="25" t="s">
        <v>116</v>
      </c>
      <c r="L6" s="25" t="s">
        <v>19</v>
      </c>
      <c r="M6" s="10"/>
      <c r="N6" s="67" t="s">
        <v>4</v>
      </c>
      <c r="O6" s="69">
        <f>SUM(C9:L9)</f>
        <v>3.72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92</v>
      </c>
      <c r="C7" s="5">
        <v>30000000</v>
      </c>
      <c r="D7" s="5"/>
      <c r="E7" s="102">
        <v>10000000</v>
      </c>
      <c r="F7" s="103"/>
      <c r="G7" s="102">
        <f>SUM('2월(자산)'!G7:H8)</f>
        <v>7000000</v>
      </c>
      <c r="H7" s="103"/>
      <c r="I7" s="5">
        <f>SUM('2월(자산)'!I7:J8)</f>
        <v>2800000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94</v>
      </c>
      <c r="C8" s="5">
        <v>0</v>
      </c>
      <c r="D8" s="5"/>
      <c r="E8" s="102">
        <v>0</v>
      </c>
      <c r="F8" s="103"/>
      <c r="G8" s="102">
        <v>100000</v>
      </c>
      <c r="H8" s="103"/>
      <c r="I8" s="102">
        <v>1800000</v>
      </c>
      <c r="J8" s="103"/>
      <c r="K8" s="7">
        <v>0</v>
      </c>
      <c r="L8" s="7">
        <v>0</v>
      </c>
      <c r="M8" s="10"/>
      <c r="N8" s="4" t="s">
        <v>68</v>
      </c>
      <c r="O8" s="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59</v>
      </c>
      <c r="C9" s="99">
        <v>3.72</v>
      </c>
      <c r="D9" s="100"/>
      <c r="E9" s="5">
        <f>E8*0</f>
        <v>0</v>
      </c>
      <c r="F9" s="5"/>
      <c r="G9" s="101"/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30</v>
      </c>
      <c r="O9" s="7">
        <f>O5-G7</f>
        <v>43700000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  <mergeCell ref="C6:D6"/>
    <mergeCell ref="E6:F6"/>
    <mergeCell ref="G6:H6"/>
    <mergeCell ref="I6:J6"/>
    <mergeCell ref="C7:D7"/>
    <mergeCell ref="E7:F7"/>
    <mergeCell ref="G7:H7"/>
    <mergeCell ref="I7:J7"/>
    <mergeCell ref="N8:O8"/>
    <mergeCell ref="C9:D9"/>
    <mergeCell ref="E9:F9"/>
    <mergeCell ref="G9:H9"/>
    <mergeCell ref="I9:J9"/>
    <mergeCell ref="C8:D8"/>
    <mergeCell ref="E8:F8"/>
    <mergeCell ref="G8:H8"/>
    <mergeCell ref="I8:J8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I81"/>
  <sheetViews>
    <sheetView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N43" sqref="N43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4" t="s">
        <v>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3" t="s">
        <v>121</v>
      </c>
      <c r="C4" s="89"/>
      <c r="D4" s="89"/>
      <c r="E4" s="90"/>
      <c r="F4" s="90"/>
      <c r="G4" s="90"/>
      <c r="H4" s="90"/>
      <c r="I4" s="91"/>
      <c r="J4" s="90"/>
      <c r="K4" s="91"/>
      <c r="L4" s="90"/>
      <c r="M4" s="89"/>
      <c r="N4" s="89"/>
      <c r="O4" s="89"/>
      <c r="P4" s="89"/>
      <c r="Q4" s="89"/>
      <c r="R4" s="89"/>
      <c r="S4" s="89"/>
      <c r="T4" s="89"/>
      <c r="U4" s="92"/>
      <c r="V4" s="11"/>
      <c r="W4" s="4" t="s">
        <v>21</v>
      </c>
      <c r="X4" s="4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93" t="s">
        <v>66</v>
      </c>
      <c r="C5" s="95" t="s">
        <v>10</v>
      </c>
      <c r="D5" s="96"/>
      <c r="E5" s="97" t="s">
        <v>77</v>
      </c>
      <c r="F5" s="97"/>
      <c r="G5" s="97"/>
      <c r="H5" s="97"/>
      <c r="I5" s="97"/>
      <c r="J5" s="97"/>
      <c r="K5" s="97"/>
      <c r="L5" s="97"/>
      <c r="M5" s="95" t="s">
        <v>115</v>
      </c>
      <c r="N5" s="98"/>
      <c r="O5" s="98"/>
      <c r="P5" s="98"/>
      <c r="Q5" s="96"/>
      <c r="R5" s="93" t="s">
        <v>70</v>
      </c>
      <c r="S5" s="95" t="s">
        <v>40</v>
      </c>
      <c r="T5" s="96"/>
      <c r="U5" s="93" t="s">
        <v>108</v>
      </c>
      <c r="V5" s="10"/>
      <c r="W5" s="8" t="s">
        <v>79</v>
      </c>
      <c r="X5" s="7">
        <f>D10</f>
        <v>4715214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94"/>
      <c r="C6" s="8" t="s">
        <v>132</v>
      </c>
      <c r="D6" s="8" t="s">
        <v>20</v>
      </c>
      <c r="E6" s="8" t="s">
        <v>93</v>
      </c>
      <c r="F6" s="8" t="s">
        <v>5</v>
      </c>
      <c r="G6" s="8" t="s">
        <v>137</v>
      </c>
      <c r="H6" s="8" t="s">
        <v>127</v>
      </c>
      <c r="I6" s="49" t="s">
        <v>29</v>
      </c>
      <c r="J6" s="8" t="s">
        <v>8</v>
      </c>
      <c r="K6" s="49" t="s">
        <v>80</v>
      </c>
      <c r="L6" s="8" t="s">
        <v>36</v>
      </c>
      <c r="M6" s="8" t="s">
        <v>128</v>
      </c>
      <c r="N6" s="8" t="s">
        <v>130</v>
      </c>
      <c r="O6" s="20" t="s">
        <v>51</v>
      </c>
      <c r="P6" s="20" t="s">
        <v>73</v>
      </c>
      <c r="Q6" s="20" t="s">
        <v>106</v>
      </c>
      <c r="R6" s="94"/>
      <c r="S6" s="8" t="s">
        <v>117</v>
      </c>
      <c r="T6" s="8" t="s">
        <v>45</v>
      </c>
      <c r="U6" s="94"/>
      <c r="V6" s="10"/>
      <c r="W6" s="8" t="s">
        <v>81</v>
      </c>
      <c r="X6" s="7">
        <f>L10+Q10+R10</f>
        <v>2426136</v>
      </c>
      <c r="Y6" s="10" t="s">
        <v>56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47</v>
      </c>
      <c r="C7" s="6">
        <f>4650214</f>
        <v>4650214</v>
      </c>
      <c r="D7" s="6">
        <v>0</v>
      </c>
      <c r="E7" s="6">
        <v>300000</v>
      </c>
      <c r="F7" s="6">
        <v>120000</v>
      </c>
      <c r="G7" s="6">
        <v>400000</v>
      </c>
      <c r="H7" s="50">
        <v>400000</v>
      </c>
      <c r="I7" s="51">
        <v>0</v>
      </c>
      <c r="J7" s="56" t="s">
        <v>90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6">
        <v>135931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139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94</v>
      </c>
      <c r="C8" s="7">
        <f>4650214</f>
        <v>4650214</v>
      </c>
      <c r="D8" s="7">
        <v>65000</v>
      </c>
      <c r="E8" s="7">
        <v>310189</v>
      </c>
      <c r="F8" s="59">
        <f>+SUMIF($O$16:$O$65,F$6,$M$16:$M$65)</f>
        <v>56490</v>
      </c>
      <c r="G8" s="59">
        <f t="shared" ref="G8:L8" si="0">SUMIF($O$16:$O$65,G$6,$M$16:$M$65)</f>
        <v>196350</v>
      </c>
      <c r="H8" s="60">
        <f t="shared" si="0"/>
        <v>502313</v>
      </c>
      <c r="I8" s="53">
        <f t="shared" si="0"/>
        <v>131193</v>
      </c>
      <c r="J8" s="61">
        <f t="shared" si="0"/>
        <v>1700</v>
      </c>
      <c r="K8" s="53">
        <f t="shared" si="0"/>
        <v>0</v>
      </c>
      <c r="L8" s="53">
        <f t="shared" si="0"/>
        <v>89680</v>
      </c>
      <c r="M8" s="57">
        <v>300000</v>
      </c>
      <c r="N8" s="6">
        <f>34100+24500</f>
        <v>58600</v>
      </c>
      <c r="O8" s="6">
        <v>135931</v>
      </c>
      <c r="P8" s="6">
        <v>500000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SUMIF($E$16:$E$65,U$5,$C$16:$C$65)+SUMIF($O$16:$O$65,U$5,$M$16:$M$65)</f>
        <v>0</v>
      </c>
      <c r="V8" s="10"/>
      <c r="W8" s="8" t="s">
        <v>9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120</v>
      </c>
      <c r="C9" s="7">
        <f>C8-C7</f>
        <v>0</v>
      </c>
      <c r="D9" s="7">
        <f>D8-D7</f>
        <v>65000</v>
      </c>
      <c r="E9" s="52">
        <v>-10189</v>
      </c>
      <c r="F9" s="53">
        <f>F7-F8</f>
        <v>63510</v>
      </c>
      <c r="G9" s="53">
        <f>G7-G8</f>
        <v>203650</v>
      </c>
      <c r="H9" s="53">
        <f>H7-H8</f>
        <v>-102313</v>
      </c>
      <c r="I9" s="53"/>
      <c r="J9" s="53"/>
      <c r="K9" s="53">
        <f t="shared" ref="K9:U9" si="1">K7-K8</f>
        <v>100000</v>
      </c>
      <c r="L9" s="53">
        <f t="shared" si="1"/>
        <v>-89680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-200000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71</v>
      </c>
      <c r="X9" s="7">
        <f>X5-(X6+X7+X8)</f>
        <v>389078</v>
      </c>
      <c r="Y9" s="13" t="s">
        <v>124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4715214</v>
      </c>
      <c r="E10" s="10"/>
      <c r="F10" s="10"/>
      <c r="G10" s="10"/>
      <c r="H10" s="10"/>
      <c r="I10" s="41"/>
      <c r="J10" s="10"/>
      <c r="K10" s="58"/>
      <c r="L10" s="58">
        <f>SUM(E8:L8)</f>
        <v>1287915</v>
      </c>
      <c r="M10" s="17"/>
      <c r="N10" s="17"/>
      <c r="O10" s="18"/>
      <c r="P10" s="18"/>
      <c r="Q10" s="18">
        <f>SUM(M8:Q8)</f>
        <v>1038221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60</v>
      </c>
      <c r="X10" s="23">
        <f>X6/X5</f>
        <v>0.51453359274891874</v>
      </c>
      <c r="Y10" s="10" t="s">
        <v>101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37</v>
      </c>
      <c r="X11" s="23">
        <f>X7/X5</f>
        <v>0.4029509583234186</v>
      </c>
      <c r="Y11" s="10" t="s">
        <v>129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8" t="s">
        <v>107</v>
      </c>
      <c r="C12" s="7">
        <f>SUM(C16:C65)</f>
        <v>99000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84</v>
      </c>
      <c r="X13" s="19">
        <v>0.5</v>
      </c>
      <c r="Y13" s="7">
        <f>X5*X13</f>
        <v>2357607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5" t="s">
        <v>76</v>
      </c>
      <c r="C14" s="5"/>
      <c r="D14" s="5"/>
      <c r="E14" s="5"/>
      <c r="F14" s="17" t="s">
        <v>3</v>
      </c>
      <c r="G14" s="17"/>
      <c r="H14" s="17"/>
      <c r="I14" s="47"/>
      <c r="J14" s="11"/>
      <c r="K14" s="55"/>
      <c r="L14" s="5" t="s">
        <v>111</v>
      </c>
      <c r="M14" s="5"/>
      <c r="N14" s="5"/>
      <c r="O14" s="5"/>
      <c r="P14" s="11"/>
      <c r="Q14" s="11"/>
      <c r="R14" s="11"/>
      <c r="S14" s="11"/>
      <c r="T14" s="11"/>
      <c r="U14" s="11"/>
      <c r="V14" s="11"/>
      <c r="W14" s="8" t="s">
        <v>43</v>
      </c>
      <c r="X14" s="19">
        <v>0.5</v>
      </c>
      <c r="Y14" s="7">
        <f>X5*X14</f>
        <v>2357607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102</v>
      </c>
      <c r="C15" s="8" t="s">
        <v>0</v>
      </c>
      <c r="D15" s="8" t="s">
        <v>91</v>
      </c>
      <c r="E15" s="8" t="s">
        <v>66</v>
      </c>
      <c r="F15" s="17"/>
      <c r="G15" s="17"/>
      <c r="H15" s="17"/>
      <c r="I15" s="42"/>
      <c r="J15" s="10"/>
      <c r="K15" s="41"/>
      <c r="L15" s="8" t="s">
        <v>102</v>
      </c>
      <c r="M15" s="8" t="s">
        <v>0</v>
      </c>
      <c r="N15" s="8" t="s">
        <v>91</v>
      </c>
      <c r="O15" s="8" t="s">
        <v>66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26">
        <v>45321</v>
      </c>
      <c r="C16" s="15">
        <v>50000</v>
      </c>
      <c r="D16" s="16" t="s">
        <v>44</v>
      </c>
      <c r="E16" s="16" t="s">
        <v>8</v>
      </c>
      <c r="F16" s="22"/>
      <c r="G16" s="22"/>
      <c r="H16" s="22"/>
      <c r="I16" s="48"/>
      <c r="J16" s="10"/>
      <c r="K16" s="41"/>
      <c r="L16" s="26">
        <v>45330</v>
      </c>
      <c r="M16" s="3">
        <v>89680</v>
      </c>
      <c r="N16" s="1" t="s">
        <v>26</v>
      </c>
      <c r="O16" s="1" t="s">
        <v>36</v>
      </c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26">
        <v>45321</v>
      </c>
      <c r="C17" s="15">
        <v>4500</v>
      </c>
      <c r="D17" s="16" t="s">
        <v>14</v>
      </c>
      <c r="E17" s="16" t="s">
        <v>137</v>
      </c>
      <c r="F17" s="17"/>
      <c r="G17" s="17"/>
      <c r="H17" s="17"/>
      <c r="I17" s="42"/>
      <c r="J17" s="10"/>
      <c r="K17" s="41"/>
      <c r="L17" s="30">
        <v>45330</v>
      </c>
      <c r="M17" s="31">
        <v>54630</v>
      </c>
      <c r="N17" s="28" t="s">
        <v>97</v>
      </c>
      <c r="O17" s="16" t="s">
        <v>137</v>
      </c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26">
        <v>45322</v>
      </c>
      <c r="C18" s="15">
        <v>4500</v>
      </c>
      <c r="D18" s="16" t="s">
        <v>14</v>
      </c>
      <c r="E18" s="16" t="s">
        <v>137</v>
      </c>
      <c r="F18" s="17"/>
      <c r="G18" s="17"/>
      <c r="H18" s="17"/>
      <c r="I18" s="42"/>
      <c r="J18" s="10"/>
      <c r="K18" s="41"/>
      <c r="L18" s="30">
        <v>45331</v>
      </c>
      <c r="M18" s="31">
        <v>22300</v>
      </c>
      <c r="N18" s="16" t="s">
        <v>14</v>
      </c>
      <c r="O18" s="16" t="s">
        <v>137</v>
      </c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26">
        <v>45322</v>
      </c>
      <c r="C19" s="15">
        <v>1200</v>
      </c>
      <c r="D19" s="16" t="s">
        <v>64</v>
      </c>
      <c r="E19" s="16" t="s">
        <v>8</v>
      </c>
      <c r="F19" s="17"/>
      <c r="G19" s="17"/>
      <c r="H19" s="17"/>
      <c r="I19" s="42"/>
      <c r="J19" s="10"/>
      <c r="K19" s="41"/>
      <c r="L19" s="30">
        <v>45331</v>
      </c>
      <c r="M19" s="31">
        <v>77300</v>
      </c>
      <c r="N19" s="28" t="s">
        <v>97</v>
      </c>
      <c r="O19" s="16" t="s">
        <v>127</v>
      </c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26">
        <v>45323</v>
      </c>
      <c r="C20" s="15">
        <v>4500</v>
      </c>
      <c r="D20" s="16" t="s">
        <v>14</v>
      </c>
      <c r="E20" s="16" t="s">
        <v>137</v>
      </c>
      <c r="F20" s="17"/>
      <c r="G20" s="17"/>
      <c r="H20" s="17"/>
      <c r="I20" s="42"/>
      <c r="J20" s="10"/>
      <c r="K20" s="41"/>
      <c r="L20" s="30">
        <v>45332</v>
      </c>
      <c r="M20" s="31">
        <v>7550</v>
      </c>
      <c r="N20" s="16" t="s">
        <v>15</v>
      </c>
      <c r="O20" s="16" t="s">
        <v>137</v>
      </c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26">
        <v>45323</v>
      </c>
      <c r="C21" s="15">
        <v>4000</v>
      </c>
      <c r="D21" s="16" t="s">
        <v>97</v>
      </c>
      <c r="E21" s="16" t="s">
        <v>137</v>
      </c>
      <c r="F21" s="17"/>
      <c r="G21" s="17"/>
      <c r="H21" s="17"/>
      <c r="I21" s="42"/>
      <c r="J21" s="10"/>
      <c r="K21" s="41"/>
      <c r="L21" s="30">
        <v>45334</v>
      </c>
      <c r="M21" s="31">
        <f>13900+5800+600</f>
        <v>20300</v>
      </c>
      <c r="N21" s="28" t="s">
        <v>97</v>
      </c>
      <c r="O21" s="16" t="s">
        <v>137</v>
      </c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26">
        <v>45346</v>
      </c>
      <c r="C22" s="15">
        <f>28500+1800</f>
        <v>30300</v>
      </c>
      <c r="D22" s="16" t="s">
        <v>39</v>
      </c>
      <c r="E22" s="16" t="s">
        <v>29</v>
      </c>
      <c r="F22" s="17"/>
      <c r="G22" s="17"/>
      <c r="H22" s="17"/>
      <c r="I22" s="42"/>
      <c r="J22" s="10"/>
      <c r="K22" s="41"/>
      <c r="L22" s="30">
        <v>45334</v>
      </c>
      <c r="M22" s="31">
        <v>11900</v>
      </c>
      <c r="N22" s="16" t="s">
        <v>15</v>
      </c>
      <c r="O22" s="16" t="s">
        <v>127</v>
      </c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2"/>
      <c r="C23" s="15"/>
      <c r="D23" s="16"/>
      <c r="E23" s="16"/>
      <c r="F23" s="17"/>
      <c r="G23" s="17"/>
      <c r="H23" s="17"/>
      <c r="I23" s="42"/>
      <c r="J23" s="10"/>
      <c r="K23" s="41"/>
      <c r="L23" s="30">
        <v>45335</v>
      </c>
      <c r="M23" s="31">
        <v>2750</v>
      </c>
      <c r="N23" s="16" t="s">
        <v>15</v>
      </c>
      <c r="O23" s="16" t="s">
        <v>127</v>
      </c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2"/>
      <c r="C24" s="15"/>
      <c r="D24" s="16"/>
      <c r="E24" s="16"/>
      <c r="F24" s="17"/>
      <c r="G24" s="17"/>
      <c r="H24" s="17"/>
      <c r="I24" s="42"/>
      <c r="J24" s="10"/>
      <c r="K24" s="41"/>
      <c r="L24" s="30">
        <v>45336</v>
      </c>
      <c r="M24" s="15">
        <v>1600</v>
      </c>
      <c r="N24" s="16" t="s">
        <v>100</v>
      </c>
      <c r="O24" s="16" t="s">
        <v>137</v>
      </c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>
        <v>45336</v>
      </c>
      <c r="M25" s="15">
        <v>4500</v>
      </c>
      <c r="N25" s="16" t="s">
        <v>97</v>
      </c>
      <c r="O25" s="16" t="s">
        <v>137</v>
      </c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14"/>
      <c r="C26" s="15"/>
      <c r="D26" s="16"/>
      <c r="E26" s="16"/>
      <c r="F26" s="17"/>
      <c r="G26" s="17"/>
      <c r="H26" s="17"/>
      <c r="I26" s="42"/>
      <c r="J26" s="10"/>
      <c r="K26" s="41"/>
      <c r="L26" s="30">
        <v>45337</v>
      </c>
      <c r="M26" s="15">
        <f>2900+45000+7660</f>
        <v>55560</v>
      </c>
      <c r="N26" s="28" t="s">
        <v>49</v>
      </c>
      <c r="O26" s="16" t="s">
        <v>127</v>
      </c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>
        <v>45338</v>
      </c>
      <c r="M27" s="15">
        <v>6793</v>
      </c>
      <c r="N27" s="16" t="s">
        <v>85</v>
      </c>
      <c r="O27" s="16" t="s">
        <v>29</v>
      </c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>
        <v>45338</v>
      </c>
      <c r="M28" s="15">
        <v>6250</v>
      </c>
      <c r="N28" s="16" t="s">
        <v>97</v>
      </c>
      <c r="O28" s="16" t="s">
        <v>137</v>
      </c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>
        <v>45339</v>
      </c>
      <c r="M29" s="15">
        <v>31000</v>
      </c>
      <c r="N29" s="28" t="s">
        <v>118</v>
      </c>
      <c r="O29" s="16" t="s">
        <v>127</v>
      </c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40">
        <v>45339</v>
      </c>
      <c r="M30" s="31">
        <v>7970</v>
      </c>
      <c r="N30" s="16" t="s">
        <v>97</v>
      </c>
      <c r="O30" s="16" t="s">
        <v>137</v>
      </c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41"/>
      <c r="B31" s="43"/>
      <c r="C31" s="44"/>
      <c r="D31" s="45"/>
      <c r="E31" s="45"/>
      <c r="F31" s="42"/>
      <c r="G31" s="42"/>
      <c r="H31" s="42"/>
      <c r="I31" s="42"/>
      <c r="J31" s="41"/>
      <c r="K31" s="41"/>
      <c r="L31" s="40">
        <v>45340</v>
      </c>
      <c r="M31" s="46">
        <v>33000</v>
      </c>
      <c r="N31" s="45" t="s">
        <v>31</v>
      </c>
      <c r="O31" s="45" t="s">
        <v>127</v>
      </c>
      <c r="P31" s="42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x14ac:dyDescent="0.4">
      <c r="A32" s="10"/>
      <c r="B32" s="14"/>
      <c r="C32" s="15"/>
      <c r="D32" s="16"/>
      <c r="E32" s="16"/>
      <c r="F32" s="17"/>
      <c r="G32" s="17"/>
      <c r="H32" s="17"/>
      <c r="I32" s="42"/>
      <c r="J32" s="10"/>
      <c r="K32" s="41"/>
      <c r="L32" s="40">
        <v>45340</v>
      </c>
      <c r="M32" s="31">
        <v>23750</v>
      </c>
      <c r="N32" s="16" t="s">
        <v>118</v>
      </c>
      <c r="O32" s="16" t="s">
        <v>127</v>
      </c>
      <c r="P32" s="17"/>
      <c r="Q32" s="1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4">
      <c r="A33" s="41"/>
      <c r="B33" s="43"/>
      <c r="C33" s="44"/>
      <c r="D33" s="45"/>
      <c r="E33" s="45"/>
      <c r="F33" s="42"/>
      <c r="G33" s="42"/>
      <c r="H33" s="42"/>
      <c r="I33" s="42"/>
      <c r="J33" s="41"/>
      <c r="K33" s="41"/>
      <c r="L33" s="40">
        <v>45340</v>
      </c>
      <c r="M33" s="44">
        <v>17700</v>
      </c>
      <c r="N33" s="45" t="s">
        <v>48</v>
      </c>
      <c r="O33" s="45" t="s">
        <v>137</v>
      </c>
      <c r="P33" s="42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>
        <v>45340</v>
      </c>
      <c r="M34" s="46">
        <v>10000</v>
      </c>
      <c r="N34" s="45" t="s">
        <v>55</v>
      </c>
      <c r="O34" s="45" t="s">
        <v>127</v>
      </c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>
        <v>45341</v>
      </c>
      <c r="M35" s="46">
        <v>4400</v>
      </c>
      <c r="N35" s="45" t="s">
        <v>15</v>
      </c>
      <c r="O35" s="45" t="s">
        <v>137</v>
      </c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>
        <v>45341</v>
      </c>
      <c r="M36" s="46">
        <v>18090</v>
      </c>
      <c r="N36" s="45" t="s">
        <v>25</v>
      </c>
      <c r="O36" s="45" t="s">
        <v>5</v>
      </c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>
        <v>45343</v>
      </c>
      <c r="M37" s="46">
        <v>2800</v>
      </c>
      <c r="N37" s="45" t="s">
        <v>41</v>
      </c>
      <c r="O37" s="45" t="s">
        <v>137</v>
      </c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>
        <v>45343</v>
      </c>
      <c r="M38" s="46">
        <v>10800</v>
      </c>
      <c r="N38" s="45" t="s">
        <v>125</v>
      </c>
      <c r="O38" s="45" t="s">
        <v>137</v>
      </c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>
        <v>45345</v>
      </c>
      <c r="M39" s="46">
        <v>62000</v>
      </c>
      <c r="N39" s="45" t="s">
        <v>122</v>
      </c>
      <c r="O39" s="45" t="s">
        <v>29</v>
      </c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>
        <v>45345</v>
      </c>
      <c r="M40" s="46">
        <v>64000</v>
      </c>
      <c r="N40" s="62" t="s">
        <v>49</v>
      </c>
      <c r="O40" s="45" t="s">
        <v>127</v>
      </c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>
        <v>45346</v>
      </c>
      <c r="M41" s="46">
        <v>2200</v>
      </c>
      <c r="N41" s="45" t="s">
        <v>89</v>
      </c>
      <c r="O41" s="45" t="s">
        <v>127</v>
      </c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>
        <v>45346</v>
      </c>
      <c r="M42" s="46">
        <v>10000</v>
      </c>
      <c r="N42" s="45" t="s">
        <v>2</v>
      </c>
      <c r="O42" s="45" t="s">
        <v>127</v>
      </c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>
        <v>45346</v>
      </c>
      <c r="M43" s="46">
        <v>29000</v>
      </c>
      <c r="N43" s="62" t="s">
        <v>118</v>
      </c>
      <c r="O43" s="45" t="s">
        <v>127</v>
      </c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>
        <v>45346</v>
      </c>
      <c r="M44" s="46">
        <v>58000</v>
      </c>
      <c r="N44" s="45" t="s">
        <v>35</v>
      </c>
      <c r="O44" s="45" t="s">
        <v>29</v>
      </c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>
        <v>45346</v>
      </c>
      <c r="M45" s="46">
        <f>4630+18000+3000</f>
        <v>25630</v>
      </c>
      <c r="N45" s="45" t="s">
        <v>65</v>
      </c>
      <c r="O45" s="45" t="s">
        <v>127</v>
      </c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>
        <v>45347</v>
      </c>
      <c r="M46" s="46">
        <v>10000</v>
      </c>
      <c r="N46" s="45" t="s">
        <v>12</v>
      </c>
      <c r="O46" s="45" t="s">
        <v>127</v>
      </c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68">
        <v>45347</v>
      </c>
      <c r="M47" s="46">
        <f>12250+6480</f>
        <v>18730</v>
      </c>
      <c r="N47" s="45" t="s">
        <v>15</v>
      </c>
      <c r="O47" s="45" t="s">
        <v>127</v>
      </c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68">
        <v>45348</v>
      </c>
      <c r="M48" s="46">
        <v>1700</v>
      </c>
      <c r="N48" s="45" t="s">
        <v>104</v>
      </c>
      <c r="O48" s="45" t="s">
        <v>8</v>
      </c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68">
        <v>45349</v>
      </c>
      <c r="M49" s="46">
        <v>38400</v>
      </c>
      <c r="N49" s="45" t="s">
        <v>5</v>
      </c>
      <c r="O49" s="45" t="s">
        <v>5</v>
      </c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68">
        <v>45350</v>
      </c>
      <c r="M50" s="46">
        <v>5700</v>
      </c>
      <c r="N50" s="45" t="s">
        <v>100</v>
      </c>
      <c r="O50" s="45" t="s">
        <v>137</v>
      </c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68">
        <v>45350</v>
      </c>
      <c r="M51" s="46">
        <f>9700+2650</f>
        <v>12350</v>
      </c>
      <c r="N51" s="45" t="s">
        <v>97</v>
      </c>
      <c r="O51" s="45" t="s">
        <v>137</v>
      </c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68">
        <v>45351</v>
      </c>
      <c r="M52" s="46">
        <v>2900</v>
      </c>
      <c r="N52" s="45" t="s">
        <v>100</v>
      </c>
      <c r="O52" s="45" t="s">
        <v>137</v>
      </c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68">
        <v>45351</v>
      </c>
      <c r="M53" s="46">
        <v>73973</v>
      </c>
      <c r="N53" s="45" t="s">
        <v>98</v>
      </c>
      <c r="O53" s="45" t="s">
        <v>127</v>
      </c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68">
        <v>45356</v>
      </c>
      <c r="M54" s="46">
        <v>3900</v>
      </c>
      <c r="N54" s="75" t="s">
        <v>144</v>
      </c>
      <c r="O54" s="75" t="s">
        <v>143</v>
      </c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68">
        <v>45358</v>
      </c>
      <c r="M55" s="46">
        <v>6100</v>
      </c>
      <c r="N55" s="75" t="s">
        <v>141</v>
      </c>
      <c r="O55" s="75" t="s">
        <v>149</v>
      </c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68">
        <v>45358</v>
      </c>
      <c r="M56" s="46">
        <v>19620</v>
      </c>
      <c r="N56" s="75" t="s">
        <v>142</v>
      </c>
      <c r="O56" s="75" t="s">
        <v>143</v>
      </c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68">
        <v>45358</v>
      </c>
      <c r="M57" s="76">
        <v>4400</v>
      </c>
      <c r="N57" s="75" t="s">
        <v>145</v>
      </c>
      <c r="O57" s="75" t="s">
        <v>146</v>
      </c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68">
        <v>45358</v>
      </c>
      <c r="M58" s="46">
        <v>8500</v>
      </c>
      <c r="N58" s="75" t="s">
        <v>147</v>
      </c>
      <c r="O58" s="75" t="s">
        <v>149</v>
      </c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4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77" t="s">
        <v>148</v>
      </c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10"/>
      <c r="B65" s="14"/>
      <c r="C65" s="15"/>
      <c r="D65" s="16"/>
      <c r="E65" s="16"/>
      <c r="F65" s="17"/>
      <c r="G65" s="17"/>
      <c r="H65" s="17"/>
      <c r="I65" s="42"/>
      <c r="J65" s="10"/>
      <c r="K65" s="41"/>
      <c r="L65" s="40"/>
      <c r="M65" s="31"/>
      <c r="N65" s="16"/>
      <c r="O65" s="16"/>
      <c r="P65" s="17"/>
      <c r="Q65" s="1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x14ac:dyDescent="0.4">
      <c r="A66" s="10"/>
      <c r="B66" s="10"/>
      <c r="C66" s="10"/>
      <c r="D66" s="10"/>
      <c r="E66" s="10"/>
      <c r="F66" s="10"/>
      <c r="G66" s="10"/>
      <c r="H66" s="10"/>
      <c r="I66" s="41"/>
      <c r="J66" s="10"/>
      <c r="K66" s="4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4">
      <c r="A67" s="10"/>
      <c r="B67" s="10"/>
      <c r="C67" s="10"/>
      <c r="D67" s="10"/>
      <c r="E67" s="10"/>
      <c r="F67" s="10"/>
      <c r="G67" s="10"/>
      <c r="H67" s="10"/>
      <c r="I67" s="41"/>
      <c r="J67" s="10"/>
      <c r="K67" s="4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</sheetData>
  <autoFilter ref="L15:O15" xr:uid="{00000000-0009-0000-0000-000004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12" priority="11" operator="lessThan">
      <formula>0</formula>
    </cfRule>
  </conditionalFormatting>
  <conditionalFormatting sqref="C9:E9 M9:U9">
    <cfRule type="cellIs" dxfId="11" priority="12" operator="lessThan">
      <formula>0</formula>
    </cfRule>
  </conditionalFormatting>
  <conditionalFormatting sqref="F9:L9">
    <cfRule type="cellIs" dxfId="10" priority="1" operator="lessThan">
      <formula>0</formula>
    </cfRule>
  </conditionalFormatting>
  <conditionalFormatting sqref="X10">
    <cfRule type="cellIs" dxfId="9" priority="13" operator="lessThan">
      <formula>$X$14</formula>
    </cfRule>
    <cfRule type="cellIs" dxfId="8" priority="14" operator="greaterThan">
      <formula>$X$14</formula>
    </cfRule>
  </conditionalFormatting>
  <conditionalFormatting sqref="X11">
    <cfRule type="cellIs" dxfId="7" priority="9" operator="lessThan">
      <formula>$X$13</formula>
    </cfRule>
    <cfRule type="cellIs" dxfId="6" priority="10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1"/>
  <sheetViews>
    <sheetView zoomScale="80" zoomScaleNormal="80" zoomScaleSheetLayoutView="80" workbookViewId="0">
      <selection activeCell="F27" sqref="F27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104" t="s">
        <v>136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4" t="s">
        <v>21</v>
      </c>
      <c r="O4" s="4"/>
      <c r="Q4" s="4" t="s">
        <v>52</v>
      </c>
      <c r="R4" s="4"/>
      <c r="S4" s="11"/>
      <c r="V4" s="11"/>
      <c r="W4" s="11"/>
      <c r="X4" s="11"/>
      <c r="Y4" s="11"/>
      <c r="Z4" s="11"/>
    </row>
    <row r="5" spans="1:26" x14ac:dyDescent="0.4">
      <c r="A5" s="10"/>
      <c r="B5" s="107" t="s">
        <v>66</v>
      </c>
      <c r="C5" s="108" t="s">
        <v>78</v>
      </c>
      <c r="D5" s="109"/>
      <c r="E5" s="108" t="s">
        <v>53</v>
      </c>
      <c r="F5" s="109"/>
      <c r="G5" s="108" t="s">
        <v>6</v>
      </c>
      <c r="H5" s="109"/>
      <c r="I5" s="108" t="s">
        <v>117</v>
      </c>
      <c r="J5" s="109"/>
      <c r="K5" s="108" t="s">
        <v>96</v>
      </c>
      <c r="L5" s="110"/>
      <c r="M5" s="10"/>
      <c r="N5" s="8" t="s">
        <v>30</v>
      </c>
      <c r="O5" s="7">
        <f>R5+SUM(C8:L8)</f>
        <v>48800000</v>
      </c>
      <c r="Q5" s="8" t="s">
        <v>30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93"/>
      <c r="C6" s="111" t="s">
        <v>63</v>
      </c>
      <c r="D6" s="112"/>
      <c r="E6" s="113" t="s">
        <v>63</v>
      </c>
      <c r="F6" s="114"/>
      <c r="G6" s="113" t="s">
        <v>18</v>
      </c>
      <c r="H6" s="114"/>
      <c r="I6" s="111" t="s">
        <v>13</v>
      </c>
      <c r="J6" s="112"/>
      <c r="K6" s="25" t="s">
        <v>116</v>
      </c>
      <c r="L6" s="25" t="s">
        <v>19</v>
      </c>
      <c r="M6" s="10"/>
      <c r="N6" s="8" t="s">
        <v>4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0</v>
      </c>
      <c r="C7" s="5">
        <v>0</v>
      </c>
      <c r="D7" s="5"/>
      <c r="E7" s="102">
        <f>SUM('1월(자산)'!E7:F8)</f>
        <v>39000000</v>
      </c>
      <c r="F7" s="103"/>
      <c r="G7" s="102">
        <f>SUM('1월(자산)'!G7:H8)</f>
        <v>6900000</v>
      </c>
      <c r="H7" s="103"/>
      <c r="I7" s="5">
        <f>SUM('1월(자산)'!I7:J8)</f>
        <v>1000000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94</v>
      </c>
      <c r="C8" s="5">
        <v>0</v>
      </c>
      <c r="D8" s="5"/>
      <c r="E8" s="102">
        <v>0</v>
      </c>
      <c r="F8" s="103"/>
      <c r="G8" s="102">
        <v>100000</v>
      </c>
      <c r="H8" s="103"/>
      <c r="I8" s="5">
        <v>1800000</v>
      </c>
      <c r="J8" s="5"/>
      <c r="K8" s="7">
        <v>0</v>
      </c>
      <c r="L8" s="7">
        <v>0</v>
      </c>
      <c r="M8" s="10"/>
      <c r="N8" s="4" t="s">
        <v>68</v>
      </c>
      <c r="O8" s="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59</v>
      </c>
      <c r="C9" s="5">
        <f>C8*0</f>
        <v>0</v>
      </c>
      <c r="D9" s="5"/>
      <c r="E9" s="5">
        <f>E8*0</f>
        <v>0</v>
      </c>
      <c r="F9" s="5"/>
      <c r="G9" s="5">
        <f>G8*0</f>
        <v>0</v>
      </c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30</v>
      </c>
      <c r="O9" s="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N8:O8"/>
    <mergeCell ref="B2:L2"/>
    <mergeCell ref="E5:F5"/>
    <mergeCell ref="E6:F6"/>
    <mergeCell ref="G5:H5"/>
    <mergeCell ref="G6:H6"/>
    <mergeCell ref="E7:F7"/>
    <mergeCell ref="E8:F8"/>
    <mergeCell ref="B4:L4"/>
    <mergeCell ref="N4:O4"/>
    <mergeCell ref="E9:F9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Q4:R4"/>
    <mergeCell ref="B5:B6"/>
    <mergeCell ref="C5:D5"/>
    <mergeCell ref="I5:J5"/>
    <mergeCell ref="K5:L5"/>
    <mergeCell ref="C6:D6"/>
    <mergeCell ref="I6:J6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G92"/>
  <sheetViews>
    <sheetView zoomScale="80" zoomScaleNormal="80" zoomScaleSheetLayoutView="80" workbookViewId="0">
      <pane xSplit="2" ySplit="15" topLeftCell="C27" activePane="bottomRight" state="frozen"/>
      <selection pane="topRight"/>
      <selection pane="bottomLeft"/>
      <selection pane="bottomRight" activeCell="J10" sqref="J10"/>
    </sheetView>
  </sheetViews>
  <sheetFormatPr defaultColWidth="9"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9" width="10.8984375" customWidth="1"/>
    <col min="10" max="10" width="22.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x14ac:dyDescent="0.4">
      <c r="A2" s="10"/>
      <c r="B2" s="104" t="s">
        <v>22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6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1"/>
      <c r="U4" s="4" t="s">
        <v>21</v>
      </c>
      <c r="V4" s="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107" t="s">
        <v>66</v>
      </c>
      <c r="C5" s="108" t="s">
        <v>10</v>
      </c>
      <c r="D5" s="109"/>
      <c r="E5" s="108" t="s">
        <v>77</v>
      </c>
      <c r="F5" s="110"/>
      <c r="G5" s="110"/>
      <c r="H5" s="110"/>
      <c r="I5" s="110"/>
      <c r="J5" s="109"/>
      <c r="K5" s="108" t="s">
        <v>115</v>
      </c>
      <c r="L5" s="110"/>
      <c r="M5" s="110"/>
      <c r="N5" s="110"/>
      <c r="O5" s="109"/>
      <c r="P5" s="107" t="s">
        <v>70</v>
      </c>
      <c r="Q5" s="108" t="s">
        <v>40</v>
      </c>
      <c r="R5" s="109"/>
      <c r="S5" s="107" t="s">
        <v>108</v>
      </c>
      <c r="T5" s="10"/>
      <c r="U5" s="8" t="s">
        <v>79</v>
      </c>
      <c r="V5" s="7">
        <f>D10</f>
        <v>4562347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94"/>
      <c r="C6" s="8" t="s">
        <v>132</v>
      </c>
      <c r="D6" s="8" t="s">
        <v>20</v>
      </c>
      <c r="E6" s="8" t="s">
        <v>93</v>
      </c>
      <c r="F6" s="8" t="s">
        <v>5</v>
      </c>
      <c r="G6" s="8" t="s">
        <v>72</v>
      </c>
      <c r="H6" s="8" t="s">
        <v>127</v>
      </c>
      <c r="I6" s="8" t="s">
        <v>8</v>
      </c>
      <c r="J6" s="8" t="s">
        <v>80</v>
      </c>
      <c r="K6" s="8" t="s">
        <v>128</v>
      </c>
      <c r="L6" s="8" t="s">
        <v>130</v>
      </c>
      <c r="M6" s="20" t="s">
        <v>51</v>
      </c>
      <c r="N6" s="20" t="s">
        <v>73</v>
      </c>
      <c r="O6" s="20" t="s">
        <v>106</v>
      </c>
      <c r="P6" s="94"/>
      <c r="Q6" s="8" t="s">
        <v>117</v>
      </c>
      <c r="R6" s="8" t="s">
        <v>45</v>
      </c>
      <c r="S6" s="94"/>
      <c r="T6" s="10"/>
      <c r="U6" s="8" t="s">
        <v>81</v>
      </c>
      <c r="V6" s="7">
        <f>J10+O10+P10</f>
        <v>2861506</v>
      </c>
      <c r="W6" s="10" t="s">
        <v>56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47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6">
        <v>400000</v>
      </c>
      <c r="I7" s="24" t="s">
        <v>90</v>
      </c>
      <c r="J7" s="6">
        <v>100000</v>
      </c>
      <c r="K7" s="6">
        <v>200000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50000</v>
      </c>
      <c r="Q7" s="6">
        <v>1000000</v>
      </c>
      <c r="R7" s="6">
        <v>100000</v>
      </c>
      <c r="S7" s="6"/>
      <c r="T7" s="10"/>
      <c r="U7" s="8" t="s">
        <v>139</v>
      </c>
      <c r="V7" s="7">
        <f>R10</f>
        <v>1100000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94</v>
      </c>
      <c r="C8" s="7">
        <f>4129547+34400+298400+100000</f>
        <v>4562347</v>
      </c>
      <c r="D8" s="7">
        <v>0</v>
      </c>
      <c r="E8" s="7">
        <v>468220</v>
      </c>
      <c r="F8" s="7">
        <f>+SUMIF($M$16:$M$78,F$6,$K$16:$K$78)</f>
        <v>124930</v>
      </c>
      <c r="G8" s="7">
        <f>SUMIF($M$16:$M$78,G$6,$K$16:$K$78)</f>
        <v>530715</v>
      </c>
      <c r="H8" s="7">
        <f>SUMIF($M$16:$M$78,H$6,$K$16:$K$78)</f>
        <v>645220</v>
      </c>
      <c r="I8" s="7">
        <f>SUMIF($M$16:$M$72,I$6,$K$16:$K$72)</f>
        <v>82000</v>
      </c>
      <c r="J8" s="7">
        <f>SUMIF($M$16:$M$78,J$6,$K$16:$K$78)</f>
        <v>112200</v>
      </c>
      <c r="K8" s="6">
        <v>200000</v>
      </c>
      <c r="L8" s="6">
        <f>34100+24500</f>
        <v>58600</v>
      </c>
      <c r="M8" s="6">
        <v>135931</v>
      </c>
      <c r="N8" s="6">
        <v>400000</v>
      </c>
      <c r="O8" s="6">
        <f>35000+8690</f>
        <v>43690</v>
      </c>
      <c r="P8" s="7">
        <v>60000</v>
      </c>
      <c r="Q8" s="7">
        <v>1000000</v>
      </c>
      <c r="R8" s="7">
        <v>100000</v>
      </c>
      <c r="S8" s="7">
        <v>660000</v>
      </c>
      <c r="T8" s="10"/>
      <c r="U8" s="8" t="s">
        <v>9</v>
      </c>
      <c r="V8" s="7">
        <f>S8</f>
        <v>660000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120</v>
      </c>
      <c r="C9" s="7">
        <f>C8-C7</f>
        <v>562347</v>
      </c>
      <c r="D9" s="7">
        <f t="shared" ref="D9:R9" si="0">D7-D8</f>
        <v>0</v>
      </c>
      <c r="E9" s="7">
        <f t="shared" si="0"/>
        <v>0</v>
      </c>
      <c r="F9" s="7">
        <f t="shared" si="0"/>
        <v>-4930</v>
      </c>
      <c r="G9" s="27">
        <f t="shared" si="0"/>
        <v>-130715</v>
      </c>
      <c r="H9" s="27">
        <f>H7-H8</f>
        <v>-245220</v>
      </c>
      <c r="I9" s="7">
        <f>I8</f>
        <v>82000</v>
      </c>
      <c r="J9" s="7">
        <f t="shared" si="0"/>
        <v>-12200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-100000</v>
      </c>
      <c r="O9" s="7">
        <f t="shared" si="0"/>
        <v>0</v>
      </c>
      <c r="P9" s="7">
        <f t="shared" si="0"/>
        <v>-10000</v>
      </c>
      <c r="Q9" s="7">
        <f t="shared" si="0"/>
        <v>0</v>
      </c>
      <c r="R9" s="7">
        <f t="shared" si="0"/>
        <v>0</v>
      </c>
      <c r="S9" s="7"/>
      <c r="T9" s="10"/>
      <c r="U9" s="8" t="s">
        <v>71</v>
      </c>
      <c r="V9" s="7">
        <f>V5-(V6+V7+V8)</f>
        <v>-59159</v>
      </c>
      <c r="W9" s="13" t="s">
        <v>124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4562347</v>
      </c>
      <c r="E10" s="10"/>
      <c r="F10" s="10"/>
      <c r="G10" s="10"/>
      <c r="H10" s="10"/>
      <c r="I10" s="10"/>
      <c r="J10" s="18">
        <f>SUM(E8:J8)</f>
        <v>1963285</v>
      </c>
      <c r="K10" s="17"/>
      <c r="L10" s="17"/>
      <c r="M10" s="18"/>
      <c r="N10" s="18"/>
      <c r="O10" s="18">
        <f>SUM(K8:O8)</f>
        <v>838221</v>
      </c>
      <c r="P10" s="18">
        <f>P8</f>
        <v>60000</v>
      </c>
      <c r="Q10" s="17"/>
      <c r="R10" s="18">
        <f>Q8+R8</f>
        <v>1100000</v>
      </c>
      <c r="S10" s="12">
        <f>S8</f>
        <v>660000</v>
      </c>
      <c r="T10" s="10"/>
      <c r="U10" s="8" t="s">
        <v>60</v>
      </c>
      <c r="V10" s="23">
        <f>V6/V5</f>
        <v>0.62720042995414427</v>
      </c>
      <c r="W10" s="10" t="s">
        <v>101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37</v>
      </c>
      <c r="V11" s="23">
        <f>V7/V5</f>
        <v>0.24110397565112868</v>
      </c>
      <c r="W11" s="10" t="s">
        <v>129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107</v>
      </c>
      <c r="C12" s="7">
        <f>SUM(C16:C72)</f>
        <v>314689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84</v>
      </c>
      <c r="V13" s="19">
        <v>0.5</v>
      </c>
      <c r="W13" s="7">
        <f>V5*V13</f>
        <v>2281173.5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5" t="s">
        <v>76</v>
      </c>
      <c r="C14" s="5"/>
      <c r="D14" s="5"/>
      <c r="E14" s="5"/>
      <c r="F14" s="17" t="s">
        <v>3</v>
      </c>
      <c r="G14" s="17"/>
      <c r="H14" s="17"/>
      <c r="I14" s="11"/>
      <c r="J14" s="5" t="s">
        <v>111</v>
      </c>
      <c r="K14" s="5"/>
      <c r="L14" s="5"/>
      <c r="M14" s="5"/>
      <c r="N14" s="11"/>
      <c r="O14" s="11"/>
      <c r="P14" s="11"/>
      <c r="Q14" s="11"/>
      <c r="R14" s="11"/>
      <c r="S14" s="11"/>
      <c r="T14" s="11"/>
      <c r="U14" s="8" t="s">
        <v>43</v>
      </c>
      <c r="V14" s="19">
        <v>0.5</v>
      </c>
      <c r="W14" s="7">
        <f>V5*V14</f>
        <v>2281173.5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102</v>
      </c>
      <c r="C15" s="8" t="s">
        <v>0</v>
      </c>
      <c r="D15" s="8" t="s">
        <v>91</v>
      </c>
      <c r="E15" s="8" t="s">
        <v>66</v>
      </c>
      <c r="F15" s="17"/>
      <c r="G15" s="17"/>
      <c r="H15" s="17"/>
      <c r="I15" s="10"/>
      <c r="J15" s="8" t="s">
        <v>102</v>
      </c>
      <c r="K15" s="8" t="s">
        <v>0</v>
      </c>
      <c r="L15" s="8" t="s">
        <v>91</v>
      </c>
      <c r="M15" s="8" t="s">
        <v>66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45293</v>
      </c>
      <c r="C16" s="15">
        <v>4500</v>
      </c>
      <c r="D16" s="16" t="s">
        <v>14</v>
      </c>
      <c r="E16" s="16" t="s">
        <v>137</v>
      </c>
      <c r="F16" s="22"/>
      <c r="G16" s="22"/>
      <c r="H16" s="22"/>
      <c r="I16" s="10"/>
      <c r="J16" s="26">
        <v>45292</v>
      </c>
      <c r="K16" s="3">
        <v>22500</v>
      </c>
      <c r="L16" s="1" t="s">
        <v>38</v>
      </c>
      <c r="M16" s="1" t="s">
        <v>127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45294</v>
      </c>
      <c r="C17" s="15">
        <v>4500</v>
      </c>
      <c r="D17" s="16" t="s">
        <v>14</v>
      </c>
      <c r="E17" s="16" t="s">
        <v>137</v>
      </c>
      <c r="F17" s="17"/>
      <c r="G17" s="17"/>
      <c r="H17" s="17"/>
      <c r="I17" s="10"/>
      <c r="J17" s="26">
        <v>45292</v>
      </c>
      <c r="K17" s="15">
        <v>1500</v>
      </c>
      <c r="L17" s="16" t="s">
        <v>57</v>
      </c>
      <c r="M17" s="16" t="s">
        <v>72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45295</v>
      </c>
      <c r="C18" s="15">
        <v>19920</v>
      </c>
      <c r="D18" s="16" t="s">
        <v>42</v>
      </c>
      <c r="E18" s="16" t="s">
        <v>137</v>
      </c>
      <c r="F18" s="17"/>
      <c r="G18" s="17"/>
      <c r="H18" s="17"/>
      <c r="I18" s="10"/>
      <c r="J18" s="26">
        <v>45293</v>
      </c>
      <c r="K18" s="15">
        <v>10580</v>
      </c>
      <c r="L18" s="16" t="s">
        <v>15</v>
      </c>
      <c r="M18" s="16" t="s">
        <v>72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45295</v>
      </c>
      <c r="C19" s="15">
        <v>5400</v>
      </c>
      <c r="D19" s="16" t="s">
        <v>14</v>
      </c>
      <c r="E19" s="16" t="s">
        <v>137</v>
      </c>
      <c r="F19" s="17"/>
      <c r="G19" s="17"/>
      <c r="H19" s="17"/>
      <c r="I19" s="10"/>
      <c r="J19" s="26">
        <v>45294</v>
      </c>
      <c r="K19" s="15">
        <v>4500</v>
      </c>
      <c r="L19" s="16" t="s">
        <v>75</v>
      </c>
      <c r="M19" s="16" t="s">
        <v>72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45295</v>
      </c>
      <c r="C20" s="15">
        <v>50000</v>
      </c>
      <c r="D20" s="16" t="s">
        <v>138</v>
      </c>
      <c r="E20" s="16" t="s">
        <v>8</v>
      </c>
      <c r="F20" s="17"/>
      <c r="G20" s="17"/>
      <c r="H20" s="17"/>
      <c r="I20" s="10"/>
      <c r="J20" s="26">
        <v>45295</v>
      </c>
      <c r="K20" s="15">
        <v>6990</v>
      </c>
      <c r="L20" s="16" t="s">
        <v>58</v>
      </c>
      <c r="M20" s="16" t="s">
        <v>72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45295</v>
      </c>
      <c r="C21" s="15">
        <v>22000</v>
      </c>
      <c r="D21" s="16" t="s">
        <v>112</v>
      </c>
      <c r="E21" s="16" t="s">
        <v>36</v>
      </c>
      <c r="F21" s="17"/>
      <c r="G21" s="17"/>
      <c r="H21" s="17"/>
      <c r="I21" s="10"/>
      <c r="J21" s="26">
        <v>45296</v>
      </c>
      <c r="K21" s="15">
        <v>30919</v>
      </c>
      <c r="L21" s="16" t="s">
        <v>69</v>
      </c>
      <c r="M21" s="16" t="s">
        <v>127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6">
        <v>45295</v>
      </c>
      <c r="C22" s="15">
        <v>23219</v>
      </c>
      <c r="D22" s="28" t="s">
        <v>110</v>
      </c>
      <c r="E22" s="16" t="s">
        <v>137</v>
      </c>
      <c r="F22" s="17"/>
      <c r="G22" s="17"/>
      <c r="H22" s="17"/>
      <c r="I22" s="10"/>
      <c r="J22" s="26">
        <v>45296</v>
      </c>
      <c r="K22" s="15">
        <v>82320</v>
      </c>
      <c r="L22" s="16" t="s">
        <v>24</v>
      </c>
      <c r="M22" s="16" t="s">
        <v>5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6">
        <v>45296</v>
      </c>
      <c r="C23" s="15">
        <v>4500</v>
      </c>
      <c r="D23" s="16" t="s">
        <v>14</v>
      </c>
      <c r="E23" s="16" t="s">
        <v>137</v>
      </c>
      <c r="F23" s="17"/>
      <c r="G23" s="17"/>
      <c r="H23" s="17"/>
      <c r="I23" s="10"/>
      <c r="J23" s="26">
        <v>45298</v>
      </c>
      <c r="K23" s="15">
        <v>4000</v>
      </c>
      <c r="L23" s="16" t="s">
        <v>33</v>
      </c>
      <c r="M23" s="16" t="s">
        <v>127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6">
        <v>45297</v>
      </c>
      <c r="C24" s="15">
        <v>30900</v>
      </c>
      <c r="D24" s="16" t="s">
        <v>14</v>
      </c>
      <c r="E24" s="16" t="s">
        <v>137</v>
      </c>
      <c r="F24" s="17"/>
      <c r="G24" s="17"/>
      <c r="H24" s="17"/>
      <c r="I24" s="10"/>
      <c r="J24" s="26">
        <v>45298</v>
      </c>
      <c r="K24" s="15">
        <v>10000</v>
      </c>
      <c r="L24" s="16" t="s">
        <v>27</v>
      </c>
      <c r="M24" s="16" t="s">
        <v>127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6">
        <v>45299</v>
      </c>
      <c r="C25" s="15">
        <v>4500</v>
      </c>
      <c r="D25" s="16" t="s">
        <v>14</v>
      </c>
      <c r="E25" s="16" t="s">
        <v>137</v>
      </c>
      <c r="F25" s="17"/>
      <c r="G25" s="17"/>
      <c r="H25" s="17"/>
      <c r="I25" s="10"/>
      <c r="J25" s="26">
        <v>45298</v>
      </c>
      <c r="K25" s="15">
        <v>39535</v>
      </c>
      <c r="L25" s="16" t="s">
        <v>109</v>
      </c>
      <c r="M25" s="16" t="s">
        <v>72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26">
        <v>45300</v>
      </c>
      <c r="C26" s="15">
        <v>4500</v>
      </c>
      <c r="D26" s="16" t="s">
        <v>14</v>
      </c>
      <c r="E26" s="16" t="s">
        <v>137</v>
      </c>
      <c r="F26" s="17"/>
      <c r="G26" s="17"/>
      <c r="H26" s="17"/>
      <c r="I26" s="10"/>
      <c r="J26" s="26">
        <v>45299</v>
      </c>
      <c r="K26" s="15">
        <v>3150</v>
      </c>
      <c r="L26" s="16" t="s">
        <v>119</v>
      </c>
      <c r="M26" s="16" t="s">
        <v>72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26">
        <v>45301</v>
      </c>
      <c r="C27" s="15">
        <v>4500</v>
      </c>
      <c r="D27" s="16" t="s">
        <v>14</v>
      </c>
      <c r="E27" s="16" t="s">
        <v>137</v>
      </c>
      <c r="F27" s="17"/>
      <c r="G27" s="17"/>
      <c r="H27" s="17"/>
      <c r="I27" s="10"/>
      <c r="J27" s="26">
        <v>45300</v>
      </c>
      <c r="K27" s="15">
        <v>13500</v>
      </c>
      <c r="L27" s="28" t="s">
        <v>110</v>
      </c>
      <c r="M27" s="16" t="s">
        <v>72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26">
        <v>45302</v>
      </c>
      <c r="C28" s="15">
        <v>4500</v>
      </c>
      <c r="D28" s="16" t="s">
        <v>14</v>
      </c>
      <c r="E28" s="16" t="s">
        <v>137</v>
      </c>
      <c r="F28" s="17"/>
      <c r="G28" s="17"/>
      <c r="H28" s="17"/>
      <c r="I28" s="10"/>
      <c r="J28" s="26">
        <v>45302</v>
      </c>
      <c r="K28" s="15">
        <v>5400</v>
      </c>
      <c r="L28" s="16" t="s">
        <v>62</v>
      </c>
      <c r="M28" s="16" t="s">
        <v>127</v>
      </c>
      <c r="N28" s="29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26">
        <v>45303</v>
      </c>
      <c r="C29" s="15">
        <v>4500</v>
      </c>
      <c r="D29" s="16" t="s">
        <v>14</v>
      </c>
      <c r="E29" s="16" t="s">
        <v>137</v>
      </c>
      <c r="F29" s="17"/>
      <c r="G29" s="17"/>
      <c r="H29" s="17"/>
      <c r="I29" s="10"/>
      <c r="J29" s="26">
        <v>45302</v>
      </c>
      <c r="K29" s="15">
        <v>11500</v>
      </c>
      <c r="L29" s="16" t="s">
        <v>126</v>
      </c>
      <c r="M29" s="16" t="s">
        <v>72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26">
        <v>45303</v>
      </c>
      <c r="C30" s="15">
        <v>8910</v>
      </c>
      <c r="D30" s="16" t="s">
        <v>90</v>
      </c>
      <c r="E30" s="16" t="s">
        <v>131</v>
      </c>
      <c r="F30" s="17"/>
      <c r="G30" s="17"/>
      <c r="H30" s="17"/>
      <c r="I30" s="10"/>
      <c r="J30" s="26">
        <v>45303</v>
      </c>
      <c r="K30" s="15">
        <v>2980</v>
      </c>
      <c r="L30" s="16" t="s">
        <v>134</v>
      </c>
      <c r="M30" s="16" t="s">
        <v>72</v>
      </c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26">
        <v>45304</v>
      </c>
      <c r="C31" s="15">
        <v>50000</v>
      </c>
      <c r="D31" s="16" t="s">
        <v>138</v>
      </c>
      <c r="E31" s="16" t="s">
        <v>8</v>
      </c>
      <c r="F31" s="17"/>
      <c r="G31" s="17"/>
      <c r="H31" s="17"/>
      <c r="I31" s="10"/>
      <c r="J31" s="26">
        <v>45303</v>
      </c>
      <c r="K31" s="15">
        <v>50100</v>
      </c>
      <c r="L31" s="16" t="s">
        <v>82</v>
      </c>
      <c r="M31" s="16" t="s">
        <v>80</v>
      </c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26">
        <v>45306</v>
      </c>
      <c r="C32" s="15">
        <v>4500</v>
      </c>
      <c r="D32" s="16" t="s">
        <v>14</v>
      </c>
      <c r="E32" s="16" t="s">
        <v>137</v>
      </c>
      <c r="F32" s="17"/>
      <c r="G32" s="17"/>
      <c r="H32" s="17"/>
      <c r="I32" s="10"/>
      <c r="J32" s="26">
        <v>45303</v>
      </c>
      <c r="K32" s="15">
        <v>62100</v>
      </c>
      <c r="L32" s="16" t="s">
        <v>50</v>
      </c>
      <c r="M32" s="16" t="s">
        <v>80</v>
      </c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26">
        <v>45307</v>
      </c>
      <c r="C33" s="15">
        <v>4500</v>
      </c>
      <c r="D33" s="16" t="s">
        <v>14</v>
      </c>
      <c r="E33" s="16" t="s">
        <v>137</v>
      </c>
      <c r="F33" s="17"/>
      <c r="G33" s="17"/>
      <c r="H33" s="17"/>
      <c r="I33" s="10"/>
      <c r="J33" s="26">
        <v>45303</v>
      </c>
      <c r="K33" s="15">
        <v>35560</v>
      </c>
      <c r="L33" s="16" t="s">
        <v>69</v>
      </c>
      <c r="M33" s="16" t="s">
        <v>127</v>
      </c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26">
        <v>45314</v>
      </c>
      <c r="C34" s="15">
        <v>2500</v>
      </c>
      <c r="D34" s="16" t="s">
        <v>97</v>
      </c>
      <c r="E34" s="16" t="s">
        <v>137</v>
      </c>
      <c r="F34" s="17"/>
      <c r="G34" s="17"/>
      <c r="H34" s="17"/>
      <c r="I34" s="10"/>
      <c r="J34" s="26">
        <v>45304</v>
      </c>
      <c r="K34" s="15">
        <v>36000</v>
      </c>
      <c r="L34" s="16" t="s">
        <v>14</v>
      </c>
      <c r="M34" s="16" t="s">
        <v>72</v>
      </c>
      <c r="N34" s="17"/>
      <c r="O34" s="1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26">
        <v>45315</v>
      </c>
      <c r="C35" s="15">
        <v>36860</v>
      </c>
      <c r="D35" s="28" t="s">
        <v>14</v>
      </c>
      <c r="E35" s="16" t="s">
        <v>137</v>
      </c>
      <c r="F35" s="17"/>
      <c r="G35" s="17"/>
      <c r="H35" s="17"/>
      <c r="I35" s="10"/>
      <c r="J35" s="26">
        <v>45304</v>
      </c>
      <c r="K35" s="15">
        <v>50000</v>
      </c>
      <c r="L35" s="16" t="s">
        <v>113</v>
      </c>
      <c r="M35" s="16" t="s">
        <v>72</v>
      </c>
      <c r="N35" s="17"/>
      <c r="O35" s="1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26">
        <v>45315</v>
      </c>
      <c r="C36" s="15">
        <v>10980</v>
      </c>
      <c r="D36" s="16" t="s">
        <v>58</v>
      </c>
      <c r="E36" s="16" t="s">
        <v>137</v>
      </c>
      <c r="F36" s="17"/>
      <c r="G36" s="17"/>
      <c r="H36" s="17"/>
      <c r="I36" s="10"/>
      <c r="J36" s="26">
        <v>45305</v>
      </c>
      <c r="K36" s="15">
        <v>6600</v>
      </c>
      <c r="L36" s="16" t="s">
        <v>14</v>
      </c>
      <c r="M36" s="16" t="s">
        <v>72</v>
      </c>
      <c r="N36" s="17"/>
      <c r="O36" s="1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26">
        <v>45316</v>
      </c>
      <c r="C37" s="15">
        <v>4500</v>
      </c>
      <c r="D37" s="16" t="s">
        <v>14</v>
      </c>
      <c r="E37" s="16" t="s">
        <v>137</v>
      </c>
      <c r="F37" s="17"/>
      <c r="G37" s="17"/>
      <c r="H37" s="17"/>
      <c r="I37" s="10"/>
      <c r="J37" s="26">
        <v>45305</v>
      </c>
      <c r="K37" s="15">
        <v>33000</v>
      </c>
      <c r="L37" s="16" t="s">
        <v>140</v>
      </c>
      <c r="M37" s="16" t="s">
        <v>127</v>
      </c>
      <c r="N37" s="17"/>
      <c r="O37" s="1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26">
        <v>45317</v>
      </c>
      <c r="C38" s="15">
        <v>4500</v>
      </c>
      <c r="D38" s="16" t="s">
        <v>14</v>
      </c>
      <c r="E38" s="16" t="s">
        <v>137</v>
      </c>
      <c r="F38" s="17"/>
      <c r="G38" s="17"/>
      <c r="H38" s="17"/>
      <c r="I38" s="10"/>
      <c r="J38" s="26">
        <v>45305</v>
      </c>
      <c r="K38" s="15">
        <v>82000</v>
      </c>
      <c r="L38" s="16" t="s">
        <v>32</v>
      </c>
      <c r="M38" s="16" t="s">
        <v>8</v>
      </c>
      <c r="N38" s="17"/>
      <c r="O38" s="1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26"/>
      <c r="C39" s="15"/>
      <c r="D39" s="16"/>
      <c r="E39" s="16"/>
      <c r="F39" s="17"/>
      <c r="G39" s="17"/>
      <c r="H39" s="17"/>
      <c r="I39" s="10"/>
      <c r="J39" s="26">
        <v>45306</v>
      </c>
      <c r="K39" s="15">
        <f>3800+8050</f>
        <v>11850</v>
      </c>
      <c r="L39" s="16" t="s">
        <v>15</v>
      </c>
      <c r="M39" s="16" t="s">
        <v>72</v>
      </c>
      <c r="N39" s="17"/>
      <c r="O39" s="1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26"/>
      <c r="C40" s="15"/>
      <c r="D40" s="16"/>
      <c r="E40" s="16"/>
      <c r="F40" s="17"/>
      <c r="G40" s="17"/>
      <c r="H40" s="17"/>
      <c r="I40" s="10"/>
      <c r="J40" s="26">
        <v>45307</v>
      </c>
      <c r="K40" s="15">
        <v>27700</v>
      </c>
      <c r="L40" s="28" t="s">
        <v>110</v>
      </c>
      <c r="M40" s="16" t="s">
        <v>72</v>
      </c>
      <c r="N40" s="17"/>
      <c r="O40" s="1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26"/>
      <c r="C41" s="15"/>
      <c r="D41" s="16"/>
      <c r="E41" s="16"/>
      <c r="F41" s="17"/>
      <c r="G41" s="17"/>
      <c r="H41" s="17"/>
      <c r="I41" s="10"/>
      <c r="J41" s="26">
        <v>45308</v>
      </c>
      <c r="K41" s="15">
        <v>11400</v>
      </c>
      <c r="L41" s="16" t="s">
        <v>105</v>
      </c>
      <c r="M41" s="16" t="s">
        <v>127</v>
      </c>
      <c r="N41" s="17"/>
      <c r="O41" s="1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26"/>
      <c r="C42" s="15"/>
      <c r="D42" s="16"/>
      <c r="E42" s="16"/>
      <c r="F42" s="17"/>
      <c r="G42" s="17"/>
      <c r="H42" s="17"/>
      <c r="I42" s="10"/>
      <c r="J42" s="26">
        <v>45309</v>
      </c>
      <c r="K42" s="15">
        <v>7300</v>
      </c>
      <c r="L42" s="16" t="s">
        <v>14</v>
      </c>
      <c r="M42" s="16" t="s">
        <v>72</v>
      </c>
      <c r="N42" s="17"/>
      <c r="O42" s="1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26"/>
      <c r="C43" s="15"/>
      <c r="D43" s="16"/>
      <c r="E43" s="16"/>
      <c r="F43" s="17"/>
      <c r="G43" s="17"/>
      <c r="H43" s="17"/>
      <c r="I43" s="10"/>
      <c r="J43" s="26">
        <v>45309</v>
      </c>
      <c r="K43" s="15">
        <v>5990</v>
      </c>
      <c r="L43" s="16" t="s">
        <v>97</v>
      </c>
      <c r="M43" s="16" t="s">
        <v>72</v>
      </c>
      <c r="N43" s="17"/>
      <c r="O43" s="1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26"/>
      <c r="C44" s="15"/>
      <c r="D44" s="16"/>
      <c r="E44" s="16"/>
      <c r="F44" s="17"/>
      <c r="G44" s="17"/>
      <c r="H44" s="17"/>
      <c r="I44" s="10"/>
      <c r="J44" s="26">
        <v>45309</v>
      </c>
      <c r="K44" s="15">
        <v>8450</v>
      </c>
      <c r="L44" s="16" t="s">
        <v>15</v>
      </c>
      <c r="M44" s="16" t="s">
        <v>72</v>
      </c>
      <c r="N44" s="17"/>
      <c r="O44" s="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26"/>
      <c r="C45" s="15"/>
      <c r="D45" s="16"/>
      <c r="E45" s="16"/>
      <c r="F45" s="17"/>
      <c r="G45" s="17"/>
      <c r="H45" s="17"/>
      <c r="I45" s="10"/>
      <c r="J45" s="26">
        <v>45310</v>
      </c>
      <c r="K45" s="15">
        <v>26600</v>
      </c>
      <c r="L45" s="28" t="s">
        <v>14</v>
      </c>
      <c r="M45" s="16" t="s">
        <v>72</v>
      </c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26"/>
      <c r="C46" s="15"/>
      <c r="D46" s="16"/>
      <c r="E46" s="16"/>
      <c r="F46" s="17"/>
      <c r="G46" s="17"/>
      <c r="H46" s="17"/>
      <c r="I46" s="10"/>
      <c r="J46" s="26">
        <v>45310</v>
      </c>
      <c r="K46" s="15">
        <f>87900+12300</f>
        <v>100200</v>
      </c>
      <c r="L46" s="16" t="s">
        <v>74</v>
      </c>
      <c r="M46" s="16" t="s">
        <v>127</v>
      </c>
      <c r="N46" s="17"/>
      <c r="O46" s="1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26"/>
      <c r="C47" s="15"/>
      <c r="D47" s="16"/>
      <c r="E47" s="16"/>
      <c r="F47" s="17"/>
      <c r="G47" s="17"/>
      <c r="H47" s="17"/>
      <c r="I47" s="10"/>
      <c r="J47" s="26">
        <v>45311</v>
      </c>
      <c r="K47" s="15">
        <v>40000</v>
      </c>
      <c r="L47" s="16" t="s">
        <v>61</v>
      </c>
      <c r="M47" s="16" t="s">
        <v>127</v>
      </c>
      <c r="N47" s="17"/>
      <c r="O47" s="1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26"/>
      <c r="C48" s="15"/>
      <c r="D48" s="16"/>
      <c r="E48" s="16"/>
      <c r="F48" s="17"/>
      <c r="G48" s="17"/>
      <c r="H48" s="17"/>
      <c r="I48" s="10"/>
      <c r="J48" s="26">
        <v>45311</v>
      </c>
      <c r="K48" s="15">
        <v>26000</v>
      </c>
      <c r="L48" s="28" t="s">
        <v>118</v>
      </c>
      <c r="M48" s="16" t="s">
        <v>72</v>
      </c>
      <c r="N48" s="17"/>
      <c r="O48" s="1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26"/>
      <c r="C49" s="15"/>
      <c r="D49" s="16"/>
      <c r="E49" s="16"/>
      <c r="F49" s="17"/>
      <c r="G49" s="17"/>
      <c r="H49" s="17"/>
      <c r="I49" s="10"/>
      <c r="J49" s="26">
        <v>45311</v>
      </c>
      <c r="K49" s="15">
        <v>26400</v>
      </c>
      <c r="L49" s="28" t="s">
        <v>65</v>
      </c>
      <c r="M49" s="16" t="s">
        <v>72</v>
      </c>
      <c r="N49" s="17"/>
      <c r="O49" s="1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4">
      <c r="A50" s="10"/>
      <c r="B50" s="26"/>
      <c r="C50" s="15"/>
      <c r="D50" s="16"/>
      <c r="E50" s="16"/>
      <c r="F50" s="17"/>
      <c r="G50" s="17"/>
      <c r="H50" s="17"/>
      <c r="I50" s="10"/>
      <c r="J50" s="26">
        <v>45311</v>
      </c>
      <c r="K50" s="15">
        <v>16110</v>
      </c>
      <c r="L50" s="16" t="s">
        <v>17</v>
      </c>
      <c r="M50" s="16" t="s">
        <v>5</v>
      </c>
      <c r="N50" s="17"/>
      <c r="O50" s="1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4">
      <c r="A51" s="10"/>
      <c r="B51" s="26"/>
      <c r="C51" s="15"/>
      <c r="D51" s="16"/>
      <c r="E51" s="16"/>
      <c r="F51" s="17"/>
      <c r="G51" s="17"/>
      <c r="H51" s="17"/>
      <c r="I51" s="10"/>
      <c r="J51" s="26">
        <v>45312</v>
      </c>
      <c r="K51" s="15">
        <v>17500</v>
      </c>
      <c r="L51" s="16" t="s">
        <v>15</v>
      </c>
      <c r="M51" s="16" t="s">
        <v>72</v>
      </c>
      <c r="N51" s="17"/>
      <c r="O51" s="1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4">
      <c r="A52" s="10"/>
      <c r="B52" s="26"/>
      <c r="C52" s="15"/>
      <c r="D52" s="16"/>
      <c r="E52" s="16"/>
      <c r="F52" s="17"/>
      <c r="G52" s="17"/>
      <c r="H52" s="17"/>
      <c r="I52" s="10"/>
      <c r="J52" s="26">
        <v>45313</v>
      </c>
      <c r="K52" s="15">
        <v>6750</v>
      </c>
      <c r="L52" s="16" t="s">
        <v>15</v>
      </c>
      <c r="M52" s="16" t="s">
        <v>72</v>
      </c>
      <c r="N52" s="17"/>
      <c r="O52" s="1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4">
      <c r="A53" s="10"/>
      <c r="B53" s="26"/>
      <c r="C53" s="15"/>
      <c r="D53" s="16"/>
      <c r="E53" s="16"/>
      <c r="F53" s="17"/>
      <c r="G53" s="17"/>
      <c r="H53" s="17"/>
      <c r="I53" s="10"/>
      <c r="J53" s="26">
        <v>45315</v>
      </c>
      <c r="K53" s="15">
        <v>62000</v>
      </c>
      <c r="L53" s="16" t="s">
        <v>122</v>
      </c>
      <c r="M53" s="16" t="s">
        <v>127</v>
      </c>
      <c r="N53" s="17"/>
      <c r="O53" s="1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4">
      <c r="A54" s="10"/>
      <c r="B54" s="26"/>
      <c r="C54" s="15"/>
      <c r="D54" s="16"/>
      <c r="E54" s="16"/>
      <c r="F54" s="17"/>
      <c r="G54" s="17"/>
      <c r="H54" s="17"/>
      <c r="I54" s="10"/>
      <c r="J54" s="26">
        <v>45315</v>
      </c>
      <c r="K54" s="15">
        <v>14820</v>
      </c>
      <c r="L54" s="16" t="s">
        <v>133</v>
      </c>
      <c r="M54" s="16" t="s">
        <v>127</v>
      </c>
      <c r="N54" s="17"/>
      <c r="O54" s="1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4">
      <c r="A55" s="10"/>
      <c r="B55" s="26"/>
      <c r="C55" s="15"/>
      <c r="D55" s="16"/>
      <c r="E55" s="16"/>
      <c r="F55" s="17"/>
      <c r="G55" s="17"/>
      <c r="H55" s="17"/>
      <c r="I55" s="10"/>
      <c r="J55" s="26">
        <v>45315</v>
      </c>
      <c r="K55" s="15">
        <v>4000</v>
      </c>
      <c r="L55" s="16" t="s">
        <v>15</v>
      </c>
      <c r="M55" s="16" t="s">
        <v>72</v>
      </c>
      <c r="N55" s="17"/>
      <c r="O55" s="1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">
      <c r="A56" s="10"/>
      <c r="B56" s="26"/>
      <c r="C56" s="15"/>
      <c r="D56" s="16"/>
      <c r="E56" s="16"/>
      <c r="F56" s="17"/>
      <c r="G56" s="17"/>
      <c r="H56" s="17"/>
      <c r="I56" s="10"/>
      <c r="J56" s="26">
        <v>45317</v>
      </c>
      <c r="K56" s="15">
        <v>16650</v>
      </c>
      <c r="L56" s="16" t="s">
        <v>15</v>
      </c>
      <c r="M56" s="16" t="s">
        <v>72</v>
      </c>
      <c r="N56" s="17"/>
      <c r="O56" s="1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4">
      <c r="A57" s="10"/>
      <c r="B57" s="26"/>
      <c r="C57" s="15"/>
      <c r="D57" s="16"/>
      <c r="E57" s="16"/>
      <c r="F57" s="17"/>
      <c r="G57" s="17"/>
      <c r="H57" s="17"/>
      <c r="I57" s="10"/>
      <c r="J57" s="26">
        <v>45318</v>
      </c>
      <c r="K57" s="15">
        <f>123800-108800</f>
        <v>15000</v>
      </c>
      <c r="L57" s="16" t="s">
        <v>135</v>
      </c>
      <c r="M57" s="16" t="s">
        <v>127</v>
      </c>
      <c r="N57" s="17"/>
      <c r="O57" s="1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4">
      <c r="A58" s="10"/>
      <c r="B58" s="26"/>
      <c r="C58" s="15"/>
      <c r="D58" s="16"/>
      <c r="E58" s="16"/>
      <c r="F58" s="17"/>
      <c r="G58" s="17"/>
      <c r="H58" s="17"/>
      <c r="I58" s="10"/>
      <c r="J58" s="26">
        <v>45318</v>
      </c>
      <c r="K58" s="15">
        <v>15000</v>
      </c>
      <c r="L58" s="16" t="s">
        <v>83</v>
      </c>
      <c r="M58" s="16" t="s">
        <v>99</v>
      </c>
      <c r="N58" s="17"/>
      <c r="O58" s="1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4">
      <c r="A59" s="10"/>
      <c r="B59" s="26"/>
      <c r="C59" s="15"/>
      <c r="D59" s="16"/>
      <c r="E59" s="16"/>
      <c r="F59" s="17"/>
      <c r="G59" s="17"/>
      <c r="H59" s="17"/>
      <c r="I59" s="10"/>
      <c r="J59" s="26">
        <v>45318</v>
      </c>
      <c r="K59" s="15">
        <v>6950</v>
      </c>
      <c r="L59" s="16" t="s">
        <v>15</v>
      </c>
      <c r="M59" s="16" t="s">
        <v>99</v>
      </c>
      <c r="N59" s="17"/>
      <c r="O59" s="1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4">
      <c r="A60" s="10"/>
      <c r="B60" s="26"/>
      <c r="C60" s="15"/>
      <c r="D60" s="16"/>
      <c r="E60" s="16"/>
      <c r="F60" s="17"/>
      <c r="G60" s="17"/>
      <c r="H60" s="17"/>
      <c r="I60" s="10"/>
      <c r="J60" s="26">
        <v>45318</v>
      </c>
      <c r="K60" s="15">
        <v>21700</v>
      </c>
      <c r="L60" s="28" t="s">
        <v>34</v>
      </c>
      <c r="M60" s="16" t="s">
        <v>72</v>
      </c>
      <c r="N60" s="17"/>
      <c r="O60" s="1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">
      <c r="A61" s="10"/>
      <c r="B61" s="26"/>
      <c r="C61" s="15"/>
      <c r="D61" s="16"/>
      <c r="E61" s="16"/>
      <c r="F61" s="17"/>
      <c r="G61" s="17"/>
      <c r="H61" s="17"/>
      <c r="I61" s="10"/>
      <c r="J61" s="26">
        <v>45319</v>
      </c>
      <c r="K61" s="15">
        <v>18900</v>
      </c>
      <c r="L61" s="28" t="s">
        <v>16</v>
      </c>
      <c r="M61" s="16" t="s">
        <v>72</v>
      </c>
      <c r="N61" s="17"/>
      <c r="O61" s="1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4">
      <c r="A62" s="10"/>
      <c r="B62" s="26"/>
      <c r="C62" s="15"/>
      <c r="D62" s="16"/>
      <c r="E62" s="16"/>
      <c r="F62" s="17"/>
      <c r="G62" s="17"/>
      <c r="H62" s="17"/>
      <c r="I62" s="10"/>
      <c r="J62" s="26">
        <v>45320</v>
      </c>
      <c r="K62" s="15">
        <v>10000</v>
      </c>
      <c r="L62" s="16" t="s">
        <v>95</v>
      </c>
      <c r="M62" s="16" t="s">
        <v>127</v>
      </c>
      <c r="N62" s="17"/>
      <c r="O62" s="1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4">
      <c r="A63" s="10"/>
      <c r="B63" s="26"/>
      <c r="C63" s="15"/>
      <c r="D63" s="16"/>
      <c r="E63" s="16"/>
      <c r="F63" s="17"/>
      <c r="G63" s="17"/>
      <c r="H63" s="17"/>
      <c r="I63" s="10"/>
      <c r="J63" s="26">
        <v>45320</v>
      </c>
      <c r="K63" s="15">
        <v>4350</v>
      </c>
      <c r="L63" s="16" t="s">
        <v>15</v>
      </c>
      <c r="M63" s="16" t="s">
        <v>72</v>
      </c>
      <c r="N63" s="17"/>
      <c r="O63" s="1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4">
      <c r="A64" s="10"/>
      <c r="B64" s="26"/>
      <c r="C64" s="15"/>
      <c r="D64" s="16"/>
      <c r="E64" s="16"/>
      <c r="F64" s="17"/>
      <c r="G64" s="17"/>
      <c r="H64" s="17"/>
      <c r="I64" s="10"/>
      <c r="J64" s="26">
        <v>45321</v>
      </c>
      <c r="K64" s="15">
        <v>26500</v>
      </c>
      <c r="L64" s="16" t="s">
        <v>23</v>
      </c>
      <c r="M64" s="16" t="s">
        <v>5</v>
      </c>
      <c r="N64" s="17"/>
      <c r="O64" s="1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4">
      <c r="A65" s="10"/>
      <c r="B65" s="26"/>
      <c r="C65" s="15"/>
      <c r="D65" s="16"/>
      <c r="E65" s="16"/>
      <c r="F65" s="17"/>
      <c r="G65" s="17"/>
      <c r="H65" s="17"/>
      <c r="I65" s="10"/>
      <c r="J65" s="26">
        <v>45321</v>
      </c>
      <c r="K65" s="15">
        <v>10900</v>
      </c>
      <c r="L65" s="16" t="s">
        <v>97</v>
      </c>
      <c r="M65" s="16" t="s">
        <v>72</v>
      </c>
      <c r="N65" s="17"/>
      <c r="O65" s="1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4">
      <c r="A66" s="10"/>
      <c r="B66" s="26"/>
      <c r="C66" s="15"/>
      <c r="D66" s="16"/>
      <c r="E66" s="16"/>
      <c r="F66" s="17"/>
      <c r="G66" s="17"/>
      <c r="H66" s="17"/>
      <c r="I66" s="10"/>
      <c r="J66" s="26">
        <v>45323</v>
      </c>
      <c r="K66" s="15">
        <v>2985</v>
      </c>
      <c r="L66" s="16" t="s">
        <v>27</v>
      </c>
      <c r="M66" s="16" t="s">
        <v>127</v>
      </c>
      <c r="N66" s="17"/>
      <c r="O66" s="1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4">
      <c r="A67" s="10"/>
      <c r="B67" s="26"/>
      <c r="C67" s="15"/>
      <c r="D67" s="16"/>
      <c r="E67" s="16"/>
      <c r="F67" s="17"/>
      <c r="G67" s="17"/>
      <c r="H67" s="17"/>
      <c r="I67" s="10"/>
      <c r="J67" s="26">
        <v>45324</v>
      </c>
      <c r="K67" s="15">
        <v>104960</v>
      </c>
      <c r="L67" s="16" t="s">
        <v>28</v>
      </c>
      <c r="M67" s="16" t="s">
        <v>127</v>
      </c>
      <c r="N67" s="17"/>
      <c r="O67" s="1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4">
      <c r="A68" s="10"/>
      <c r="B68" s="26"/>
      <c r="C68" s="15"/>
      <c r="D68" s="16"/>
      <c r="E68" s="16"/>
      <c r="F68" s="17"/>
      <c r="G68" s="17"/>
      <c r="H68" s="17"/>
      <c r="I68" s="10"/>
      <c r="J68" s="26">
        <v>45324</v>
      </c>
      <c r="K68" s="15">
        <v>106800</v>
      </c>
      <c r="L68" s="16" t="s">
        <v>123</v>
      </c>
      <c r="M68" s="16" t="s">
        <v>127</v>
      </c>
      <c r="N68" s="17"/>
      <c r="O68" s="1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4">
      <c r="A69" s="10"/>
      <c r="B69" s="26"/>
      <c r="C69" s="15"/>
      <c r="D69" s="16"/>
      <c r="E69" s="16"/>
      <c r="F69" s="17"/>
      <c r="G69" s="17"/>
      <c r="H69" s="17"/>
      <c r="I69" s="10"/>
      <c r="J69" s="26">
        <v>45324</v>
      </c>
      <c r="K69" s="15">
        <v>8000</v>
      </c>
      <c r="L69" s="16" t="s">
        <v>14</v>
      </c>
      <c r="M69" s="16" t="s">
        <v>72</v>
      </c>
      <c r="N69" s="17"/>
      <c r="O69" s="1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4">
      <c r="A70" s="10"/>
      <c r="B70" s="26"/>
      <c r="C70" s="15"/>
      <c r="D70" s="16"/>
      <c r="E70" s="16"/>
      <c r="F70" s="17"/>
      <c r="G70" s="17"/>
      <c r="H70" s="17"/>
      <c r="I70" s="10"/>
      <c r="J70" s="30">
        <v>45325</v>
      </c>
      <c r="K70" s="31">
        <v>21500</v>
      </c>
      <c r="L70" s="16" t="s">
        <v>46</v>
      </c>
      <c r="M70" s="16" t="s">
        <v>72</v>
      </c>
      <c r="N70" s="17"/>
      <c r="O70" s="1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4">
      <c r="A71" s="10"/>
      <c r="B71" s="26"/>
      <c r="C71" s="15"/>
      <c r="D71" s="16"/>
      <c r="E71" s="16"/>
      <c r="F71" s="17"/>
      <c r="G71" s="17"/>
      <c r="H71" s="17"/>
      <c r="I71" s="10"/>
      <c r="J71" s="30">
        <v>45325</v>
      </c>
      <c r="K71" s="31">
        <f>17400+8980</f>
        <v>26380</v>
      </c>
      <c r="L71" s="32" t="s">
        <v>97</v>
      </c>
      <c r="M71" s="33" t="s">
        <v>72</v>
      </c>
      <c r="N71" s="17"/>
      <c r="O71" s="1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">
      <c r="A72" s="10"/>
      <c r="B72" s="26"/>
      <c r="C72" s="15"/>
      <c r="D72" s="16"/>
      <c r="E72" s="16"/>
      <c r="F72" s="17"/>
      <c r="G72" s="17"/>
      <c r="H72" s="17"/>
      <c r="I72" s="10"/>
      <c r="J72" s="30">
        <v>45326</v>
      </c>
      <c r="K72" s="31">
        <v>6250</v>
      </c>
      <c r="L72" s="16" t="s">
        <v>15</v>
      </c>
      <c r="M72" s="16" t="s">
        <v>127</v>
      </c>
      <c r="N72" s="17"/>
      <c r="O72" s="1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4">
      <c r="A73" s="34"/>
      <c r="B73" s="35"/>
      <c r="C73" s="36"/>
      <c r="D73" s="37"/>
      <c r="E73" s="37"/>
      <c r="F73" s="37"/>
      <c r="G73" s="37"/>
      <c r="H73" s="37"/>
      <c r="I73" s="34"/>
      <c r="J73" s="30">
        <v>45327</v>
      </c>
      <c r="K73" s="39">
        <v>82360</v>
      </c>
      <c r="L73" s="33" t="s">
        <v>24</v>
      </c>
      <c r="M73" s="33" t="s">
        <v>90</v>
      </c>
      <c r="N73" s="37"/>
      <c r="O73" s="37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x14ac:dyDescent="0.4">
      <c r="A74" s="34"/>
      <c r="B74" s="35"/>
      <c r="C74" s="36"/>
      <c r="D74" s="37"/>
      <c r="E74" s="37"/>
      <c r="F74" s="37"/>
      <c r="G74" s="37"/>
      <c r="H74" s="37"/>
      <c r="I74" s="34"/>
      <c r="J74" s="30">
        <v>45327</v>
      </c>
      <c r="K74" s="39">
        <v>13500</v>
      </c>
      <c r="L74" s="33" t="s">
        <v>114</v>
      </c>
      <c r="M74" s="33" t="s">
        <v>127</v>
      </c>
      <c r="N74" s="37"/>
      <c r="O74" s="37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 x14ac:dyDescent="0.4">
      <c r="A75" s="34"/>
      <c r="B75" s="35"/>
      <c r="C75" s="36"/>
      <c r="D75" s="37"/>
      <c r="E75" s="37"/>
      <c r="F75" s="37"/>
      <c r="G75" s="37"/>
      <c r="H75" s="37"/>
      <c r="I75" s="34"/>
      <c r="J75" s="30">
        <v>45328</v>
      </c>
      <c r="K75" s="38">
        <v>42460</v>
      </c>
      <c r="L75" s="33" t="s">
        <v>109</v>
      </c>
      <c r="M75" s="33" t="s">
        <v>72</v>
      </c>
      <c r="N75" s="37"/>
      <c r="O75" s="37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3" x14ac:dyDescent="0.4">
      <c r="A76" s="34"/>
      <c r="B76" s="35"/>
      <c r="C76" s="36"/>
      <c r="D76" s="37"/>
      <c r="E76" s="37"/>
      <c r="F76" s="37"/>
      <c r="G76" s="37"/>
      <c r="H76" s="37"/>
      <c r="I76" s="34"/>
      <c r="J76" s="30">
        <v>45328</v>
      </c>
      <c r="K76" s="38">
        <v>6776</v>
      </c>
      <c r="L76" s="33" t="s">
        <v>103</v>
      </c>
      <c r="M76" s="33" t="s">
        <v>127</v>
      </c>
      <c r="N76" s="37"/>
      <c r="O76" s="37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 x14ac:dyDescent="0.4">
      <c r="A77" s="10"/>
      <c r="B77" s="10"/>
      <c r="C77" s="10"/>
      <c r="D77" s="10"/>
      <c r="E77" s="10"/>
      <c r="F77" s="10"/>
      <c r="G77" s="10"/>
      <c r="H77" s="10"/>
      <c r="I77" s="10"/>
      <c r="J77" s="30">
        <v>45329</v>
      </c>
      <c r="K77" s="39">
        <v>4500</v>
      </c>
      <c r="L77" s="33" t="s">
        <v>97</v>
      </c>
      <c r="M77" s="33" t="s">
        <v>72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x14ac:dyDescent="0.4">
      <c r="A78" s="10"/>
      <c r="B78" s="10"/>
      <c r="C78" s="10"/>
      <c r="D78" s="10"/>
      <c r="E78" s="10"/>
      <c r="F78" s="10"/>
      <c r="G78" s="10"/>
      <c r="H78" s="10"/>
      <c r="I78" s="10"/>
      <c r="J78" s="30">
        <v>45329</v>
      </c>
      <c r="K78" s="39">
        <v>9150</v>
      </c>
      <c r="L78" s="33" t="s">
        <v>15</v>
      </c>
      <c r="M78" s="33" t="s">
        <v>127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x14ac:dyDescent="0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8" type="noConversion"/>
  <conditionalFormatting sqref="C12">
    <cfRule type="cellIs" dxfId="5" priority="5" operator="lessThan">
      <formula>0</formula>
    </cfRule>
  </conditionalFormatting>
  <conditionalFormatting sqref="C9:S9">
    <cfRule type="cellIs" dxfId="4" priority="7" operator="lessThan">
      <formula>0</formula>
    </cfRule>
  </conditionalFormatting>
  <conditionalFormatting sqref="V10">
    <cfRule type="cellIs" dxfId="3" priority="9" operator="lessThan">
      <formula>$V$14</formula>
    </cfRule>
    <cfRule type="cellIs" dxfId="2" priority="10" operator="greaterThan">
      <formula>$V$14</formula>
    </cfRule>
  </conditionalFormatting>
  <conditionalFormatting sqref="V11">
    <cfRule type="cellIs" dxfId="1" priority="1" operator="lessThan">
      <formula>$V$13</formula>
    </cfRule>
    <cfRule type="cellIs" dxfId="0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15"/>
  <sheetViews>
    <sheetView zoomScale="80" zoomScaleNormal="80" zoomScaleSheetLayoutView="80" workbookViewId="0">
      <selection activeCell="B2" sqref="B2:L2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34.5" customHeight="1" x14ac:dyDescent="0.4">
      <c r="A2" s="10"/>
      <c r="B2" s="104" t="s">
        <v>88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3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N4" s="4" t="s">
        <v>21</v>
      </c>
      <c r="O4" s="4"/>
      <c r="P4" s="11"/>
      <c r="Q4" s="11"/>
      <c r="R4" s="4" t="s">
        <v>52</v>
      </c>
      <c r="S4" s="4"/>
      <c r="T4" s="11"/>
      <c r="U4" s="11"/>
      <c r="V4" s="11"/>
    </row>
    <row r="5" spans="1:23" x14ac:dyDescent="0.4">
      <c r="A5" s="10"/>
      <c r="B5" s="107" t="s">
        <v>66</v>
      </c>
      <c r="C5" s="108" t="s">
        <v>78</v>
      </c>
      <c r="D5" s="109"/>
      <c r="E5" s="108" t="s">
        <v>53</v>
      </c>
      <c r="F5" s="109"/>
      <c r="G5" s="108" t="s">
        <v>6</v>
      </c>
      <c r="H5" s="109"/>
      <c r="I5" s="108" t="s">
        <v>117</v>
      </c>
      <c r="J5" s="109"/>
      <c r="K5" s="108" t="s">
        <v>96</v>
      </c>
      <c r="L5" s="110"/>
      <c r="N5" s="8" t="s">
        <v>30</v>
      </c>
      <c r="O5" s="7">
        <f>SUM(C7:L7)</f>
        <v>46900000</v>
      </c>
      <c r="P5" s="10"/>
      <c r="Q5" s="10"/>
      <c r="R5" s="8" t="s">
        <v>30</v>
      </c>
      <c r="S5" s="7">
        <v>0</v>
      </c>
      <c r="T5" s="10"/>
      <c r="U5" s="10"/>
      <c r="V5" s="10"/>
    </row>
    <row r="6" spans="1:23" x14ac:dyDescent="0.4">
      <c r="A6" s="10"/>
      <c r="B6" s="93"/>
      <c r="C6" s="111" t="s">
        <v>63</v>
      </c>
      <c r="D6" s="112"/>
      <c r="E6" s="113" t="s">
        <v>63</v>
      </c>
      <c r="F6" s="114"/>
      <c r="G6" s="113" t="s">
        <v>18</v>
      </c>
      <c r="H6" s="114"/>
      <c r="I6" s="111" t="s">
        <v>13</v>
      </c>
      <c r="J6" s="112"/>
      <c r="K6" s="25" t="s">
        <v>116</v>
      </c>
      <c r="L6" s="25" t="s">
        <v>19</v>
      </c>
      <c r="N6" s="8" t="s">
        <v>59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3" x14ac:dyDescent="0.4">
      <c r="A7" s="10"/>
      <c r="B7" s="5" t="s">
        <v>0</v>
      </c>
      <c r="C7" s="5"/>
      <c r="D7" s="5"/>
      <c r="E7" s="5">
        <v>39000000</v>
      </c>
      <c r="F7" s="5"/>
      <c r="G7" s="102">
        <v>6900000</v>
      </c>
      <c r="H7" s="103"/>
      <c r="I7" s="5">
        <v>1000000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x14ac:dyDescent="0.4">
      <c r="A8" s="10"/>
      <c r="B8" s="5" t="s">
        <v>94</v>
      </c>
      <c r="C8" s="5"/>
      <c r="D8" s="5"/>
      <c r="E8" s="5"/>
      <c r="F8" s="5"/>
      <c r="G8" s="102">
        <v>0</v>
      </c>
      <c r="H8" s="103"/>
      <c r="I8" s="5">
        <v>0</v>
      </c>
      <c r="J8" s="5"/>
      <c r="K8" s="7">
        <v>0</v>
      </c>
      <c r="L8" s="7">
        <v>0</v>
      </c>
      <c r="M8" s="10"/>
      <c r="N8" s="4" t="s">
        <v>68</v>
      </c>
      <c r="O8" s="4"/>
      <c r="P8" s="10"/>
      <c r="Q8" s="10"/>
      <c r="R8" s="10"/>
      <c r="S8" s="10"/>
      <c r="T8" s="10"/>
      <c r="U8" s="10"/>
      <c r="V8" s="10"/>
    </row>
    <row r="9" spans="1:23" x14ac:dyDescent="0.4">
      <c r="A9" s="10"/>
      <c r="B9" s="5" t="s">
        <v>59</v>
      </c>
      <c r="C9" s="5">
        <f>C8*0</f>
        <v>0</v>
      </c>
      <c r="D9" s="5"/>
      <c r="E9" s="5">
        <f>E8*0</f>
        <v>0</v>
      </c>
      <c r="F9" s="5"/>
      <c r="G9" s="5">
        <f>G8*0</f>
        <v>0</v>
      </c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30</v>
      </c>
      <c r="O9" s="7">
        <f>O5-G7</f>
        <v>40000000</v>
      </c>
      <c r="P9" s="10"/>
      <c r="Q9" s="10"/>
      <c r="R9" s="10"/>
      <c r="S9" s="10"/>
      <c r="T9" s="10"/>
      <c r="U9" s="10"/>
      <c r="V9" s="10"/>
    </row>
    <row r="10" spans="1:23" x14ac:dyDescent="0.4">
      <c r="O10" s="13"/>
    </row>
    <row r="15" spans="1:23" x14ac:dyDescent="0.4">
      <c r="R15" s="10"/>
      <c r="S15" s="10"/>
      <c r="T15" s="10"/>
      <c r="U15" s="10"/>
      <c r="V15" s="10"/>
      <c r="W15" s="10"/>
    </row>
  </sheetData>
  <mergeCells count="27">
    <mergeCell ref="C5:D5"/>
    <mergeCell ref="N8:O8"/>
    <mergeCell ref="C7:D7"/>
    <mergeCell ref="B2:L2"/>
    <mergeCell ref="G8:H8"/>
    <mergeCell ref="I8:J8"/>
    <mergeCell ref="B5:B6"/>
    <mergeCell ref="C8:D8"/>
    <mergeCell ref="N4:O4"/>
    <mergeCell ref="E5:F5"/>
    <mergeCell ref="G5:H5"/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G9:H9"/>
    <mergeCell ref="I9:J9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4월</vt:lpstr>
      <vt:lpstr>4월(자산)</vt:lpstr>
      <vt:lpstr>3월</vt:lpstr>
      <vt:lpstr>3월(자산)</vt:lpstr>
      <vt:lpstr>2월</vt:lpstr>
      <vt:lpstr>2월(자산)</vt:lpstr>
      <vt:lpstr>1월</vt:lpstr>
      <vt:lpstr>1월(자산)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cp:revision>13</cp:revision>
  <dcterms:created xsi:type="dcterms:W3CDTF">2020-09-01T07:58:34Z</dcterms:created>
  <dcterms:modified xsi:type="dcterms:W3CDTF">2024-03-17T11:03:42Z</dcterms:modified>
  <cp:version>1200.0100.06</cp:version>
</cp:coreProperties>
</file>