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drawings/drawing2.xml" ContentType="application/vnd.openxmlformats-officedocument.drawing+xml"/>
  <Override PartName="/xl/tables/table4.xml" ContentType="application/vnd.openxmlformats-officedocument.spreadsheetml.table+xml"/>
  <Override PartName="/xl/drawings/drawing3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628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DanielPuigboBallut\PASManager\pasrobotics-manage\"/>
    </mc:Choice>
  </mc:AlternateContent>
  <xr:revisionPtr revIDLastSave="0" documentId="8_{284E9086-0906-4CE8-A89D-93A636FF2C9D}" xr6:coauthVersionLast="47" xr6:coauthVersionMax="47" xr10:uidLastSave="{00000000-0000-0000-0000-000000000000}"/>
  <bookViews>
    <workbookView xWindow="3090" yWindow="4035" windowWidth="28770" windowHeight="17400" xr2:uid="{9352D8A3-1C10-4D3E-A731-5E3CEED102F5}"/>
  </bookViews>
  <sheets>
    <sheet name="Calculos" sheetId="1" r:id="rId1"/>
    <sheet name="Desglose" sheetId="7" r:id="rId2"/>
    <sheet name="Desglose 2" sheetId="8" r:id="rId3"/>
    <sheet name="Clientes" sheetId="3" r:id="rId4"/>
    <sheet name="Datos Robots" sheetId="2" r:id="rId5"/>
    <sheet name="Datos Aceites" sheetId="4" r:id="rId6"/>
    <sheet name="Datos Baterias" sheetId="6" r:id="rId7"/>
    <sheet name="Constantes" sheetId="5" r:id="rId8"/>
    <sheet name="Hoja2" sheetId="10" r:id="rId9"/>
  </sheets>
  <definedNames>
    <definedName name="_xleta.IF" hidden="1" xlm="1">#NAME?</definedName>
    <definedName name="_xleta.OR" hidden="1" xlm="1">#NAME?</definedName>
    <definedName name="_xleta.VLOOKUP" hidden="1" xlm="1">#NAME?</definedName>
  </definedNames>
  <calcPr calcId="191028"/>
  <fileRecoveryPr repairLoad="1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E22" i="3" l="1"/>
  <c r="Q6" i="1"/>
  <c r="Q7" i="1"/>
  <c r="Q8" i="1"/>
  <c r="Q9" i="1"/>
  <c r="Q10" i="1"/>
  <c r="Q11" i="1"/>
  <c r="Q12" i="1"/>
  <c r="Q13" i="1"/>
  <c r="Q14" i="1"/>
  <c r="Q15" i="1"/>
  <c r="Q5" i="1"/>
  <c r="K6" i="1"/>
  <c r="O6" i="1" s="1"/>
  <c r="K7" i="1"/>
  <c r="K8" i="1"/>
  <c r="K9" i="1"/>
  <c r="K10" i="1"/>
  <c r="K11" i="1"/>
  <c r="K12" i="1"/>
  <c r="K13" i="1"/>
  <c r="K14" i="1"/>
  <c r="K15" i="1"/>
  <c r="G6" i="1"/>
  <c r="G7" i="1"/>
  <c r="G8" i="1"/>
  <c r="G9" i="1"/>
  <c r="G10" i="1"/>
  <c r="G11" i="1"/>
  <c r="G12" i="1"/>
  <c r="G13" i="1"/>
  <c r="G14" i="1"/>
  <c r="G15" i="1"/>
  <c r="K5" i="1"/>
  <c r="O5" i="1" s="1"/>
  <c r="G5" i="1"/>
  <c r="H7" i="1"/>
  <c r="H8" i="1"/>
  <c r="H9" i="1"/>
  <c r="H10" i="1"/>
  <c r="H11" i="1"/>
  <c r="H12" i="1"/>
  <c r="H13" i="1"/>
  <c r="H14" i="1"/>
  <c r="H15" i="1"/>
  <c r="C23" i="1"/>
  <c r="O7" i="1"/>
  <c r="O8" i="1"/>
  <c r="O9" i="1"/>
  <c r="O10" i="1"/>
  <c r="O11" i="1"/>
  <c r="O12" i="1"/>
  <c r="O13" i="1"/>
  <c r="O14" i="1"/>
  <c r="O15" i="1"/>
  <c r="U25" i="2"/>
  <c r="U26" i="2"/>
  <c r="U37" i="2"/>
  <c r="U38" i="2"/>
  <c r="U39" i="2"/>
  <c r="U42" i="2"/>
  <c r="U43" i="2"/>
  <c r="U44" i="2"/>
  <c r="U45" i="2"/>
  <c r="U46" i="2"/>
  <c r="U47" i="2"/>
  <c r="U48" i="2"/>
  <c r="U49" i="2"/>
  <c r="U50" i="2"/>
  <c r="U51" i="2"/>
  <c r="U52" i="2"/>
  <c r="U53" i="2"/>
  <c r="U54" i="2"/>
  <c r="U55" i="2"/>
  <c r="U56" i="2"/>
  <c r="U57" i="2"/>
  <c r="U58" i="2"/>
  <c r="U59" i="2"/>
  <c r="U60" i="2"/>
  <c r="U61" i="2"/>
  <c r="U62" i="2"/>
  <c r="U63" i="2"/>
  <c r="U64" i="2"/>
  <c r="U65" i="2"/>
  <c r="U66" i="2"/>
  <c r="U67" i="2"/>
  <c r="U68" i="2"/>
  <c r="U69" i="2"/>
  <c r="U70" i="2"/>
  <c r="U71" i="2"/>
  <c r="U72" i="2"/>
  <c r="U73" i="2"/>
  <c r="U74" i="2"/>
  <c r="U75" i="2"/>
  <c r="U76" i="2"/>
  <c r="U77" i="2"/>
  <c r="U78" i="2"/>
  <c r="U79" i="2"/>
  <c r="U80" i="2"/>
  <c r="U81" i="2"/>
  <c r="U82" i="2"/>
  <c r="U83" i="2"/>
  <c r="U84" i="2"/>
  <c r="U86" i="2"/>
  <c r="U88" i="2"/>
  <c r="U90" i="2"/>
  <c r="U91" i="2"/>
  <c r="U92" i="2"/>
  <c r="U93" i="2"/>
  <c r="U94" i="2"/>
  <c r="U95" i="2"/>
  <c r="U96" i="2"/>
  <c r="U97" i="2"/>
  <c r="U98" i="2"/>
  <c r="U99" i="2"/>
  <c r="U100" i="2"/>
  <c r="U101" i="2"/>
  <c r="U102" i="2"/>
  <c r="U103" i="2"/>
  <c r="U104" i="2"/>
  <c r="U105" i="2"/>
  <c r="U106" i="2"/>
  <c r="U107" i="2"/>
  <c r="U108" i="2"/>
  <c r="U110" i="2"/>
  <c r="U111" i="2"/>
  <c r="U112" i="2"/>
  <c r="U113" i="2"/>
  <c r="U114" i="2"/>
  <c r="U115" i="2"/>
  <c r="U116" i="2"/>
  <c r="U117" i="2"/>
  <c r="U118" i="2"/>
  <c r="U119" i="2"/>
  <c r="U120" i="2"/>
  <c r="U121" i="2"/>
  <c r="U122" i="2"/>
  <c r="U123" i="2"/>
  <c r="U124" i="2"/>
  <c r="U125" i="2"/>
  <c r="U126" i="2"/>
  <c r="U127" i="2"/>
  <c r="U128" i="2"/>
  <c r="U129" i="2"/>
  <c r="U130" i="2"/>
  <c r="U131" i="2"/>
  <c r="U132" i="2"/>
  <c r="U133" i="2"/>
  <c r="U134" i="2"/>
  <c r="U135" i="2"/>
  <c r="U136" i="2"/>
  <c r="K25" i="2"/>
  <c r="K4" i="2"/>
  <c r="K5" i="2"/>
  <c r="K6" i="2"/>
  <c r="K7" i="2"/>
  <c r="K8" i="2"/>
  <c r="K9" i="2"/>
  <c r="K10" i="2"/>
  <c r="K11" i="2"/>
  <c r="K12" i="2"/>
  <c r="K13" i="2"/>
  <c r="K14" i="2"/>
  <c r="K15" i="2"/>
  <c r="K16" i="2"/>
  <c r="K17" i="2"/>
  <c r="K18" i="2"/>
  <c r="K19" i="2"/>
  <c r="K20" i="2"/>
  <c r="K21" i="2"/>
  <c r="K22" i="2"/>
  <c r="K23" i="2"/>
  <c r="K24" i="2"/>
  <c r="K26" i="2"/>
  <c r="K27" i="2"/>
  <c r="K28" i="2"/>
  <c r="K29" i="2"/>
  <c r="K30" i="2"/>
  <c r="K31" i="2"/>
  <c r="K32" i="2"/>
  <c r="K33" i="2"/>
  <c r="K34" i="2"/>
  <c r="K35" i="2"/>
  <c r="K36" i="2"/>
  <c r="K37" i="2"/>
  <c r="K38" i="2"/>
  <c r="K39" i="2"/>
  <c r="K42" i="2"/>
  <c r="K43" i="2"/>
  <c r="K44" i="2"/>
  <c r="K45" i="2"/>
  <c r="K46" i="2"/>
  <c r="K47" i="2"/>
  <c r="K48" i="2"/>
  <c r="K49" i="2"/>
  <c r="K50" i="2"/>
  <c r="K51" i="2"/>
  <c r="K52" i="2"/>
  <c r="K53" i="2"/>
  <c r="K54" i="2"/>
  <c r="K55" i="2"/>
  <c r="K56" i="2"/>
  <c r="K57" i="2"/>
  <c r="K58" i="2"/>
  <c r="K59" i="2"/>
  <c r="K60" i="2"/>
  <c r="K61" i="2"/>
  <c r="K62" i="2"/>
  <c r="K63" i="2"/>
  <c r="K64" i="2"/>
  <c r="K65" i="2"/>
  <c r="K66" i="2"/>
  <c r="K67" i="2"/>
  <c r="K68" i="2"/>
  <c r="K69" i="2"/>
  <c r="K70" i="2"/>
  <c r="K71" i="2"/>
  <c r="K72" i="2"/>
  <c r="K73" i="2"/>
  <c r="K74" i="2"/>
  <c r="K75" i="2"/>
  <c r="K76" i="2"/>
  <c r="K77" i="2"/>
  <c r="K78" i="2"/>
  <c r="K79" i="2"/>
  <c r="K80" i="2"/>
  <c r="K81" i="2"/>
  <c r="K82" i="2"/>
  <c r="K83" i="2"/>
  <c r="K84" i="2"/>
  <c r="K86" i="2"/>
  <c r="K88" i="2"/>
  <c r="K90" i="2"/>
  <c r="K91" i="2"/>
  <c r="K92" i="2"/>
  <c r="K93" i="2"/>
  <c r="K94" i="2"/>
  <c r="K95" i="2"/>
  <c r="K96" i="2"/>
  <c r="K97" i="2"/>
  <c r="K98" i="2"/>
  <c r="K99" i="2"/>
  <c r="K100" i="2"/>
  <c r="K101" i="2"/>
  <c r="K102" i="2"/>
  <c r="K103" i="2"/>
  <c r="K104" i="2"/>
  <c r="K105" i="2"/>
  <c r="K106" i="2"/>
  <c r="K107" i="2"/>
  <c r="K108" i="2"/>
  <c r="K110" i="2"/>
  <c r="K111" i="2"/>
  <c r="K112" i="2"/>
  <c r="K113" i="2"/>
  <c r="K114" i="2"/>
  <c r="K115" i="2"/>
  <c r="K116" i="2"/>
  <c r="K117" i="2"/>
  <c r="K118" i="2"/>
  <c r="K119" i="2"/>
  <c r="K120" i="2"/>
  <c r="K121" i="2"/>
  <c r="K122" i="2"/>
  <c r="K123" i="2"/>
  <c r="K124" i="2"/>
  <c r="K125" i="2"/>
  <c r="K126" i="2"/>
  <c r="K127" i="2"/>
  <c r="K128" i="2"/>
  <c r="K129" i="2"/>
  <c r="K130" i="2"/>
  <c r="K131" i="2"/>
  <c r="K132" i="2"/>
  <c r="K133" i="2"/>
  <c r="K134" i="2"/>
  <c r="K135" i="2"/>
  <c r="L118" i="2"/>
  <c r="K136" i="2"/>
  <c r="U80" i="4"/>
  <c r="T80" i="4"/>
  <c r="V80" i="4"/>
  <c r="W80" i="4"/>
  <c r="X80" i="4"/>
  <c r="Y80" i="4"/>
  <c r="Z80" i="4"/>
  <c r="AA80" i="4"/>
  <c r="AB80" i="4"/>
  <c r="AC80" i="4"/>
  <c r="AD80" i="4"/>
  <c r="AE80" i="4"/>
  <c r="AF80" i="4"/>
  <c r="AG80" i="4"/>
  <c r="AH80" i="4"/>
  <c r="AI80" i="4"/>
  <c r="K34" i="1" l="1"/>
  <c r="E45" i="1"/>
  <c r="E71" i="1"/>
  <c r="P15" i="1"/>
  <c r="D16" i="1"/>
  <c r="E76" i="2"/>
  <c r="J15" i="1" l="1"/>
  <c r="L15" i="1" s="1"/>
  <c r="I15" i="1"/>
  <c r="N15" i="1"/>
  <c r="F20" i="1" l="1"/>
  <c r="D23" i="1"/>
  <c r="Q174" i="1"/>
  <c r="P174" i="1"/>
  <c r="O174" i="1"/>
  <c r="N174" i="1"/>
  <c r="L174" i="1"/>
  <c r="K174" i="1"/>
  <c r="J174" i="1"/>
  <c r="H174" i="1"/>
  <c r="G174" i="1"/>
  <c r="Q173" i="1"/>
  <c r="P173" i="1"/>
  <c r="O173" i="1"/>
  <c r="N173" i="1"/>
  <c r="L173" i="1"/>
  <c r="K173" i="1"/>
  <c r="J173" i="1"/>
  <c r="H173" i="1"/>
  <c r="G173" i="1"/>
  <c r="Q172" i="1"/>
  <c r="P172" i="1"/>
  <c r="O172" i="1"/>
  <c r="N172" i="1"/>
  <c r="L172" i="1"/>
  <c r="K172" i="1"/>
  <c r="J172" i="1"/>
  <c r="H172" i="1"/>
  <c r="G172" i="1"/>
  <c r="Q171" i="1"/>
  <c r="P171" i="1"/>
  <c r="O171" i="1"/>
  <c r="N171" i="1"/>
  <c r="L171" i="1"/>
  <c r="K171" i="1"/>
  <c r="J171" i="1"/>
  <c r="H171" i="1"/>
  <c r="G171" i="1"/>
  <c r="Q170" i="1"/>
  <c r="P170" i="1"/>
  <c r="O170" i="1"/>
  <c r="N170" i="1"/>
  <c r="L170" i="1"/>
  <c r="K170" i="1"/>
  <c r="J170" i="1"/>
  <c r="H170" i="1"/>
  <c r="G170" i="1"/>
  <c r="D78" i="1"/>
  <c r="D79" i="1" s="1"/>
  <c r="B40" i="8"/>
  <c r="B41" i="8"/>
  <c r="B39" i="8"/>
  <c r="L16" i="2"/>
  <c r="L26" i="2"/>
  <c r="L84" i="2"/>
  <c r="L81" i="2"/>
  <c r="L80" i="2"/>
  <c r="T41" i="4"/>
  <c r="T42" i="4"/>
  <c r="T43" i="4"/>
  <c r="T44" i="4"/>
  <c r="T45" i="4"/>
  <c r="T46" i="4"/>
  <c r="T40" i="4"/>
  <c r="U41" i="4"/>
  <c r="U42" i="4"/>
  <c r="U43" i="4"/>
  <c r="U44" i="4"/>
  <c r="U45" i="4"/>
  <c r="U46" i="4"/>
  <c r="U40" i="4"/>
  <c r="M46" i="4"/>
  <c r="M45" i="4"/>
  <c r="M44" i="4"/>
  <c r="M43" i="4"/>
  <c r="M42" i="4"/>
  <c r="M41" i="4"/>
  <c r="M40" i="4"/>
  <c r="K46" i="4"/>
  <c r="K45" i="4"/>
  <c r="K44" i="4"/>
  <c r="K43" i="4"/>
  <c r="K42" i="4"/>
  <c r="K41" i="4"/>
  <c r="K40" i="4"/>
  <c r="I41" i="4"/>
  <c r="I42" i="4"/>
  <c r="I43" i="4"/>
  <c r="I44" i="4"/>
  <c r="I45" i="4"/>
  <c r="I46" i="4"/>
  <c r="I40" i="4"/>
  <c r="I78" i="2"/>
  <c r="M78" i="2" s="1"/>
  <c r="L78" i="2"/>
  <c r="I79" i="2"/>
  <c r="M79" i="2" s="1"/>
  <c r="L79" i="2"/>
  <c r="I80" i="2"/>
  <c r="M80" i="2" s="1"/>
  <c r="I81" i="2"/>
  <c r="M81" i="2" s="1"/>
  <c r="I82" i="2"/>
  <c r="M82" i="2" s="1"/>
  <c r="L82" i="2"/>
  <c r="I83" i="2"/>
  <c r="M83" i="2" s="1"/>
  <c r="L83" i="2"/>
  <c r="I84" i="2"/>
  <c r="M84" i="2" s="1"/>
  <c r="P8" i="1"/>
  <c r="V77" i="2"/>
  <c r="V78" i="2"/>
  <c r="V79" i="2"/>
  <c r="V80" i="2"/>
  <c r="V81" i="2"/>
  <c r="V82" i="2"/>
  <c r="V83" i="2"/>
  <c r="V84" i="2"/>
  <c r="V76" i="2"/>
  <c r="W79" i="2"/>
  <c r="W80" i="2"/>
  <c r="W81" i="2"/>
  <c r="W82" i="2"/>
  <c r="W83" i="2"/>
  <c r="W84" i="2"/>
  <c r="V40" i="4"/>
  <c r="W40" i="4"/>
  <c r="X40" i="4"/>
  <c r="Y40" i="4"/>
  <c r="Z40" i="4"/>
  <c r="AA40" i="4"/>
  <c r="AB40" i="4"/>
  <c r="AC40" i="4"/>
  <c r="AD40" i="4"/>
  <c r="AE40" i="4"/>
  <c r="AF40" i="4"/>
  <c r="AG40" i="4"/>
  <c r="AH40" i="4"/>
  <c r="AI40" i="4"/>
  <c r="V41" i="4"/>
  <c r="W41" i="4"/>
  <c r="X41" i="4"/>
  <c r="Y41" i="4"/>
  <c r="Z41" i="4"/>
  <c r="AA41" i="4"/>
  <c r="AB41" i="4"/>
  <c r="AC41" i="4"/>
  <c r="AD41" i="4"/>
  <c r="AE41" i="4"/>
  <c r="AF41" i="4"/>
  <c r="AG41" i="4"/>
  <c r="AH41" i="4"/>
  <c r="AI41" i="4"/>
  <c r="V42" i="4"/>
  <c r="W42" i="4"/>
  <c r="X42" i="4"/>
  <c r="Y42" i="4"/>
  <c r="Z42" i="4"/>
  <c r="AA42" i="4"/>
  <c r="AB42" i="4"/>
  <c r="AC42" i="4"/>
  <c r="AD42" i="4"/>
  <c r="AE42" i="4"/>
  <c r="AF42" i="4"/>
  <c r="AG42" i="4"/>
  <c r="AH42" i="4"/>
  <c r="AI42" i="4"/>
  <c r="V43" i="4"/>
  <c r="W43" i="4"/>
  <c r="X43" i="4"/>
  <c r="Y43" i="4"/>
  <c r="Z43" i="4"/>
  <c r="AA43" i="4"/>
  <c r="AB43" i="4"/>
  <c r="AC43" i="4"/>
  <c r="AD43" i="4"/>
  <c r="AE43" i="4"/>
  <c r="AF43" i="4"/>
  <c r="AG43" i="4"/>
  <c r="AH43" i="4"/>
  <c r="AI43" i="4"/>
  <c r="V44" i="4"/>
  <c r="W44" i="4"/>
  <c r="X44" i="4"/>
  <c r="Y44" i="4"/>
  <c r="Z44" i="4"/>
  <c r="AA44" i="4"/>
  <c r="AB44" i="4"/>
  <c r="AC44" i="4"/>
  <c r="AD44" i="4"/>
  <c r="AE44" i="4"/>
  <c r="AF44" i="4"/>
  <c r="AG44" i="4"/>
  <c r="AH44" i="4"/>
  <c r="AI44" i="4"/>
  <c r="V45" i="4"/>
  <c r="W45" i="4"/>
  <c r="X45" i="4"/>
  <c r="Y45" i="4"/>
  <c r="Z45" i="4"/>
  <c r="AA45" i="4"/>
  <c r="AB45" i="4"/>
  <c r="AC45" i="4"/>
  <c r="AD45" i="4"/>
  <c r="AE45" i="4"/>
  <c r="AF45" i="4"/>
  <c r="AG45" i="4"/>
  <c r="AH45" i="4"/>
  <c r="AI45" i="4"/>
  <c r="V46" i="4"/>
  <c r="W46" i="4"/>
  <c r="X46" i="4"/>
  <c r="Y46" i="4"/>
  <c r="Z46" i="4"/>
  <c r="AA46" i="4"/>
  <c r="AB46" i="4"/>
  <c r="AC46" i="4"/>
  <c r="AD46" i="4"/>
  <c r="AE46" i="4"/>
  <c r="AF46" i="4"/>
  <c r="AG46" i="4"/>
  <c r="AH46" i="4"/>
  <c r="AI46" i="4"/>
  <c r="S84" i="2"/>
  <c r="S83" i="2"/>
  <c r="S82" i="2"/>
  <c r="S81" i="2"/>
  <c r="S80" i="2"/>
  <c r="S79" i="2"/>
  <c r="S78" i="2"/>
  <c r="W78" i="2" s="1"/>
  <c r="E78" i="2"/>
  <c r="G78" i="2" s="1"/>
  <c r="E79" i="2"/>
  <c r="G79" i="2" s="1"/>
  <c r="E80" i="2"/>
  <c r="G80" i="2" s="1"/>
  <c r="E81" i="2"/>
  <c r="G81" i="2" s="1"/>
  <c r="E82" i="2"/>
  <c r="G82" i="2" s="1"/>
  <c r="E83" i="2"/>
  <c r="G83" i="2" s="1"/>
  <c r="E84" i="2"/>
  <c r="G84" i="2" s="1"/>
  <c r="D65" i="1" l="1" a="1"/>
  <c r="D65" i="1" s="1"/>
  <c r="C65" i="1" a="1"/>
  <c r="C65" i="1" s="1"/>
  <c r="E70" i="1" a="1"/>
  <c r="E70" i="1" s="1"/>
  <c r="H46" i="1"/>
  <c r="H47" i="1"/>
  <c r="H48" i="1"/>
  <c r="G46" i="1"/>
  <c r="G47" i="1"/>
  <c r="G48" i="1"/>
  <c r="C3" i="10"/>
  <c r="C4" i="10"/>
  <c r="C5" i="10"/>
  <c r="C6" i="10"/>
  <c r="C7" i="10"/>
  <c r="C8" i="10"/>
  <c r="C9" i="10"/>
  <c r="C10" i="10"/>
  <c r="C11" i="10"/>
  <c r="C12" i="10"/>
  <c r="C13" i="10"/>
  <c r="C14" i="10"/>
  <c r="C15" i="10"/>
  <c r="C16" i="10"/>
  <c r="C17" i="10"/>
  <c r="C18" i="10"/>
  <c r="C19" i="10"/>
  <c r="C20" i="10"/>
  <c r="C21" i="10"/>
  <c r="C22" i="10"/>
  <c r="C23" i="10"/>
  <c r="C24" i="10"/>
  <c r="C25" i="10"/>
  <c r="C26" i="10"/>
  <c r="C27" i="10"/>
  <c r="C28" i="10"/>
  <c r="C29" i="10"/>
  <c r="C30" i="10"/>
  <c r="C31" i="10"/>
  <c r="C32" i="10"/>
  <c r="C33" i="10"/>
  <c r="C34" i="10"/>
  <c r="C35" i="10"/>
  <c r="C36" i="10"/>
  <c r="C37" i="10"/>
  <c r="C38" i="10"/>
  <c r="C39" i="10"/>
  <c r="C40" i="10"/>
  <c r="C41" i="10"/>
  <c r="C42" i="10"/>
  <c r="C43" i="10"/>
  <c r="C44" i="10"/>
  <c r="C45" i="10"/>
  <c r="C46" i="10"/>
  <c r="C47" i="10"/>
  <c r="C48" i="10"/>
  <c r="C49" i="10"/>
  <c r="C50" i="10"/>
  <c r="C51" i="10"/>
  <c r="C52" i="10"/>
  <c r="C53" i="10"/>
  <c r="C54" i="10"/>
  <c r="C55" i="10"/>
  <c r="C56" i="10"/>
  <c r="C57" i="10"/>
  <c r="C58" i="10"/>
  <c r="C59" i="10"/>
  <c r="C60" i="10"/>
  <c r="C61" i="10"/>
  <c r="C62" i="10"/>
  <c r="C63" i="10"/>
  <c r="C64" i="10"/>
  <c r="C65" i="10"/>
  <c r="C66" i="10"/>
  <c r="C2" i="10"/>
  <c r="B69" i="10"/>
  <c r="B68" i="10"/>
  <c r="B81" i="10" l="1"/>
  <c r="B67" i="10"/>
  <c r="C21" i="8" l="1"/>
  <c r="D20" i="1" l="1"/>
  <c r="G20" i="1" s="1"/>
  <c r="C59" i="1" s="1" a="1"/>
  <c r="C59" i="1" s="1"/>
  <c r="H55" i="1" s="1"/>
  <c r="E20" i="1"/>
  <c r="C55" i="1" s="1" a="1"/>
  <c r="C55" i="1" s="1"/>
  <c r="E44" i="1" s="1"/>
  <c r="D24" i="7"/>
  <c r="H5" i="1"/>
  <c r="H6" i="1"/>
  <c r="B37" i="8"/>
  <c r="B38" i="8"/>
  <c r="B36" i="8"/>
  <c r="B43" i="8"/>
  <c r="C20" i="8"/>
  <c r="C17" i="8"/>
  <c r="C16" i="8"/>
  <c r="C7" i="7"/>
  <c r="C11" i="7"/>
  <c r="C6" i="7"/>
  <c r="A147" i="2" a="1"/>
  <c r="A147" i="2" s="1"/>
  <c r="F23" i="1"/>
  <c r="C61" i="1" s="1"/>
  <c r="E25" i="7" s="1"/>
  <c r="E23" i="1"/>
  <c r="D14" i="7" s="1"/>
  <c r="F11" i="6"/>
  <c r="U12" i="1"/>
  <c r="W14" i="1"/>
  <c r="P10" i="1"/>
  <c r="P11" i="1"/>
  <c r="P14" i="1"/>
  <c r="C20" i="1"/>
  <c r="C14" i="8" s="1" a="1"/>
  <c r="C14" i="8" s="1"/>
  <c r="P5" i="1"/>
  <c r="S5" i="1" s="1"/>
  <c r="P6" i="1"/>
  <c r="P7" i="1"/>
  <c r="P9" i="1"/>
  <c r="P12" i="1"/>
  <c r="P13" i="1"/>
  <c r="AI96" i="4"/>
  <c r="AH96" i="4"/>
  <c r="AG96" i="4"/>
  <c r="AF96" i="4"/>
  <c r="AE96" i="4"/>
  <c r="AD96" i="4"/>
  <c r="AC96" i="4"/>
  <c r="AB96" i="4"/>
  <c r="AA96" i="4"/>
  <c r="Z96" i="4"/>
  <c r="Y96" i="4"/>
  <c r="X96" i="4"/>
  <c r="W96" i="4"/>
  <c r="V96" i="4"/>
  <c r="U96" i="4"/>
  <c r="T96" i="4"/>
  <c r="AI95" i="4"/>
  <c r="AH95" i="4"/>
  <c r="AG95" i="4"/>
  <c r="AF95" i="4"/>
  <c r="AE95" i="4"/>
  <c r="AD95" i="4"/>
  <c r="AC95" i="4"/>
  <c r="AB95" i="4"/>
  <c r="AA95" i="4"/>
  <c r="Z95" i="4"/>
  <c r="Y95" i="4"/>
  <c r="X95" i="4"/>
  <c r="W95" i="4"/>
  <c r="V95" i="4"/>
  <c r="U95" i="4"/>
  <c r="T95" i="4"/>
  <c r="AI94" i="4"/>
  <c r="AH94" i="4"/>
  <c r="AG94" i="4"/>
  <c r="AF94" i="4"/>
  <c r="AE94" i="4"/>
  <c r="AD94" i="4"/>
  <c r="AC94" i="4"/>
  <c r="AB94" i="4"/>
  <c r="AA94" i="4"/>
  <c r="Z94" i="4"/>
  <c r="Y94" i="4"/>
  <c r="X94" i="4"/>
  <c r="W94" i="4"/>
  <c r="V94" i="4"/>
  <c r="U94" i="4"/>
  <c r="T94" i="4"/>
  <c r="AI93" i="4"/>
  <c r="AH93" i="4"/>
  <c r="AG93" i="4"/>
  <c r="AF93" i="4"/>
  <c r="AE93" i="4"/>
  <c r="AD93" i="4"/>
  <c r="AC93" i="4"/>
  <c r="AB93" i="4"/>
  <c r="AA93" i="4"/>
  <c r="Z93" i="4"/>
  <c r="Y93" i="4"/>
  <c r="X93" i="4"/>
  <c r="W93" i="4"/>
  <c r="V93" i="4"/>
  <c r="U93" i="4"/>
  <c r="T93" i="4"/>
  <c r="AI92" i="4"/>
  <c r="AH92" i="4"/>
  <c r="AG92" i="4"/>
  <c r="AF92" i="4"/>
  <c r="AE92" i="4"/>
  <c r="AD92" i="4"/>
  <c r="AC92" i="4"/>
  <c r="AB92" i="4"/>
  <c r="AA92" i="4"/>
  <c r="Z92" i="4"/>
  <c r="Y92" i="4"/>
  <c r="X92" i="4"/>
  <c r="W92" i="4"/>
  <c r="V92" i="4"/>
  <c r="U92" i="4"/>
  <c r="T92" i="4"/>
  <c r="AI91" i="4"/>
  <c r="AH91" i="4"/>
  <c r="AG91" i="4"/>
  <c r="AF91" i="4"/>
  <c r="AE91" i="4"/>
  <c r="AD91" i="4"/>
  <c r="AC91" i="4"/>
  <c r="AB91" i="4"/>
  <c r="AA91" i="4"/>
  <c r="Z91" i="4"/>
  <c r="Y91" i="4"/>
  <c r="X91" i="4"/>
  <c r="W91" i="4"/>
  <c r="V91" i="4"/>
  <c r="U91" i="4"/>
  <c r="T91" i="4"/>
  <c r="AI90" i="4"/>
  <c r="AH90" i="4"/>
  <c r="AG90" i="4"/>
  <c r="AF90" i="4"/>
  <c r="AE90" i="4"/>
  <c r="AD90" i="4"/>
  <c r="AC90" i="4"/>
  <c r="AB90" i="4"/>
  <c r="AA90" i="4"/>
  <c r="Z90" i="4"/>
  <c r="Y90" i="4"/>
  <c r="X90" i="4"/>
  <c r="W90" i="4"/>
  <c r="V90" i="4"/>
  <c r="U90" i="4"/>
  <c r="T90" i="4"/>
  <c r="AI89" i="4"/>
  <c r="AH89" i="4"/>
  <c r="AG89" i="4"/>
  <c r="AF89" i="4"/>
  <c r="AE89" i="4"/>
  <c r="AD89" i="4"/>
  <c r="AC89" i="4"/>
  <c r="AB89" i="4"/>
  <c r="AA89" i="4"/>
  <c r="Z89" i="4"/>
  <c r="Y89" i="4"/>
  <c r="X89" i="4"/>
  <c r="W89" i="4"/>
  <c r="V89" i="4"/>
  <c r="U89" i="4"/>
  <c r="T89" i="4"/>
  <c r="AI88" i="4"/>
  <c r="AH88" i="4"/>
  <c r="AG88" i="4"/>
  <c r="AF88" i="4"/>
  <c r="AE88" i="4"/>
  <c r="AD88" i="4"/>
  <c r="AC88" i="4"/>
  <c r="AB88" i="4"/>
  <c r="AA88" i="4"/>
  <c r="Z88" i="4"/>
  <c r="Y88" i="4"/>
  <c r="X88" i="4"/>
  <c r="W88" i="4"/>
  <c r="V88" i="4"/>
  <c r="U88" i="4"/>
  <c r="T88" i="4"/>
  <c r="AI87" i="4"/>
  <c r="AH87" i="4"/>
  <c r="AG87" i="4"/>
  <c r="AF87" i="4"/>
  <c r="AE87" i="4"/>
  <c r="AD87" i="4"/>
  <c r="AC87" i="4"/>
  <c r="AB87" i="4"/>
  <c r="AA87" i="4"/>
  <c r="Z87" i="4"/>
  <c r="Y87" i="4"/>
  <c r="X87" i="4"/>
  <c r="W87" i="4"/>
  <c r="V87" i="4"/>
  <c r="U87" i="4"/>
  <c r="T87" i="4"/>
  <c r="AI86" i="4"/>
  <c r="AH86" i="4"/>
  <c r="AG86" i="4"/>
  <c r="AF86" i="4"/>
  <c r="AE86" i="4"/>
  <c r="AD86" i="4"/>
  <c r="AC86" i="4"/>
  <c r="AB86" i="4"/>
  <c r="AA86" i="4"/>
  <c r="Z86" i="4"/>
  <c r="Y86" i="4"/>
  <c r="X86" i="4"/>
  <c r="W86" i="4"/>
  <c r="V86" i="4"/>
  <c r="U86" i="4"/>
  <c r="T86" i="4"/>
  <c r="AI85" i="4"/>
  <c r="AH85" i="4"/>
  <c r="AG85" i="4"/>
  <c r="AF85" i="4"/>
  <c r="AE85" i="4"/>
  <c r="AD85" i="4"/>
  <c r="AC85" i="4"/>
  <c r="AB85" i="4"/>
  <c r="AA85" i="4"/>
  <c r="Z85" i="4"/>
  <c r="Y85" i="4"/>
  <c r="X85" i="4"/>
  <c r="W85" i="4"/>
  <c r="V85" i="4"/>
  <c r="U85" i="4"/>
  <c r="T85" i="4"/>
  <c r="AI84" i="4"/>
  <c r="AH84" i="4"/>
  <c r="AG84" i="4"/>
  <c r="AF84" i="4"/>
  <c r="AE84" i="4"/>
  <c r="AD84" i="4"/>
  <c r="AC84" i="4"/>
  <c r="AB84" i="4"/>
  <c r="AA84" i="4"/>
  <c r="Z84" i="4"/>
  <c r="Y84" i="4"/>
  <c r="X84" i="4"/>
  <c r="W84" i="4"/>
  <c r="V84" i="4"/>
  <c r="U84" i="4"/>
  <c r="T84" i="4"/>
  <c r="AI83" i="4"/>
  <c r="AH83" i="4"/>
  <c r="AG83" i="4"/>
  <c r="AF83" i="4"/>
  <c r="AE83" i="4"/>
  <c r="AD83" i="4"/>
  <c r="AC83" i="4"/>
  <c r="AB83" i="4"/>
  <c r="AA83" i="4"/>
  <c r="Z83" i="4"/>
  <c r="Y83" i="4"/>
  <c r="X83" i="4"/>
  <c r="W83" i="4"/>
  <c r="V83" i="4"/>
  <c r="U83" i="4"/>
  <c r="T83" i="4"/>
  <c r="AI82" i="4"/>
  <c r="AH82" i="4"/>
  <c r="AG82" i="4"/>
  <c r="AF82" i="4"/>
  <c r="AE82" i="4"/>
  <c r="AD82" i="4"/>
  <c r="AC82" i="4"/>
  <c r="AB82" i="4"/>
  <c r="AA82" i="4"/>
  <c r="Z82" i="4"/>
  <c r="Y82" i="4"/>
  <c r="X82" i="4"/>
  <c r="W82" i="4"/>
  <c r="V82" i="4"/>
  <c r="U82" i="4"/>
  <c r="T82" i="4"/>
  <c r="AI81" i="4"/>
  <c r="AH81" i="4"/>
  <c r="AG81" i="4"/>
  <c r="AF81" i="4"/>
  <c r="AE81" i="4"/>
  <c r="AD81" i="4"/>
  <c r="AC81" i="4"/>
  <c r="AB81" i="4"/>
  <c r="AA81" i="4"/>
  <c r="Z81" i="4"/>
  <c r="Y81" i="4"/>
  <c r="X81" i="4"/>
  <c r="W81" i="4"/>
  <c r="V81" i="4"/>
  <c r="U81" i="4"/>
  <c r="T81" i="4"/>
  <c r="AI79" i="4"/>
  <c r="AH79" i="4"/>
  <c r="AG79" i="4"/>
  <c r="AF79" i="4"/>
  <c r="AE79" i="4"/>
  <c r="AD79" i="4"/>
  <c r="AC79" i="4"/>
  <c r="AB79" i="4"/>
  <c r="AA79" i="4"/>
  <c r="Z79" i="4"/>
  <c r="Y79" i="4"/>
  <c r="X79" i="4"/>
  <c r="W79" i="4"/>
  <c r="V79" i="4"/>
  <c r="U79" i="4"/>
  <c r="T79" i="4"/>
  <c r="AI78" i="4"/>
  <c r="AH78" i="4"/>
  <c r="AG78" i="4"/>
  <c r="AF78" i="4"/>
  <c r="AE78" i="4"/>
  <c r="AD78" i="4"/>
  <c r="AC78" i="4"/>
  <c r="AB78" i="4"/>
  <c r="AA78" i="4"/>
  <c r="Z78" i="4"/>
  <c r="Y78" i="4"/>
  <c r="X78" i="4"/>
  <c r="W78" i="4"/>
  <c r="V78" i="4"/>
  <c r="U78" i="4"/>
  <c r="T78" i="4"/>
  <c r="AI77" i="4"/>
  <c r="AH77" i="4"/>
  <c r="AG77" i="4"/>
  <c r="AF77" i="4"/>
  <c r="AE77" i="4"/>
  <c r="AD77" i="4"/>
  <c r="AC77" i="4"/>
  <c r="AB77" i="4"/>
  <c r="AA77" i="4"/>
  <c r="Z77" i="4"/>
  <c r="Y77" i="4"/>
  <c r="X77" i="4"/>
  <c r="W77" i="4"/>
  <c r="V77" i="4"/>
  <c r="U77" i="4"/>
  <c r="T77" i="4"/>
  <c r="AI76" i="4"/>
  <c r="AH76" i="4"/>
  <c r="AG76" i="4"/>
  <c r="AF76" i="4"/>
  <c r="AE76" i="4"/>
  <c r="AD76" i="4"/>
  <c r="AC76" i="4"/>
  <c r="AB76" i="4"/>
  <c r="AA76" i="4"/>
  <c r="Z76" i="4"/>
  <c r="Y76" i="4"/>
  <c r="X76" i="4"/>
  <c r="W76" i="4"/>
  <c r="V76" i="4"/>
  <c r="U76" i="4"/>
  <c r="T76" i="4"/>
  <c r="AI75" i="4"/>
  <c r="AH75" i="4"/>
  <c r="AG75" i="4"/>
  <c r="AF75" i="4"/>
  <c r="AE75" i="4"/>
  <c r="AD75" i="4"/>
  <c r="AC75" i="4"/>
  <c r="AB75" i="4"/>
  <c r="AA75" i="4"/>
  <c r="Z75" i="4"/>
  <c r="Y75" i="4"/>
  <c r="X75" i="4"/>
  <c r="W75" i="4"/>
  <c r="V75" i="4"/>
  <c r="U75" i="4"/>
  <c r="T75" i="4"/>
  <c r="AI74" i="4"/>
  <c r="AH74" i="4"/>
  <c r="AG74" i="4"/>
  <c r="AF74" i="4"/>
  <c r="AE74" i="4"/>
  <c r="AD74" i="4"/>
  <c r="AC74" i="4"/>
  <c r="AB74" i="4"/>
  <c r="AA74" i="4"/>
  <c r="Z74" i="4"/>
  <c r="Y74" i="4"/>
  <c r="X74" i="4"/>
  <c r="W74" i="4"/>
  <c r="V74" i="4"/>
  <c r="U74" i="4"/>
  <c r="T74" i="4"/>
  <c r="AI73" i="4"/>
  <c r="AH73" i="4"/>
  <c r="AG73" i="4"/>
  <c r="AF73" i="4"/>
  <c r="AE73" i="4"/>
  <c r="AD73" i="4"/>
  <c r="AC73" i="4"/>
  <c r="AB73" i="4"/>
  <c r="AA73" i="4"/>
  <c r="Z73" i="4"/>
  <c r="Y73" i="4"/>
  <c r="X73" i="4"/>
  <c r="W73" i="4"/>
  <c r="V73" i="4"/>
  <c r="U73" i="4"/>
  <c r="T73" i="4"/>
  <c r="AI72" i="4"/>
  <c r="AH72" i="4"/>
  <c r="AG72" i="4"/>
  <c r="AF72" i="4"/>
  <c r="AE72" i="4"/>
  <c r="AD72" i="4"/>
  <c r="AC72" i="4"/>
  <c r="AB72" i="4"/>
  <c r="AA72" i="4"/>
  <c r="Z72" i="4"/>
  <c r="Y72" i="4"/>
  <c r="X72" i="4"/>
  <c r="W72" i="4"/>
  <c r="V72" i="4"/>
  <c r="U72" i="4"/>
  <c r="T72" i="4"/>
  <c r="AI71" i="4"/>
  <c r="AH71" i="4"/>
  <c r="AG71" i="4"/>
  <c r="AF71" i="4"/>
  <c r="AE71" i="4"/>
  <c r="AD71" i="4"/>
  <c r="AC71" i="4"/>
  <c r="AB71" i="4"/>
  <c r="AA71" i="4"/>
  <c r="Z71" i="4"/>
  <c r="Y71" i="4"/>
  <c r="X71" i="4"/>
  <c r="W71" i="4"/>
  <c r="V71" i="4"/>
  <c r="U71" i="4"/>
  <c r="T71" i="4"/>
  <c r="AI69" i="4"/>
  <c r="AH69" i="4"/>
  <c r="AG69" i="4"/>
  <c r="AF69" i="4"/>
  <c r="AE69" i="4"/>
  <c r="AD69" i="4"/>
  <c r="AC69" i="4"/>
  <c r="AB69" i="4"/>
  <c r="AA69" i="4"/>
  <c r="Z69" i="4"/>
  <c r="Y69" i="4"/>
  <c r="X69" i="4"/>
  <c r="W69" i="4"/>
  <c r="V69" i="4"/>
  <c r="U69" i="4"/>
  <c r="T69" i="4"/>
  <c r="AI68" i="4"/>
  <c r="AH68" i="4"/>
  <c r="AG68" i="4"/>
  <c r="AF68" i="4"/>
  <c r="AE68" i="4"/>
  <c r="AD68" i="4"/>
  <c r="AC68" i="4"/>
  <c r="AB68" i="4"/>
  <c r="AA68" i="4"/>
  <c r="Z68" i="4"/>
  <c r="Y68" i="4"/>
  <c r="X68" i="4"/>
  <c r="W68" i="4"/>
  <c r="V68" i="4"/>
  <c r="U68" i="4"/>
  <c r="T68" i="4"/>
  <c r="AI67" i="4"/>
  <c r="AH67" i="4"/>
  <c r="AG67" i="4"/>
  <c r="AF67" i="4"/>
  <c r="AE67" i="4"/>
  <c r="AD67" i="4"/>
  <c r="AC67" i="4"/>
  <c r="AB67" i="4"/>
  <c r="AA67" i="4"/>
  <c r="Z67" i="4"/>
  <c r="Y67" i="4"/>
  <c r="X67" i="4"/>
  <c r="W67" i="4"/>
  <c r="V67" i="4"/>
  <c r="U67" i="4"/>
  <c r="T67" i="4"/>
  <c r="U66" i="4"/>
  <c r="T66" i="4"/>
  <c r="AI65" i="4"/>
  <c r="AH65" i="4"/>
  <c r="AG65" i="4"/>
  <c r="AF65" i="4"/>
  <c r="AE65" i="4"/>
  <c r="AD65" i="4"/>
  <c r="AC65" i="4"/>
  <c r="AB65" i="4"/>
  <c r="AA65" i="4"/>
  <c r="Z65" i="4"/>
  <c r="Y65" i="4"/>
  <c r="X65" i="4"/>
  <c r="W65" i="4"/>
  <c r="V65" i="4"/>
  <c r="U65" i="4"/>
  <c r="T65" i="4"/>
  <c r="AI64" i="4"/>
  <c r="AH64" i="4"/>
  <c r="AG64" i="4"/>
  <c r="AF64" i="4"/>
  <c r="AE64" i="4"/>
  <c r="AD64" i="4"/>
  <c r="AC64" i="4"/>
  <c r="AB64" i="4"/>
  <c r="AA64" i="4"/>
  <c r="Z64" i="4"/>
  <c r="Y64" i="4"/>
  <c r="X64" i="4"/>
  <c r="W64" i="4"/>
  <c r="V64" i="4"/>
  <c r="U64" i="4"/>
  <c r="T64" i="4"/>
  <c r="AI63" i="4"/>
  <c r="AH63" i="4"/>
  <c r="AG63" i="4"/>
  <c r="AF63" i="4"/>
  <c r="AE63" i="4"/>
  <c r="AD63" i="4"/>
  <c r="AC63" i="4"/>
  <c r="AB63" i="4"/>
  <c r="AA63" i="4"/>
  <c r="Z63" i="4"/>
  <c r="Y63" i="4"/>
  <c r="X63" i="4"/>
  <c r="W63" i="4"/>
  <c r="V63" i="4"/>
  <c r="U63" i="4"/>
  <c r="T63" i="4"/>
  <c r="AI62" i="4"/>
  <c r="AH62" i="4"/>
  <c r="AG62" i="4"/>
  <c r="AF62" i="4"/>
  <c r="AE62" i="4"/>
  <c r="AD62" i="4"/>
  <c r="AC62" i="4"/>
  <c r="AB62" i="4"/>
  <c r="AA62" i="4"/>
  <c r="Z62" i="4"/>
  <c r="Y62" i="4"/>
  <c r="X62" i="4"/>
  <c r="W62" i="4"/>
  <c r="V62" i="4"/>
  <c r="U62" i="4"/>
  <c r="T62" i="4"/>
  <c r="AI61" i="4"/>
  <c r="AH61" i="4"/>
  <c r="AG61" i="4"/>
  <c r="AF61" i="4"/>
  <c r="AE61" i="4"/>
  <c r="AD61" i="4"/>
  <c r="AC61" i="4"/>
  <c r="AB61" i="4"/>
  <c r="AA61" i="4"/>
  <c r="Z61" i="4"/>
  <c r="Y61" i="4"/>
  <c r="X61" i="4"/>
  <c r="W61" i="4"/>
  <c r="V61" i="4"/>
  <c r="U61" i="4"/>
  <c r="T61" i="4"/>
  <c r="AI60" i="4"/>
  <c r="AH60" i="4"/>
  <c r="AG60" i="4"/>
  <c r="AF60" i="4"/>
  <c r="AE60" i="4"/>
  <c r="AD60" i="4"/>
  <c r="AC60" i="4"/>
  <c r="AB60" i="4"/>
  <c r="AA60" i="4"/>
  <c r="Z60" i="4"/>
  <c r="Y60" i="4"/>
  <c r="X60" i="4"/>
  <c r="W60" i="4"/>
  <c r="V60" i="4"/>
  <c r="U60" i="4"/>
  <c r="T60" i="4"/>
  <c r="AI59" i="4"/>
  <c r="AH59" i="4"/>
  <c r="AG59" i="4"/>
  <c r="AF59" i="4"/>
  <c r="AE59" i="4"/>
  <c r="AD59" i="4"/>
  <c r="AC59" i="4"/>
  <c r="AB59" i="4"/>
  <c r="AA59" i="4"/>
  <c r="Z59" i="4"/>
  <c r="Y59" i="4"/>
  <c r="X59" i="4"/>
  <c r="W59" i="4"/>
  <c r="V59" i="4"/>
  <c r="U59" i="4"/>
  <c r="T59" i="4"/>
  <c r="AI58" i="4"/>
  <c r="AH58" i="4"/>
  <c r="AG58" i="4"/>
  <c r="AF58" i="4"/>
  <c r="AE58" i="4"/>
  <c r="AD58" i="4"/>
  <c r="AC58" i="4"/>
  <c r="AB58" i="4"/>
  <c r="AA58" i="4"/>
  <c r="Z58" i="4"/>
  <c r="Y58" i="4"/>
  <c r="X58" i="4"/>
  <c r="W58" i="4"/>
  <c r="V58" i="4"/>
  <c r="U58" i="4"/>
  <c r="T58" i="4"/>
  <c r="AI57" i="4"/>
  <c r="AH57" i="4"/>
  <c r="AG57" i="4"/>
  <c r="AF57" i="4"/>
  <c r="AE57" i="4"/>
  <c r="AD57" i="4"/>
  <c r="AC57" i="4"/>
  <c r="AB57" i="4"/>
  <c r="AA57" i="4"/>
  <c r="Z57" i="4"/>
  <c r="Y57" i="4"/>
  <c r="X57" i="4"/>
  <c r="W57" i="4"/>
  <c r="V57" i="4"/>
  <c r="U57" i="4"/>
  <c r="T57" i="4"/>
  <c r="AI56" i="4"/>
  <c r="AH56" i="4"/>
  <c r="AG56" i="4"/>
  <c r="AF56" i="4"/>
  <c r="AE56" i="4"/>
  <c r="AD56" i="4"/>
  <c r="AC56" i="4"/>
  <c r="AB56" i="4"/>
  <c r="AA56" i="4"/>
  <c r="Z56" i="4"/>
  <c r="Y56" i="4"/>
  <c r="X56" i="4"/>
  <c r="W56" i="4"/>
  <c r="V56" i="4"/>
  <c r="U56" i="4"/>
  <c r="T56" i="4"/>
  <c r="AI55" i="4"/>
  <c r="AH55" i="4"/>
  <c r="AG55" i="4"/>
  <c r="AF55" i="4"/>
  <c r="AE55" i="4"/>
  <c r="AD55" i="4"/>
  <c r="AC55" i="4"/>
  <c r="AB55" i="4"/>
  <c r="AA55" i="4"/>
  <c r="Z55" i="4"/>
  <c r="Y55" i="4"/>
  <c r="X55" i="4"/>
  <c r="W55" i="4"/>
  <c r="V55" i="4"/>
  <c r="U55" i="4"/>
  <c r="T55" i="4"/>
  <c r="AI54" i="4"/>
  <c r="AH54" i="4"/>
  <c r="AG54" i="4"/>
  <c r="AF54" i="4"/>
  <c r="AE54" i="4"/>
  <c r="AD54" i="4"/>
  <c r="AC54" i="4"/>
  <c r="AB54" i="4"/>
  <c r="AA54" i="4"/>
  <c r="Z54" i="4"/>
  <c r="Y54" i="4"/>
  <c r="X54" i="4"/>
  <c r="W54" i="4"/>
  <c r="V54" i="4"/>
  <c r="U54" i="4"/>
  <c r="T54" i="4"/>
  <c r="AI53" i="4"/>
  <c r="AH53" i="4"/>
  <c r="AG53" i="4"/>
  <c r="AF53" i="4"/>
  <c r="AE53" i="4"/>
  <c r="AD53" i="4"/>
  <c r="AC53" i="4"/>
  <c r="AB53" i="4"/>
  <c r="AA53" i="4"/>
  <c r="Z53" i="4"/>
  <c r="Y53" i="4"/>
  <c r="X53" i="4"/>
  <c r="W53" i="4"/>
  <c r="V53" i="4"/>
  <c r="U53" i="4"/>
  <c r="T53" i="4"/>
  <c r="AI52" i="4"/>
  <c r="AH52" i="4"/>
  <c r="AG52" i="4"/>
  <c r="AF52" i="4"/>
  <c r="AE52" i="4"/>
  <c r="AD52" i="4"/>
  <c r="AC52" i="4"/>
  <c r="AB52" i="4"/>
  <c r="AA52" i="4"/>
  <c r="Z52" i="4"/>
  <c r="Y52" i="4"/>
  <c r="X52" i="4"/>
  <c r="W52" i="4"/>
  <c r="V52" i="4"/>
  <c r="U52" i="4"/>
  <c r="T52" i="4"/>
  <c r="AI50" i="4"/>
  <c r="AH50" i="4"/>
  <c r="AG50" i="4"/>
  <c r="AF50" i="4"/>
  <c r="AE50" i="4"/>
  <c r="AD50" i="4"/>
  <c r="AC50" i="4"/>
  <c r="AB50" i="4"/>
  <c r="AA50" i="4"/>
  <c r="Z50" i="4"/>
  <c r="Y50" i="4"/>
  <c r="X50" i="4"/>
  <c r="W50" i="4"/>
  <c r="V50" i="4"/>
  <c r="U50" i="4"/>
  <c r="T50" i="4"/>
  <c r="AI48" i="4"/>
  <c r="AH48" i="4"/>
  <c r="AG48" i="4"/>
  <c r="AF48" i="4"/>
  <c r="AE48" i="4"/>
  <c r="AD48" i="4"/>
  <c r="AC48" i="4"/>
  <c r="AB48" i="4"/>
  <c r="AA48" i="4"/>
  <c r="Z48" i="4"/>
  <c r="Y48" i="4"/>
  <c r="X48" i="4"/>
  <c r="W48" i="4"/>
  <c r="V48" i="4"/>
  <c r="U48" i="4"/>
  <c r="T48" i="4"/>
  <c r="AI39" i="4"/>
  <c r="AH39" i="4"/>
  <c r="AG39" i="4"/>
  <c r="AF39" i="4"/>
  <c r="AE39" i="4"/>
  <c r="AD39" i="4"/>
  <c r="AC39" i="4"/>
  <c r="AB39" i="4"/>
  <c r="AA39" i="4"/>
  <c r="Z39" i="4"/>
  <c r="Y39" i="4"/>
  <c r="X39" i="4"/>
  <c r="W39" i="4"/>
  <c r="V39" i="4"/>
  <c r="AI38" i="4"/>
  <c r="AH38" i="4"/>
  <c r="AG38" i="4"/>
  <c r="AF38" i="4"/>
  <c r="AE38" i="4"/>
  <c r="AD38" i="4"/>
  <c r="AC38" i="4"/>
  <c r="AB38" i="4"/>
  <c r="AA38" i="4"/>
  <c r="Z38" i="4"/>
  <c r="Y38" i="4"/>
  <c r="X38" i="4"/>
  <c r="W38" i="4"/>
  <c r="V38" i="4"/>
  <c r="U38" i="4"/>
  <c r="T38" i="4"/>
  <c r="AI37" i="4"/>
  <c r="AH37" i="4"/>
  <c r="AG37" i="4"/>
  <c r="AF37" i="4"/>
  <c r="AE37" i="4"/>
  <c r="AD37" i="4"/>
  <c r="AC37" i="4"/>
  <c r="AB37" i="4"/>
  <c r="AA37" i="4"/>
  <c r="Z37" i="4"/>
  <c r="Y37" i="4"/>
  <c r="X37" i="4"/>
  <c r="W37" i="4"/>
  <c r="V37" i="4"/>
  <c r="U37" i="4"/>
  <c r="T37" i="4"/>
  <c r="AI36" i="4"/>
  <c r="AH36" i="4"/>
  <c r="AG36" i="4"/>
  <c r="AF36" i="4"/>
  <c r="AE36" i="4"/>
  <c r="AD36" i="4"/>
  <c r="AC36" i="4"/>
  <c r="AB36" i="4"/>
  <c r="AA36" i="4"/>
  <c r="Z36" i="4"/>
  <c r="Y36" i="4"/>
  <c r="X36" i="4"/>
  <c r="W36" i="4"/>
  <c r="V36" i="4"/>
  <c r="U36" i="4"/>
  <c r="T36" i="4"/>
  <c r="AI35" i="4"/>
  <c r="AH35" i="4"/>
  <c r="AG35" i="4"/>
  <c r="AF35" i="4"/>
  <c r="AE35" i="4"/>
  <c r="AD35" i="4"/>
  <c r="AC35" i="4"/>
  <c r="AB35" i="4"/>
  <c r="AA35" i="4"/>
  <c r="Z35" i="4"/>
  <c r="Y35" i="4"/>
  <c r="X35" i="4"/>
  <c r="W35" i="4"/>
  <c r="V35" i="4"/>
  <c r="U35" i="4"/>
  <c r="T35" i="4"/>
  <c r="AI34" i="4"/>
  <c r="AH34" i="4"/>
  <c r="AG34" i="4"/>
  <c r="AF34" i="4"/>
  <c r="AE34" i="4"/>
  <c r="AD34" i="4"/>
  <c r="AC34" i="4"/>
  <c r="AB34" i="4"/>
  <c r="AA34" i="4"/>
  <c r="Z34" i="4"/>
  <c r="Y34" i="4"/>
  <c r="X34" i="4"/>
  <c r="W34" i="4"/>
  <c r="V34" i="4"/>
  <c r="U34" i="4"/>
  <c r="T34" i="4"/>
  <c r="AI33" i="4"/>
  <c r="AH33" i="4"/>
  <c r="AG33" i="4"/>
  <c r="AF33" i="4"/>
  <c r="AE33" i="4"/>
  <c r="AD33" i="4"/>
  <c r="AC33" i="4"/>
  <c r="AB33" i="4"/>
  <c r="AA33" i="4"/>
  <c r="Z33" i="4"/>
  <c r="Y33" i="4"/>
  <c r="X33" i="4"/>
  <c r="W33" i="4"/>
  <c r="V33" i="4"/>
  <c r="U33" i="4"/>
  <c r="T33" i="4"/>
  <c r="AI32" i="4"/>
  <c r="AH32" i="4"/>
  <c r="AG32" i="4"/>
  <c r="AF32" i="4"/>
  <c r="AE32" i="4"/>
  <c r="AD32" i="4"/>
  <c r="AC32" i="4"/>
  <c r="AB32" i="4"/>
  <c r="AA32" i="4"/>
  <c r="Z32" i="4"/>
  <c r="Y32" i="4"/>
  <c r="X32" i="4"/>
  <c r="W32" i="4"/>
  <c r="V32" i="4"/>
  <c r="U32" i="4"/>
  <c r="T32" i="4"/>
  <c r="AI31" i="4"/>
  <c r="AH31" i="4"/>
  <c r="AG31" i="4"/>
  <c r="AF31" i="4"/>
  <c r="AE31" i="4"/>
  <c r="AD31" i="4"/>
  <c r="AC31" i="4"/>
  <c r="AB31" i="4"/>
  <c r="AA31" i="4"/>
  <c r="Z31" i="4"/>
  <c r="Y31" i="4"/>
  <c r="X31" i="4"/>
  <c r="W31" i="4"/>
  <c r="V31" i="4"/>
  <c r="U31" i="4"/>
  <c r="T31" i="4"/>
  <c r="AI30" i="4"/>
  <c r="AH30" i="4"/>
  <c r="AG30" i="4"/>
  <c r="AF30" i="4"/>
  <c r="AE30" i="4"/>
  <c r="AD30" i="4"/>
  <c r="AC30" i="4"/>
  <c r="AB30" i="4"/>
  <c r="AA30" i="4"/>
  <c r="Z30" i="4"/>
  <c r="Y30" i="4"/>
  <c r="X30" i="4"/>
  <c r="W30" i="4"/>
  <c r="V30" i="4"/>
  <c r="U30" i="4"/>
  <c r="T30" i="4"/>
  <c r="AI29" i="4"/>
  <c r="AH29" i="4"/>
  <c r="AG29" i="4"/>
  <c r="AF29" i="4"/>
  <c r="AE29" i="4"/>
  <c r="AD29" i="4"/>
  <c r="AC29" i="4"/>
  <c r="AB29" i="4"/>
  <c r="AA29" i="4"/>
  <c r="Z29" i="4"/>
  <c r="Y29" i="4"/>
  <c r="X29" i="4"/>
  <c r="W29" i="4"/>
  <c r="V29" i="4"/>
  <c r="U29" i="4"/>
  <c r="T29" i="4"/>
  <c r="AI28" i="4"/>
  <c r="AH28" i="4"/>
  <c r="AG28" i="4"/>
  <c r="AF28" i="4"/>
  <c r="AE28" i="4"/>
  <c r="AD28" i="4"/>
  <c r="AC28" i="4"/>
  <c r="AB28" i="4"/>
  <c r="AA28" i="4"/>
  <c r="Z28" i="4"/>
  <c r="Y28" i="4"/>
  <c r="X28" i="4"/>
  <c r="W28" i="4"/>
  <c r="V28" i="4"/>
  <c r="U28" i="4"/>
  <c r="T28" i="4"/>
  <c r="AI27" i="4"/>
  <c r="AH27" i="4"/>
  <c r="AG27" i="4"/>
  <c r="AF27" i="4"/>
  <c r="AE27" i="4"/>
  <c r="AD27" i="4"/>
  <c r="AC27" i="4"/>
  <c r="AB27" i="4"/>
  <c r="AA27" i="4"/>
  <c r="Z27" i="4"/>
  <c r="Y27" i="4"/>
  <c r="X27" i="4"/>
  <c r="W27" i="4"/>
  <c r="V27" i="4"/>
  <c r="U27" i="4"/>
  <c r="T27" i="4"/>
  <c r="AI26" i="4"/>
  <c r="AH26" i="4"/>
  <c r="AG26" i="4"/>
  <c r="AF26" i="4"/>
  <c r="AE26" i="4"/>
  <c r="AD26" i="4"/>
  <c r="AC26" i="4"/>
  <c r="AB26" i="4"/>
  <c r="AA26" i="4"/>
  <c r="Z26" i="4"/>
  <c r="Y26" i="4"/>
  <c r="X26" i="4"/>
  <c r="W26" i="4"/>
  <c r="V26" i="4"/>
  <c r="U26" i="4"/>
  <c r="T26" i="4"/>
  <c r="AI25" i="4"/>
  <c r="AH25" i="4"/>
  <c r="AG25" i="4"/>
  <c r="AF25" i="4"/>
  <c r="AE25" i="4"/>
  <c r="AD25" i="4"/>
  <c r="AC25" i="4"/>
  <c r="AB25" i="4"/>
  <c r="AA25" i="4"/>
  <c r="Z25" i="4"/>
  <c r="Y25" i="4"/>
  <c r="X25" i="4"/>
  <c r="W25" i="4"/>
  <c r="V25" i="4"/>
  <c r="U25" i="4"/>
  <c r="T25" i="4"/>
  <c r="AI24" i="4"/>
  <c r="AH24" i="4"/>
  <c r="AG24" i="4"/>
  <c r="AF24" i="4"/>
  <c r="AE24" i="4"/>
  <c r="AD24" i="4"/>
  <c r="AC24" i="4"/>
  <c r="AB24" i="4"/>
  <c r="AA24" i="4"/>
  <c r="Z24" i="4"/>
  <c r="Y24" i="4"/>
  <c r="X24" i="4"/>
  <c r="W24" i="4"/>
  <c r="V24" i="4"/>
  <c r="U24" i="4"/>
  <c r="T24" i="4"/>
  <c r="AI23" i="4"/>
  <c r="AH23" i="4"/>
  <c r="AG23" i="4"/>
  <c r="AF23" i="4"/>
  <c r="AE23" i="4"/>
  <c r="AD23" i="4"/>
  <c r="AC23" i="4"/>
  <c r="AB23" i="4"/>
  <c r="AA23" i="4"/>
  <c r="Z23" i="4"/>
  <c r="Y23" i="4"/>
  <c r="X23" i="4"/>
  <c r="W23" i="4"/>
  <c r="V23" i="4"/>
  <c r="U23" i="4"/>
  <c r="T23" i="4"/>
  <c r="AI22" i="4"/>
  <c r="AH22" i="4"/>
  <c r="AG22" i="4"/>
  <c r="AF22" i="4"/>
  <c r="AE22" i="4"/>
  <c r="AD22" i="4"/>
  <c r="AC22" i="4"/>
  <c r="AB22" i="4"/>
  <c r="AA22" i="4"/>
  <c r="Z22" i="4"/>
  <c r="Y22" i="4"/>
  <c r="X22" i="4"/>
  <c r="W22" i="4"/>
  <c r="V22" i="4"/>
  <c r="U22" i="4"/>
  <c r="T22" i="4"/>
  <c r="AI21" i="4"/>
  <c r="AH21" i="4"/>
  <c r="AG21" i="4"/>
  <c r="AF21" i="4"/>
  <c r="AE21" i="4"/>
  <c r="AD21" i="4"/>
  <c r="AC21" i="4"/>
  <c r="AB21" i="4"/>
  <c r="AA21" i="4"/>
  <c r="Z21" i="4"/>
  <c r="Y21" i="4"/>
  <c r="X21" i="4"/>
  <c r="W21" i="4"/>
  <c r="V21" i="4"/>
  <c r="U21" i="4"/>
  <c r="T21" i="4"/>
  <c r="AI20" i="4"/>
  <c r="AH20" i="4"/>
  <c r="AG20" i="4"/>
  <c r="AF20" i="4"/>
  <c r="AE20" i="4"/>
  <c r="AD20" i="4"/>
  <c r="AC20" i="4"/>
  <c r="AB20" i="4"/>
  <c r="AA20" i="4"/>
  <c r="Z20" i="4"/>
  <c r="Y20" i="4"/>
  <c r="X20" i="4"/>
  <c r="W20" i="4"/>
  <c r="V20" i="4"/>
  <c r="U20" i="4"/>
  <c r="T20" i="4"/>
  <c r="AI19" i="4"/>
  <c r="AH19" i="4"/>
  <c r="AG19" i="4"/>
  <c r="AF19" i="4"/>
  <c r="AE19" i="4"/>
  <c r="AD19" i="4"/>
  <c r="AC19" i="4"/>
  <c r="AB19" i="4"/>
  <c r="AA19" i="4"/>
  <c r="Z19" i="4"/>
  <c r="Y19" i="4"/>
  <c r="X19" i="4"/>
  <c r="W19" i="4"/>
  <c r="V19" i="4"/>
  <c r="U19" i="4"/>
  <c r="T19" i="4"/>
  <c r="AI18" i="4"/>
  <c r="AH18" i="4"/>
  <c r="AG18" i="4"/>
  <c r="AF18" i="4"/>
  <c r="AE18" i="4"/>
  <c r="AD18" i="4"/>
  <c r="AC18" i="4"/>
  <c r="AB18" i="4"/>
  <c r="AA18" i="4"/>
  <c r="Z18" i="4"/>
  <c r="Y18" i="4"/>
  <c r="X18" i="4"/>
  <c r="W18" i="4"/>
  <c r="V18" i="4"/>
  <c r="U18" i="4"/>
  <c r="T18" i="4"/>
  <c r="AI17" i="4"/>
  <c r="AH17" i="4"/>
  <c r="AG17" i="4"/>
  <c r="AF17" i="4"/>
  <c r="AE17" i="4"/>
  <c r="AD17" i="4"/>
  <c r="AC17" i="4"/>
  <c r="AB17" i="4"/>
  <c r="AA17" i="4"/>
  <c r="Z17" i="4"/>
  <c r="Y17" i="4"/>
  <c r="X17" i="4"/>
  <c r="W17" i="4"/>
  <c r="V17" i="4"/>
  <c r="U17" i="4"/>
  <c r="AI16" i="4"/>
  <c r="AH16" i="4"/>
  <c r="AG16" i="4"/>
  <c r="AF16" i="4"/>
  <c r="AE16" i="4"/>
  <c r="AD16" i="4"/>
  <c r="AC16" i="4"/>
  <c r="AB16" i="4"/>
  <c r="AA16" i="4"/>
  <c r="Z16" i="4"/>
  <c r="Y16" i="4"/>
  <c r="X16" i="4"/>
  <c r="W16" i="4"/>
  <c r="V16" i="4"/>
  <c r="T16" i="4"/>
  <c r="AI15" i="4"/>
  <c r="AH15" i="4"/>
  <c r="AG15" i="4"/>
  <c r="AF15" i="4"/>
  <c r="AE15" i="4"/>
  <c r="AD15" i="4"/>
  <c r="AC15" i="4"/>
  <c r="AB15" i="4"/>
  <c r="AA15" i="4"/>
  <c r="Z15" i="4"/>
  <c r="Y15" i="4"/>
  <c r="X15" i="4"/>
  <c r="W15" i="4"/>
  <c r="V15" i="4"/>
  <c r="T15" i="4"/>
  <c r="AI14" i="4"/>
  <c r="AH14" i="4"/>
  <c r="AG14" i="4"/>
  <c r="AF14" i="4"/>
  <c r="AE14" i="4"/>
  <c r="AD14" i="4"/>
  <c r="AC14" i="4"/>
  <c r="AB14" i="4"/>
  <c r="AA14" i="4"/>
  <c r="Z14" i="4"/>
  <c r="Y14" i="4"/>
  <c r="X14" i="4"/>
  <c r="W14" i="4"/>
  <c r="V14" i="4"/>
  <c r="T14" i="4"/>
  <c r="AI13" i="4"/>
  <c r="AH13" i="4"/>
  <c r="AG13" i="4"/>
  <c r="AF13" i="4"/>
  <c r="AE13" i="4"/>
  <c r="AD13" i="4"/>
  <c r="AC13" i="4"/>
  <c r="AB13" i="4"/>
  <c r="AA13" i="4"/>
  <c r="Z13" i="4"/>
  <c r="Y13" i="4"/>
  <c r="X13" i="4"/>
  <c r="W13" i="4"/>
  <c r="V13" i="4"/>
  <c r="U13" i="4"/>
  <c r="T13" i="4"/>
  <c r="AI12" i="4"/>
  <c r="AH12" i="4"/>
  <c r="AG12" i="4"/>
  <c r="AF12" i="4"/>
  <c r="AE12" i="4"/>
  <c r="AD12" i="4"/>
  <c r="AC12" i="4"/>
  <c r="AB12" i="4"/>
  <c r="AA12" i="4"/>
  <c r="Z12" i="4"/>
  <c r="Y12" i="4"/>
  <c r="X12" i="4"/>
  <c r="W12" i="4"/>
  <c r="V12" i="4"/>
  <c r="U12" i="4"/>
  <c r="T12" i="4"/>
  <c r="AI11" i="4"/>
  <c r="AH11" i="4"/>
  <c r="AG11" i="4"/>
  <c r="AF11" i="4"/>
  <c r="AE11" i="4"/>
  <c r="AD11" i="4"/>
  <c r="AC11" i="4"/>
  <c r="AB11" i="4"/>
  <c r="AA11" i="4"/>
  <c r="Z11" i="4"/>
  <c r="Y11" i="4"/>
  <c r="X11" i="4"/>
  <c r="W11" i="4"/>
  <c r="V11" i="4"/>
  <c r="T11" i="4"/>
  <c r="AI10" i="4"/>
  <c r="AH10" i="4"/>
  <c r="AG10" i="4"/>
  <c r="AF10" i="4"/>
  <c r="AE10" i="4"/>
  <c r="AD10" i="4"/>
  <c r="AC10" i="4"/>
  <c r="AB10" i="4"/>
  <c r="AA10" i="4"/>
  <c r="Z10" i="4"/>
  <c r="Y10" i="4"/>
  <c r="X10" i="4"/>
  <c r="W10" i="4"/>
  <c r="V10" i="4"/>
  <c r="T10" i="4"/>
  <c r="AI9" i="4"/>
  <c r="AH9" i="4"/>
  <c r="AG9" i="4"/>
  <c r="AF9" i="4"/>
  <c r="AE9" i="4"/>
  <c r="AD9" i="4"/>
  <c r="AC9" i="4"/>
  <c r="AB9" i="4"/>
  <c r="AA9" i="4"/>
  <c r="Z9" i="4"/>
  <c r="Y9" i="4"/>
  <c r="X9" i="4"/>
  <c r="W9" i="4"/>
  <c r="V9" i="4"/>
  <c r="T9" i="4"/>
  <c r="AI8" i="4"/>
  <c r="AH8" i="4"/>
  <c r="AG8" i="4"/>
  <c r="AF8" i="4"/>
  <c r="AE8" i="4"/>
  <c r="AD8" i="4"/>
  <c r="AC8" i="4"/>
  <c r="AB8" i="4"/>
  <c r="AA8" i="4"/>
  <c r="Z8" i="4"/>
  <c r="Y8" i="4"/>
  <c r="X8" i="4"/>
  <c r="W8" i="4"/>
  <c r="V8" i="4"/>
  <c r="T8" i="4"/>
  <c r="AI7" i="4"/>
  <c r="AH7" i="4"/>
  <c r="AG7" i="4"/>
  <c r="AF7" i="4"/>
  <c r="AE7" i="4"/>
  <c r="AD7" i="4"/>
  <c r="AC7" i="4"/>
  <c r="AB7" i="4"/>
  <c r="AA7" i="4"/>
  <c r="Z7" i="4"/>
  <c r="Y7" i="4"/>
  <c r="X7" i="4"/>
  <c r="W7" i="4"/>
  <c r="V7" i="4"/>
  <c r="T7" i="4"/>
  <c r="AI6" i="4"/>
  <c r="AH6" i="4"/>
  <c r="AG6" i="4"/>
  <c r="AF6" i="4"/>
  <c r="AE6" i="4"/>
  <c r="AD6" i="4"/>
  <c r="AC6" i="4"/>
  <c r="AB6" i="4"/>
  <c r="AA6" i="4"/>
  <c r="Z6" i="4"/>
  <c r="Y6" i="4"/>
  <c r="X6" i="4"/>
  <c r="W6" i="4"/>
  <c r="V6" i="4"/>
  <c r="T6" i="4"/>
  <c r="AI5" i="4"/>
  <c r="AH5" i="4"/>
  <c r="AG5" i="4"/>
  <c r="AF5" i="4"/>
  <c r="AE5" i="4"/>
  <c r="AD5" i="4"/>
  <c r="AC5" i="4"/>
  <c r="AB5" i="4"/>
  <c r="AA5" i="4"/>
  <c r="Z5" i="4"/>
  <c r="Y5" i="4"/>
  <c r="X5" i="4"/>
  <c r="W5" i="4"/>
  <c r="V5" i="4"/>
  <c r="T5" i="4"/>
  <c r="S136" i="2"/>
  <c r="W136" i="2" s="1"/>
  <c r="I136" i="2"/>
  <c r="M136" i="2" s="1"/>
  <c r="E136" i="2"/>
  <c r="G136" i="2" s="1"/>
  <c r="V135" i="2"/>
  <c r="S135" i="2"/>
  <c r="W135" i="2" s="1"/>
  <c r="L135" i="2"/>
  <c r="I135" i="2"/>
  <c r="M135" i="2" s="1"/>
  <c r="E135" i="2"/>
  <c r="G135" i="2" s="1"/>
  <c r="S134" i="2"/>
  <c r="W134" i="2" s="1"/>
  <c r="L134" i="2"/>
  <c r="I134" i="2"/>
  <c r="E134" i="2"/>
  <c r="G134" i="2" s="1"/>
  <c r="S133" i="2"/>
  <c r="W133" i="2" s="1"/>
  <c r="I133" i="2"/>
  <c r="M133" i="2" s="1"/>
  <c r="E133" i="2"/>
  <c r="G133" i="2" s="1"/>
  <c r="S132" i="2"/>
  <c r="W132" i="2" s="1"/>
  <c r="I132" i="2"/>
  <c r="M132" i="2" s="1"/>
  <c r="E132" i="2"/>
  <c r="G132" i="2" s="1"/>
  <c r="S131" i="2"/>
  <c r="W131" i="2" s="1"/>
  <c r="L131" i="2"/>
  <c r="I131" i="2"/>
  <c r="M131" i="2" s="1"/>
  <c r="E131" i="2"/>
  <c r="G131" i="2" s="1"/>
  <c r="S130" i="2"/>
  <c r="W130" i="2" s="1"/>
  <c r="I130" i="2"/>
  <c r="M130" i="2" s="1"/>
  <c r="E130" i="2"/>
  <c r="G130" i="2" s="1"/>
  <c r="V129" i="2"/>
  <c r="S129" i="2"/>
  <c r="W129" i="2" s="1"/>
  <c r="I129" i="2"/>
  <c r="E129" i="2"/>
  <c r="G129" i="2" s="1"/>
  <c r="S128" i="2"/>
  <c r="W128" i="2" s="1"/>
  <c r="I128" i="2"/>
  <c r="M128" i="2" s="1"/>
  <c r="E128" i="2"/>
  <c r="G128" i="2" s="1"/>
  <c r="V127" i="2"/>
  <c r="S127" i="2"/>
  <c r="I127" i="2"/>
  <c r="M127" i="2" s="1"/>
  <c r="E127" i="2"/>
  <c r="G127" i="2" s="1"/>
  <c r="S126" i="2"/>
  <c r="W126" i="2" s="1"/>
  <c r="L126" i="2"/>
  <c r="I126" i="2"/>
  <c r="M126" i="2" s="1"/>
  <c r="E126" i="2"/>
  <c r="G126" i="2" s="1"/>
  <c r="S125" i="2"/>
  <c r="W125" i="2" s="1"/>
  <c r="L125" i="2"/>
  <c r="I125" i="2"/>
  <c r="M125" i="2" s="1"/>
  <c r="E125" i="2"/>
  <c r="G125" i="2" s="1"/>
  <c r="S124" i="2"/>
  <c r="W124" i="2" s="1"/>
  <c r="O124" i="2"/>
  <c r="L124" i="2"/>
  <c r="I124" i="2"/>
  <c r="M124" i="2" s="1"/>
  <c r="E124" i="2"/>
  <c r="G124" i="2" s="1"/>
  <c r="S123" i="2"/>
  <c r="W123" i="2" s="1"/>
  <c r="O123" i="2"/>
  <c r="L123" i="2"/>
  <c r="I123" i="2"/>
  <c r="M123" i="2" s="1"/>
  <c r="E123" i="2"/>
  <c r="G123" i="2" s="1"/>
  <c r="V122" i="2"/>
  <c r="S122" i="2"/>
  <c r="W122" i="2" s="1"/>
  <c r="O122" i="2"/>
  <c r="I122" i="2"/>
  <c r="M122" i="2" s="1"/>
  <c r="E122" i="2"/>
  <c r="G122" i="2" s="1"/>
  <c r="S121" i="2"/>
  <c r="W121" i="2" s="1"/>
  <c r="O121" i="2"/>
  <c r="I121" i="2"/>
  <c r="M121" i="2" s="1"/>
  <c r="E121" i="2"/>
  <c r="G121" i="2" s="1"/>
  <c r="S120" i="2"/>
  <c r="W120" i="2" s="1"/>
  <c r="O120" i="2"/>
  <c r="I120" i="2"/>
  <c r="M120" i="2" s="1"/>
  <c r="E120" i="2"/>
  <c r="G120" i="2" s="1"/>
  <c r="S119" i="2"/>
  <c r="W119" i="2" s="1"/>
  <c r="L119" i="2"/>
  <c r="I119" i="2"/>
  <c r="M119" i="2" s="1"/>
  <c r="E119" i="2"/>
  <c r="G119" i="2" s="1"/>
  <c r="S118" i="2"/>
  <c r="W118" i="2" s="1"/>
  <c r="I118" i="2"/>
  <c r="M118" i="2" s="1"/>
  <c r="E118" i="2"/>
  <c r="G118" i="2" s="1"/>
  <c r="V117" i="2"/>
  <c r="S117" i="2"/>
  <c r="I117" i="2"/>
  <c r="M117" i="2" s="1"/>
  <c r="E117" i="2"/>
  <c r="G117" i="2" s="1"/>
  <c r="V116" i="2"/>
  <c r="S116" i="2"/>
  <c r="W116" i="2" s="1"/>
  <c r="I116" i="2"/>
  <c r="M116" i="2" s="1"/>
  <c r="E116" i="2"/>
  <c r="G116" i="2" s="1"/>
  <c r="S115" i="2"/>
  <c r="W115" i="2" s="1"/>
  <c r="I115" i="2"/>
  <c r="M115" i="2" s="1"/>
  <c r="E115" i="2"/>
  <c r="G115" i="2" s="1"/>
  <c r="S114" i="2"/>
  <c r="W114" i="2" s="1"/>
  <c r="I114" i="2"/>
  <c r="M114" i="2" s="1"/>
  <c r="E114" i="2"/>
  <c r="G114" i="2" s="1"/>
  <c r="S113" i="2"/>
  <c r="W113" i="2" s="1"/>
  <c r="I113" i="2"/>
  <c r="M113" i="2" s="1"/>
  <c r="E113" i="2"/>
  <c r="G113" i="2" s="1"/>
  <c r="S112" i="2"/>
  <c r="I112" i="2"/>
  <c r="M112" i="2" s="1"/>
  <c r="E112" i="2"/>
  <c r="G112" i="2" s="1"/>
  <c r="S111" i="2"/>
  <c r="W111" i="2" s="1"/>
  <c r="L111" i="2"/>
  <c r="I111" i="2"/>
  <c r="M111" i="2" s="1"/>
  <c r="E111" i="2"/>
  <c r="G111" i="2" s="1"/>
  <c r="S110" i="2"/>
  <c r="W110" i="2" s="1"/>
  <c r="I110" i="2"/>
  <c r="M110" i="2" s="1"/>
  <c r="E110" i="2"/>
  <c r="G110" i="2" s="1"/>
  <c r="S108" i="2"/>
  <c r="W108" i="2" s="1"/>
  <c r="O108" i="2"/>
  <c r="I108" i="2"/>
  <c r="M108" i="2" s="1"/>
  <c r="E108" i="2"/>
  <c r="G108" i="2" s="1"/>
  <c r="V107" i="2"/>
  <c r="S107" i="2"/>
  <c r="W107" i="2" s="1"/>
  <c r="O107" i="2"/>
  <c r="I107" i="2"/>
  <c r="M107" i="2" s="1"/>
  <c r="E107" i="2"/>
  <c r="G107" i="2" s="1"/>
  <c r="S106" i="2"/>
  <c r="W106" i="2" s="1"/>
  <c r="O106" i="2"/>
  <c r="L106" i="2"/>
  <c r="I106" i="2"/>
  <c r="M106" i="2" s="1"/>
  <c r="E106" i="2"/>
  <c r="G106" i="2" s="1"/>
  <c r="V105" i="2"/>
  <c r="S105" i="2"/>
  <c r="W105" i="2" s="1"/>
  <c r="O105" i="2"/>
  <c r="I105" i="2"/>
  <c r="M105" i="2" s="1"/>
  <c r="E105" i="2"/>
  <c r="G105" i="2" s="1"/>
  <c r="S104" i="2"/>
  <c r="W104" i="2" s="1"/>
  <c r="O104" i="2"/>
  <c r="L104" i="2"/>
  <c r="I104" i="2"/>
  <c r="M104" i="2" s="1"/>
  <c r="E104" i="2"/>
  <c r="G104" i="2" s="1"/>
  <c r="S103" i="2"/>
  <c r="W103" i="2" s="1"/>
  <c r="O103" i="2"/>
  <c r="L103" i="2"/>
  <c r="I103" i="2"/>
  <c r="M103" i="2" s="1"/>
  <c r="E103" i="2"/>
  <c r="G103" i="2" s="1"/>
  <c r="V102" i="2"/>
  <c r="S102" i="2"/>
  <c r="W102" i="2" s="1"/>
  <c r="O102" i="2"/>
  <c r="I102" i="2"/>
  <c r="M102" i="2" s="1"/>
  <c r="E102" i="2"/>
  <c r="G102" i="2" s="1"/>
  <c r="S101" i="2"/>
  <c r="W101" i="2" s="1"/>
  <c r="O101" i="2"/>
  <c r="I101" i="2"/>
  <c r="M101" i="2" s="1"/>
  <c r="E101" i="2"/>
  <c r="G101" i="2" s="1"/>
  <c r="S100" i="2"/>
  <c r="W100" i="2" s="1"/>
  <c r="O100" i="2"/>
  <c r="I100" i="2"/>
  <c r="M100" i="2" s="1"/>
  <c r="E100" i="2"/>
  <c r="G100" i="2" s="1"/>
  <c r="V99" i="2"/>
  <c r="S99" i="2"/>
  <c r="W99" i="2" s="1"/>
  <c r="O99" i="2"/>
  <c r="I99" i="2"/>
  <c r="M99" i="2" s="1"/>
  <c r="E99" i="2"/>
  <c r="G99" i="2" s="1"/>
  <c r="S98" i="2"/>
  <c r="W98" i="2" s="1"/>
  <c r="O98" i="2"/>
  <c r="L98" i="2"/>
  <c r="I98" i="2"/>
  <c r="M98" i="2" s="1"/>
  <c r="E98" i="2"/>
  <c r="G98" i="2" s="1"/>
  <c r="V97" i="2"/>
  <c r="S97" i="2"/>
  <c r="W97" i="2" s="1"/>
  <c r="O97" i="2"/>
  <c r="I97" i="2"/>
  <c r="M97" i="2" s="1"/>
  <c r="E97" i="2"/>
  <c r="G97" i="2" s="1"/>
  <c r="V96" i="2"/>
  <c r="S96" i="2"/>
  <c r="W96" i="2" s="1"/>
  <c r="O96" i="2"/>
  <c r="L96" i="2"/>
  <c r="I96" i="2"/>
  <c r="M96" i="2" s="1"/>
  <c r="E96" i="2"/>
  <c r="G96" i="2" s="1"/>
  <c r="S95" i="2"/>
  <c r="W95" i="2" s="1"/>
  <c r="O95" i="2"/>
  <c r="L95" i="2"/>
  <c r="I95" i="2"/>
  <c r="M95" i="2" s="1"/>
  <c r="E95" i="2"/>
  <c r="G95" i="2" s="1"/>
  <c r="V94" i="2"/>
  <c r="S94" i="2"/>
  <c r="W94" i="2" s="1"/>
  <c r="O94" i="2"/>
  <c r="I94" i="2"/>
  <c r="M94" i="2" s="1"/>
  <c r="E94" i="2"/>
  <c r="G94" i="2" s="1"/>
  <c r="S93" i="2"/>
  <c r="W93" i="2" s="1"/>
  <c r="O93" i="2"/>
  <c r="I93" i="2"/>
  <c r="M93" i="2" s="1"/>
  <c r="E93" i="2"/>
  <c r="G93" i="2" s="1"/>
  <c r="S92" i="2"/>
  <c r="W92" i="2" s="1"/>
  <c r="O92" i="2"/>
  <c r="I92" i="2"/>
  <c r="M92" i="2" s="1"/>
  <c r="E92" i="2"/>
  <c r="G92" i="2" s="1"/>
  <c r="V91" i="2"/>
  <c r="S91" i="2"/>
  <c r="W91" i="2" s="1"/>
  <c r="O91" i="2"/>
  <c r="I91" i="2"/>
  <c r="M91" i="2" s="1"/>
  <c r="E91" i="2"/>
  <c r="G91" i="2" s="1"/>
  <c r="S90" i="2"/>
  <c r="W90" i="2" s="1"/>
  <c r="O90" i="2"/>
  <c r="L90" i="2"/>
  <c r="I90" i="2"/>
  <c r="M90" i="2" s="1"/>
  <c r="E90" i="2"/>
  <c r="G90" i="2" s="1"/>
  <c r="V88" i="2"/>
  <c r="S88" i="2"/>
  <c r="W88" i="2" s="1"/>
  <c r="O88" i="2"/>
  <c r="I88" i="2"/>
  <c r="M88" i="2" s="1"/>
  <c r="E88" i="2"/>
  <c r="G88" i="2" s="1"/>
  <c r="V86" i="2"/>
  <c r="S86" i="2"/>
  <c r="W86" i="2" s="1"/>
  <c r="O86" i="2"/>
  <c r="I86" i="2"/>
  <c r="M86" i="2" s="1"/>
  <c r="E86" i="2"/>
  <c r="G86" i="2" s="1"/>
  <c r="S77" i="2"/>
  <c r="W77" i="2" s="1"/>
  <c r="I77" i="2"/>
  <c r="M77" i="2" s="1"/>
  <c r="E77" i="2"/>
  <c r="G77" i="2" s="1"/>
  <c r="S76" i="2"/>
  <c r="W76" i="2" s="1"/>
  <c r="I76" i="2"/>
  <c r="M76" i="2" s="1"/>
  <c r="G76" i="2"/>
  <c r="S75" i="2"/>
  <c r="W75" i="2" s="1"/>
  <c r="L75" i="2"/>
  <c r="I75" i="2"/>
  <c r="M75" i="2" s="1"/>
  <c r="E75" i="2"/>
  <c r="G75" i="2" s="1"/>
  <c r="S74" i="2"/>
  <c r="W74" i="2" s="1"/>
  <c r="O74" i="2"/>
  <c r="L74" i="2"/>
  <c r="I74" i="2"/>
  <c r="M74" i="2" s="1"/>
  <c r="E74" i="2"/>
  <c r="G74" i="2" s="1"/>
  <c r="V73" i="2"/>
  <c r="S73" i="2"/>
  <c r="W73" i="2" s="1"/>
  <c r="O73" i="2"/>
  <c r="I73" i="2"/>
  <c r="M73" i="2" s="1"/>
  <c r="E73" i="2"/>
  <c r="G73" i="2" s="1"/>
  <c r="S72" i="2"/>
  <c r="W72" i="2" s="1"/>
  <c r="O72" i="2"/>
  <c r="I72" i="2"/>
  <c r="M72" i="2" s="1"/>
  <c r="E72" i="2"/>
  <c r="G72" i="2" s="1"/>
  <c r="V71" i="2"/>
  <c r="S71" i="2"/>
  <c r="W71" i="2" s="1"/>
  <c r="O71" i="2"/>
  <c r="I71" i="2"/>
  <c r="M71" i="2" s="1"/>
  <c r="E71" i="2"/>
  <c r="G71" i="2" s="1"/>
  <c r="V70" i="2"/>
  <c r="S70" i="2"/>
  <c r="W70" i="2" s="1"/>
  <c r="I70" i="2"/>
  <c r="M70" i="2" s="1"/>
  <c r="E70" i="2"/>
  <c r="G70" i="2" s="1"/>
  <c r="V69" i="2"/>
  <c r="S69" i="2"/>
  <c r="W69" i="2" s="1"/>
  <c r="I69" i="2"/>
  <c r="M69" i="2" s="1"/>
  <c r="E69" i="2"/>
  <c r="G69" i="2" s="1"/>
  <c r="V68" i="2"/>
  <c r="S68" i="2"/>
  <c r="W68" i="2" s="1"/>
  <c r="I68" i="2"/>
  <c r="M68" i="2" s="1"/>
  <c r="E68" i="2"/>
  <c r="G68" i="2" s="1"/>
  <c r="S67" i="2"/>
  <c r="W67" i="2" s="1"/>
  <c r="I67" i="2"/>
  <c r="M67" i="2" s="1"/>
  <c r="E67" i="2"/>
  <c r="G67" i="2" s="1"/>
  <c r="S66" i="2"/>
  <c r="W66" i="2" s="1"/>
  <c r="O66" i="2"/>
  <c r="I66" i="2"/>
  <c r="E66" i="2"/>
  <c r="G66" i="2" s="1"/>
  <c r="S65" i="2"/>
  <c r="W65" i="2" s="1"/>
  <c r="O65" i="2"/>
  <c r="I65" i="2"/>
  <c r="M65" i="2" s="1"/>
  <c r="E65" i="2"/>
  <c r="G65" i="2" s="1"/>
  <c r="V64" i="2"/>
  <c r="S64" i="2"/>
  <c r="W64" i="2" s="1"/>
  <c r="O64" i="2"/>
  <c r="I64" i="2"/>
  <c r="M64" i="2" s="1"/>
  <c r="E64" i="2"/>
  <c r="G64" i="2" s="1"/>
  <c r="S63" i="2"/>
  <c r="W63" i="2" s="1"/>
  <c r="O63" i="2"/>
  <c r="L63" i="2"/>
  <c r="I63" i="2"/>
  <c r="M63" i="2" s="1"/>
  <c r="E63" i="2"/>
  <c r="G63" i="2" s="1"/>
  <c r="V62" i="2"/>
  <c r="S62" i="2"/>
  <c r="W62" i="2" s="1"/>
  <c r="O62" i="2"/>
  <c r="I62" i="2"/>
  <c r="M62" i="2" s="1"/>
  <c r="E62" i="2"/>
  <c r="G62" i="2" s="1"/>
  <c r="V61" i="2"/>
  <c r="S61" i="2"/>
  <c r="W61" i="2" s="1"/>
  <c r="O61" i="2"/>
  <c r="L61" i="2"/>
  <c r="I61" i="2"/>
  <c r="M61" i="2" s="1"/>
  <c r="E61" i="2"/>
  <c r="G61" i="2" s="1"/>
  <c r="V60" i="2"/>
  <c r="S60" i="2"/>
  <c r="W60" i="2" s="1"/>
  <c r="O60" i="2"/>
  <c r="L60" i="2"/>
  <c r="I60" i="2"/>
  <c r="M60" i="2" s="1"/>
  <c r="E60" i="2"/>
  <c r="G60" i="2" s="1"/>
  <c r="V59" i="2"/>
  <c r="S59" i="2"/>
  <c r="W59" i="2" s="1"/>
  <c r="O59" i="2"/>
  <c r="I59" i="2"/>
  <c r="M59" i="2" s="1"/>
  <c r="E59" i="2"/>
  <c r="G59" i="2" s="1"/>
  <c r="S58" i="2"/>
  <c r="W58" i="2" s="1"/>
  <c r="O58" i="2"/>
  <c r="L58" i="2"/>
  <c r="I58" i="2"/>
  <c r="M58" i="2" s="1"/>
  <c r="E58" i="2"/>
  <c r="G58" i="2" s="1"/>
  <c r="S57" i="2"/>
  <c r="W57" i="2" s="1"/>
  <c r="O57" i="2"/>
  <c r="I57" i="2"/>
  <c r="M57" i="2" s="1"/>
  <c r="E57" i="2"/>
  <c r="G57" i="2" s="1"/>
  <c r="V56" i="2"/>
  <c r="S56" i="2"/>
  <c r="W56" i="2" s="1"/>
  <c r="O56" i="2"/>
  <c r="I56" i="2"/>
  <c r="M56" i="2" s="1"/>
  <c r="E56" i="2"/>
  <c r="G56" i="2" s="1"/>
  <c r="S55" i="2"/>
  <c r="W55" i="2" s="1"/>
  <c r="O55" i="2"/>
  <c r="L55" i="2"/>
  <c r="I55" i="2"/>
  <c r="M55" i="2" s="1"/>
  <c r="E55" i="2"/>
  <c r="G55" i="2" s="1"/>
  <c r="V54" i="2"/>
  <c r="S54" i="2"/>
  <c r="W54" i="2" s="1"/>
  <c r="O54" i="2"/>
  <c r="I54" i="2"/>
  <c r="M54" i="2" s="1"/>
  <c r="E54" i="2"/>
  <c r="G54" i="2" s="1"/>
  <c r="V53" i="2"/>
  <c r="S53" i="2"/>
  <c r="W53" i="2" s="1"/>
  <c r="O53" i="2"/>
  <c r="L53" i="2"/>
  <c r="I53" i="2"/>
  <c r="M53" i="2" s="1"/>
  <c r="E53" i="2"/>
  <c r="G53" i="2" s="1"/>
  <c r="V52" i="2"/>
  <c r="S52" i="2"/>
  <c r="W52" i="2" s="1"/>
  <c r="O52" i="2"/>
  <c r="L52" i="2"/>
  <c r="I52" i="2"/>
  <c r="M52" i="2" s="1"/>
  <c r="E52" i="2"/>
  <c r="G52" i="2" s="1"/>
  <c r="V51" i="2"/>
  <c r="S51" i="2"/>
  <c r="W51" i="2" s="1"/>
  <c r="O51" i="2"/>
  <c r="L51" i="2"/>
  <c r="I51" i="2"/>
  <c r="M51" i="2" s="1"/>
  <c r="E51" i="2"/>
  <c r="G51" i="2" s="1"/>
  <c r="V50" i="2"/>
  <c r="S50" i="2"/>
  <c r="O50" i="2"/>
  <c r="L50" i="2"/>
  <c r="I50" i="2"/>
  <c r="M50" i="2" s="1"/>
  <c r="E50" i="2"/>
  <c r="G50" i="2" s="1"/>
  <c r="S49" i="2"/>
  <c r="W49" i="2" s="1"/>
  <c r="E49" i="2"/>
  <c r="G49" i="2" s="1"/>
  <c r="S48" i="2"/>
  <c r="W48" i="2" s="1"/>
  <c r="E48" i="2"/>
  <c r="G48" i="2" s="1"/>
  <c r="S47" i="2"/>
  <c r="W47" i="2" s="1"/>
  <c r="O47" i="2"/>
  <c r="L47" i="2"/>
  <c r="I47" i="2"/>
  <c r="M47" i="2" s="1"/>
  <c r="E47" i="2"/>
  <c r="G47" i="2" s="1"/>
  <c r="V46" i="2"/>
  <c r="S46" i="2"/>
  <c r="O46" i="2"/>
  <c r="I46" i="2"/>
  <c r="M46" i="2" s="1"/>
  <c r="E46" i="2"/>
  <c r="G46" i="2" s="1"/>
  <c r="S45" i="2"/>
  <c r="W45" i="2" s="1"/>
  <c r="O45" i="2"/>
  <c r="I45" i="2"/>
  <c r="M45" i="2" s="1"/>
  <c r="E45" i="2"/>
  <c r="G45" i="2" s="1"/>
  <c r="V44" i="2"/>
  <c r="S44" i="2"/>
  <c r="W44" i="2" s="1"/>
  <c r="O44" i="2"/>
  <c r="I44" i="2"/>
  <c r="M44" i="2" s="1"/>
  <c r="E44" i="2"/>
  <c r="G44" i="2" s="1"/>
  <c r="V43" i="2"/>
  <c r="S43" i="2"/>
  <c r="W43" i="2" s="1"/>
  <c r="O43" i="2"/>
  <c r="I43" i="2"/>
  <c r="M43" i="2" s="1"/>
  <c r="E43" i="2"/>
  <c r="G43" i="2" s="1"/>
  <c r="S42" i="2"/>
  <c r="W42" i="2" s="1"/>
  <c r="O42" i="2"/>
  <c r="L42" i="2"/>
  <c r="I42" i="2"/>
  <c r="M42" i="2" s="1"/>
  <c r="E42" i="2"/>
  <c r="G42" i="2" s="1"/>
  <c r="O41" i="2"/>
  <c r="E41" i="2"/>
  <c r="G41" i="2" s="1"/>
  <c r="O40" i="2"/>
  <c r="E40" i="2"/>
  <c r="G40" i="2" s="1"/>
  <c r="S39" i="2"/>
  <c r="W39" i="2" s="1"/>
  <c r="O39" i="2"/>
  <c r="L39" i="2"/>
  <c r="I39" i="2"/>
  <c r="M39" i="2" s="1"/>
  <c r="E39" i="2"/>
  <c r="G39" i="2" s="1"/>
  <c r="V38" i="2"/>
  <c r="S38" i="2"/>
  <c r="W38" i="2" s="1"/>
  <c r="O38" i="2"/>
  <c r="L38" i="2"/>
  <c r="I38" i="2"/>
  <c r="M38" i="2" s="1"/>
  <c r="E38" i="2"/>
  <c r="G38" i="2" s="1"/>
  <c r="S37" i="2"/>
  <c r="W37" i="2" s="1"/>
  <c r="O37" i="2"/>
  <c r="I37" i="2"/>
  <c r="M37" i="2" s="1"/>
  <c r="E37" i="2"/>
  <c r="G37" i="2" s="1"/>
  <c r="L36" i="2"/>
  <c r="I36" i="2"/>
  <c r="M36" i="2" s="1"/>
  <c r="E36" i="2"/>
  <c r="G36" i="2" s="1"/>
  <c r="L35" i="2"/>
  <c r="I35" i="2"/>
  <c r="M35" i="2" s="1"/>
  <c r="E35" i="2"/>
  <c r="G35" i="2" s="1"/>
  <c r="I34" i="2"/>
  <c r="M34" i="2" s="1"/>
  <c r="E34" i="2"/>
  <c r="G34" i="2" s="1"/>
  <c r="L33" i="2"/>
  <c r="I33" i="2"/>
  <c r="M33" i="2" s="1"/>
  <c r="E33" i="2"/>
  <c r="G33" i="2" s="1"/>
  <c r="L32" i="2"/>
  <c r="I32" i="2"/>
  <c r="M32" i="2" s="1"/>
  <c r="E32" i="2"/>
  <c r="G32" i="2" s="1"/>
  <c r="I31" i="2"/>
  <c r="M31" i="2" s="1"/>
  <c r="E31" i="2"/>
  <c r="G31" i="2" s="1"/>
  <c r="I30" i="2"/>
  <c r="M30" i="2" s="1"/>
  <c r="E30" i="2"/>
  <c r="G30" i="2" s="1"/>
  <c r="I29" i="2"/>
  <c r="M29" i="2" s="1"/>
  <c r="E29" i="2"/>
  <c r="G29" i="2" s="1"/>
  <c r="I28" i="2"/>
  <c r="M28" i="2" s="1"/>
  <c r="E28" i="2"/>
  <c r="G28" i="2" s="1"/>
  <c r="L27" i="2"/>
  <c r="I27" i="2"/>
  <c r="M27" i="2" s="1"/>
  <c r="E27" i="2"/>
  <c r="G27" i="2" s="1"/>
  <c r="S26" i="2"/>
  <c r="W26" i="2" s="1"/>
  <c r="I26" i="2"/>
  <c r="M26" i="2" s="1"/>
  <c r="E26" i="2"/>
  <c r="G26" i="2" s="1"/>
  <c r="S25" i="2"/>
  <c r="W25" i="2" s="1"/>
  <c r="I25" i="2"/>
  <c r="M25" i="2" s="1"/>
  <c r="E25" i="2"/>
  <c r="G25" i="2" s="1"/>
  <c r="L24" i="2"/>
  <c r="I24" i="2"/>
  <c r="M24" i="2" s="1"/>
  <c r="E24" i="2"/>
  <c r="G24" i="2" s="1"/>
  <c r="L23" i="2"/>
  <c r="I23" i="2"/>
  <c r="M23" i="2" s="1"/>
  <c r="E23" i="2"/>
  <c r="G23" i="2" s="1"/>
  <c r="I22" i="2"/>
  <c r="M22" i="2" s="1"/>
  <c r="E22" i="2"/>
  <c r="G22" i="2" s="1"/>
  <c r="I21" i="2"/>
  <c r="M21" i="2" s="1"/>
  <c r="E21" i="2"/>
  <c r="G21" i="2"/>
  <c r="I20" i="2"/>
  <c r="M20" i="2" s="1"/>
  <c r="E20" i="2"/>
  <c r="G20" i="2" s="1"/>
  <c r="L19" i="2"/>
  <c r="I19" i="2"/>
  <c r="M19" i="2" s="1"/>
  <c r="E19" i="2"/>
  <c r="G19" i="2" s="1"/>
  <c r="L18" i="2"/>
  <c r="I18" i="2"/>
  <c r="M18" i="2" s="1"/>
  <c r="E18" i="2"/>
  <c r="G18" i="2" s="1"/>
  <c r="I17" i="2"/>
  <c r="M17" i="2" s="1"/>
  <c r="E17" i="2"/>
  <c r="G17" i="2" s="1"/>
  <c r="I16" i="2"/>
  <c r="M16" i="2" s="1"/>
  <c r="E16" i="2"/>
  <c r="G16" i="2" s="1"/>
  <c r="I15" i="2"/>
  <c r="M15" i="2" s="1"/>
  <c r="E15" i="2"/>
  <c r="G15" i="2" s="1"/>
  <c r="L14" i="2"/>
  <c r="I14" i="2"/>
  <c r="M14" i="2" s="1"/>
  <c r="E14" i="2"/>
  <c r="G14" i="2" s="1"/>
  <c r="I13" i="2"/>
  <c r="M13" i="2" s="1"/>
  <c r="E13" i="2"/>
  <c r="G13" i="2" s="1"/>
  <c r="L12" i="2"/>
  <c r="I12" i="2"/>
  <c r="M12" i="2" s="1"/>
  <c r="E12" i="2"/>
  <c r="G12" i="2" s="1"/>
  <c r="L11" i="2"/>
  <c r="I11" i="2"/>
  <c r="M11" i="2" s="1"/>
  <c r="E11" i="2"/>
  <c r="G11" i="2" s="1"/>
  <c r="I10" i="2"/>
  <c r="M10" i="2" s="1"/>
  <c r="E10" i="2"/>
  <c r="G10" i="2" s="1"/>
  <c r="L9" i="2"/>
  <c r="I9" i="2"/>
  <c r="M9" i="2" s="1"/>
  <c r="E9" i="2"/>
  <c r="G9" i="2" s="1"/>
  <c r="I8" i="2"/>
  <c r="M8" i="2" s="1"/>
  <c r="E8" i="2"/>
  <c r="G8" i="2" s="1"/>
  <c r="L7" i="2"/>
  <c r="I7" i="2"/>
  <c r="M7" i="2" s="1"/>
  <c r="E7" i="2"/>
  <c r="G7" i="2" s="1"/>
  <c r="I6" i="2"/>
  <c r="M6" i="2" s="1"/>
  <c r="E6" i="2"/>
  <c r="G6" i="2" s="1"/>
  <c r="I5" i="2"/>
  <c r="M5" i="2" s="1"/>
  <c r="E5" i="2"/>
  <c r="G5" i="2" s="1"/>
  <c r="L4" i="2"/>
  <c r="I4" i="2"/>
  <c r="M4" i="2" s="1"/>
  <c r="E4" i="2"/>
  <c r="G4" i="2" s="1"/>
  <c r="V101" i="2"/>
  <c r="V93" i="2"/>
  <c r="M66" i="2"/>
  <c r="W112" i="2"/>
  <c r="M129" i="2"/>
  <c r="L44" i="2"/>
  <c r="L128" i="2"/>
  <c r="V100" i="2"/>
  <c r="W46" i="2"/>
  <c r="V104" i="2"/>
  <c r="L43" i="2"/>
  <c r="M134" i="2"/>
  <c r="L15" i="2"/>
  <c r="L8" i="2"/>
  <c r="V58" i="2"/>
  <c r="V92" i="2"/>
  <c r="L45" i="2"/>
  <c r="L13" i="2"/>
  <c r="V118" i="2"/>
  <c r="V72" i="2"/>
  <c r="V112" i="2"/>
  <c r="W117" i="2"/>
  <c r="V130" i="2"/>
  <c r="V132" i="2"/>
  <c r="V25" i="2"/>
  <c r="V57" i="2"/>
  <c r="L116" i="2"/>
  <c r="L120" i="2"/>
  <c r="L129" i="2"/>
  <c r="W50" i="2"/>
  <c r="V120" i="2"/>
  <c r="L127" i="2"/>
  <c r="V66" i="2"/>
  <c r="L76" i="2"/>
  <c r="L37" i="2"/>
  <c r="L70" i="2"/>
  <c r="L88" i="2"/>
  <c r="L105" i="2"/>
  <c r="L122" i="2"/>
  <c r="W127" i="2"/>
  <c r="V133" i="2"/>
  <c r="V113" i="2"/>
  <c r="V65" i="2"/>
  <c r="V108" i="2"/>
  <c r="L117" i="2"/>
  <c r="L21" i="2"/>
  <c r="L29" i="2"/>
  <c r="V55" i="2"/>
  <c r="V63" i="2"/>
  <c r="L68" i="2"/>
  <c r="V90" i="2"/>
  <c r="V98" i="2"/>
  <c r="V106" i="2"/>
  <c r="L115" i="2"/>
  <c r="L31" i="2"/>
  <c r="V119" i="2"/>
  <c r="V125" i="2"/>
  <c r="V48" i="2"/>
  <c r="L59" i="2"/>
  <c r="L67" i="2"/>
  <c r="L73" i="2"/>
  <c r="V75" i="2"/>
  <c r="L94" i="2"/>
  <c r="L102" i="2"/>
  <c r="V111" i="2"/>
  <c r="L114" i="2"/>
  <c r="V128" i="2"/>
  <c r="V115" i="2"/>
  <c r="V131" i="2"/>
  <c r="L66" i="2"/>
  <c r="L72" i="2"/>
  <c r="L93" i="2"/>
  <c r="L101" i="2"/>
  <c r="L110" i="2"/>
  <c r="V124" i="2"/>
  <c r="L130" i="2"/>
  <c r="V134" i="2"/>
  <c r="V74" i="2"/>
  <c r="V95" i="2"/>
  <c r="V103" i="2"/>
  <c r="L113" i="2"/>
  <c r="L121" i="2"/>
  <c r="L133" i="2"/>
  <c r="L46" i="2"/>
  <c r="L20" i="2"/>
  <c r="L28" i="2"/>
  <c r="L57" i="2"/>
  <c r="L65" i="2"/>
  <c r="V67" i="2"/>
  <c r="L71" i="2"/>
  <c r="L92" i="2"/>
  <c r="L100" i="2"/>
  <c r="L108" i="2"/>
  <c r="V114" i="2"/>
  <c r="V123" i="2"/>
  <c r="L136" i="2"/>
  <c r="L6" i="2"/>
  <c r="V26" i="2"/>
  <c r="L22" i="2"/>
  <c r="L30" i="2"/>
  <c r="V39" i="2"/>
  <c r="V47" i="2"/>
  <c r="L56" i="2"/>
  <c r="L64" i="2"/>
  <c r="L77" i="2"/>
  <c r="L86" i="2"/>
  <c r="L91" i="2"/>
  <c r="L99" i="2"/>
  <c r="L107" i="2"/>
  <c r="V110" i="2"/>
  <c r="L112" i="2"/>
  <c r="L25" i="2"/>
  <c r="V121" i="2"/>
  <c r="L132" i="2"/>
  <c r="V136" i="2"/>
  <c r="L62" i="2"/>
  <c r="L69" i="2"/>
  <c r="L97" i="2"/>
  <c r="V126" i="2"/>
  <c r="L5" i="2"/>
  <c r="L17" i="2"/>
  <c r="L10" i="2"/>
  <c r="L34" i="2"/>
  <c r="V37" i="2"/>
  <c r="V45" i="2"/>
  <c r="V49" i="2"/>
  <c r="L54" i="2"/>
  <c r="J13" i="1" l="1"/>
  <c r="L13" i="1" s="1"/>
  <c r="I13" i="1"/>
  <c r="J12" i="1"/>
  <c r="L12" i="1" s="1"/>
  <c r="I12" i="1"/>
  <c r="I9" i="1"/>
  <c r="J9" i="1"/>
  <c r="L9" i="1" s="1"/>
  <c r="I8" i="1"/>
  <c r="J8" i="1"/>
  <c r="L8" i="1" s="1"/>
  <c r="J11" i="1"/>
  <c r="L11" i="1" s="1"/>
  <c r="I11" i="1"/>
  <c r="J14" i="1"/>
  <c r="L14" i="1" s="1"/>
  <c r="I14" i="1"/>
  <c r="I10" i="1"/>
  <c r="J10" i="1"/>
  <c r="L10" i="1" s="1"/>
  <c r="J7" i="1"/>
  <c r="L7" i="1" s="1"/>
  <c r="I7" i="1"/>
  <c r="I6" i="1"/>
  <c r="I5" i="1"/>
  <c r="O16" i="1"/>
  <c r="E40" i="8"/>
  <c r="E39" i="8"/>
  <c r="H45" i="1"/>
  <c r="H44" i="1"/>
  <c r="U9" i="1"/>
  <c r="N11" i="1"/>
  <c r="N14" i="1"/>
  <c r="N13" i="1"/>
  <c r="AC13" i="1"/>
  <c r="N10" i="1"/>
  <c r="E43" i="8"/>
  <c r="V12" i="1"/>
  <c r="S12" i="1"/>
  <c r="AB11" i="1"/>
  <c r="AC12" i="1"/>
  <c r="AA12" i="1"/>
  <c r="E41" i="8"/>
  <c r="F75" i="1"/>
  <c r="E72" i="1"/>
  <c r="U13" i="1"/>
  <c r="W12" i="1"/>
  <c r="Z12" i="1"/>
  <c r="E65" i="1"/>
  <c r="T12" i="1"/>
  <c r="E38" i="8"/>
  <c r="E37" i="8"/>
  <c r="Y12" i="1"/>
  <c r="S8" i="1"/>
  <c r="T8" i="1"/>
  <c r="V10" i="1"/>
  <c r="C15" i="7"/>
  <c r="E29" i="8" a="1"/>
  <c r="E29" i="8" s="1"/>
  <c r="D59" i="1"/>
  <c r="E36" i="8"/>
  <c r="G45" i="8"/>
  <c r="G48" i="8" s="1"/>
  <c r="U14" i="1"/>
  <c r="Y14" i="1"/>
  <c r="AB12" i="1"/>
  <c r="AA13" i="1"/>
  <c r="AB14" i="1"/>
  <c r="AC14" i="1"/>
  <c r="Y13" i="1"/>
  <c r="AA14" i="1"/>
  <c r="X14" i="1"/>
  <c r="Z14" i="1"/>
  <c r="Z13" i="1"/>
  <c r="S14" i="1"/>
  <c r="Y8" i="1"/>
  <c r="Z8" i="1"/>
  <c r="W8" i="1"/>
  <c r="U7" i="1"/>
  <c r="X47" i="1" a="1"/>
  <c r="X47" i="1" s="1"/>
  <c r="X46" i="1" a="1"/>
  <c r="X46" i="1" s="1"/>
  <c r="X48" i="1" a="1"/>
  <c r="X48" i="1" s="1"/>
  <c r="Y48" i="1" a="1"/>
  <c r="Y48" i="1" s="1"/>
  <c r="Y47" i="1" a="1"/>
  <c r="Y47" i="1" s="1"/>
  <c r="Y46" i="1" a="1"/>
  <c r="Y46" i="1" s="1"/>
  <c r="Z10" i="1"/>
  <c r="AA10" i="1"/>
  <c r="T13" i="1"/>
  <c r="X12" i="1"/>
  <c r="W13" i="1"/>
  <c r="AC10" i="1"/>
  <c r="X13" i="1"/>
  <c r="S13" i="1"/>
  <c r="AD12" i="1"/>
  <c r="V14" i="1"/>
  <c r="T10" i="1"/>
  <c r="AB10" i="1"/>
  <c r="V13" i="1"/>
  <c r="Y10" i="1"/>
  <c r="AB13" i="1"/>
  <c r="AD13" i="1"/>
  <c r="T14" i="1"/>
  <c r="W10" i="1"/>
  <c r="S10" i="1"/>
  <c r="AD14" i="1"/>
  <c r="X10" i="1"/>
  <c r="C18" i="8" a="1"/>
  <c r="C18" i="8" s="1"/>
  <c r="T7" i="1"/>
  <c r="V7" i="1"/>
  <c r="W7" i="1"/>
  <c r="S7" i="1"/>
  <c r="AD7" i="1"/>
  <c r="AB7" i="1"/>
  <c r="U10" i="1"/>
  <c r="AD11" i="1"/>
  <c r="AC11" i="1"/>
  <c r="AA11" i="1"/>
  <c r="Z11" i="1"/>
  <c r="U11" i="1"/>
  <c r="V11" i="1"/>
  <c r="T11" i="1"/>
  <c r="Y11" i="1"/>
  <c r="S11" i="1"/>
  <c r="W11" i="1"/>
  <c r="X11" i="1"/>
  <c r="N12" i="1"/>
  <c r="AD10" i="1"/>
  <c r="N9" i="1"/>
  <c r="T9" i="1"/>
  <c r="Y9" i="1"/>
  <c r="V9" i="1"/>
  <c r="AB9" i="1"/>
  <c r="AD9" i="1"/>
  <c r="W9" i="1"/>
  <c r="S9" i="1"/>
  <c r="Z9" i="1"/>
  <c r="AC9" i="1"/>
  <c r="AA9" i="1"/>
  <c r="X9" i="1"/>
  <c r="B23" i="7"/>
  <c r="N8" i="1"/>
  <c r="B22" i="7"/>
  <c r="V6" i="1"/>
  <c r="N7" i="1"/>
  <c r="Y7" i="1"/>
  <c r="Z7" i="1"/>
  <c r="X7" i="1"/>
  <c r="AA7" i="1"/>
  <c r="AC7" i="1"/>
  <c r="B21" i="7"/>
  <c r="X6" i="1"/>
  <c r="AC5" i="1"/>
  <c r="D61" i="1"/>
  <c r="E61" i="1" s="1"/>
  <c r="C4" i="7" a="1"/>
  <c r="C4" i="7" s="1"/>
  <c r="F28" i="8"/>
  <c r="D15" i="7"/>
  <c r="D16" i="7"/>
  <c r="F44" i="8"/>
  <c r="AB6" i="1"/>
  <c r="Y6" i="1"/>
  <c r="B20" i="7"/>
  <c r="AB5" i="1"/>
  <c r="B19" i="7"/>
  <c r="F29" i="8"/>
  <c r="AC6" i="1"/>
  <c r="AA8" i="1"/>
  <c r="Z6" i="1"/>
  <c r="X8" i="1"/>
  <c r="W5" i="1"/>
  <c r="AA6" i="1"/>
  <c r="U5" i="1"/>
  <c r="U6" i="1"/>
  <c r="Y5" i="1"/>
  <c r="AA5" i="1"/>
  <c r="S6" i="1"/>
  <c r="V5" i="1"/>
  <c r="T6" i="1"/>
  <c r="AB8" i="1"/>
  <c r="T5" i="1"/>
  <c r="AD6" i="1"/>
  <c r="AC8" i="1"/>
  <c r="X5" i="1"/>
  <c r="V8" i="1"/>
  <c r="Z5" i="1"/>
  <c r="AD5" i="1"/>
  <c r="AD8" i="1"/>
  <c r="W6" i="1"/>
  <c r="U8" i="1"/>
  <c r="C8" i="7" a="1"/>
  <c r="C8" i="7" s="1"/>
  <c r="D64" i="1" l="1"/>
  <c r="C64" i="1"/>
  <c r="E57" i="1"/>
  <c r="Y44" i="1" a="1"/>
  <c r="Y44" i="1" s="1"/>
  <c r="C56" i="1"/>
  <c r="D56" i="1"/>
  <c r="D58" i="1" s="1"/>
  <c r="E56" i="1"/>
  <c r="G33" i="8"/>
  <c r="H16" i="1"/>
  <c r="B35" i="8" s="1"/>
  <c r="Y45" i="1" a="1"/>
  <c r="Y45" i="1" s="1"/>
  <c r="X45" i="1" a="1"/>
  <c r="X45" i="1" s="1"/>
  <c r="H49" i="1"/>
  <c r="C63" i="1" s="1"/>
  <c r="X44" i="1" a="1"/>
  <c r="X44" i="1" s="1"/>
  <c r="E49" i="1"/>
  <c r="E50" i="1" s="1"/>
  <c r="X32" i="1"/>
  <c r="Y32" i="1" s="1"/>
  <c r="Z32" i="1" s="1"/>
  <c r="X33" i="1"/>
  <c r="Y33" i="1" s="1"/>
  <c r="Z33" i="1" s="1"/>
  <c r="X26" i="1"/>
  <c r="Y26" i="1" s="1"/>
  <c r="Z26" i="1" s="1"/>
  <c r="X20" i="1"/>
  <c r="Y20" i="1" s="1"/>
  <c r="Z20" i="1" s="1"/>
  <c r="X21" i="1"/>
  <c r="Y21" i="1" s="1"/>
  <c r="Z21" i="1" s="1"/>
  <c r="X27" i="1"/>
  <c r="Y27" i="1" s="1"/>
  <c r="Z27" i="1" s="1"/>
  <c r="X22" i="1"/>
  <c r="Y22" i="1" s="1"/>
  <c r="Z22" i="1" s="1"/>
  <c r="X23" i="1"/>
  <c r="Y23" i="1" s="1"/>
  <c r="Z23" i="1" s="1"/>
  <c r="X25" i="1"/>
  <c r="Y25" i="1" s="1"/>
  <c r="Z25" i="1" s="1"/>
  <c r="X24" i="1"/>
  <c r="Y24" i="1" s="1"/>
  <c r="Z24" i="1" s="1"/>
  <c r="X28" i="1"/>
  <c r="Y28" i="1" s="1"/>
  <c r="Z28" i="1" s="1"/>
  <c r="X30" i="1"/>
  <c r="Y30" i="1" s="1"/>
  <c r="Z30" i="1" s="1"/>
  <c r="X29" i="1"/>
  <c r="Y29" i="1" s="1"/>
  <c r="Z29" i="1" s="1"/>
  <c r="X31" i="1"/>
  <c r="Y31" i="1" s="1"/>
  <c r="Z31" i="1" s="1"/>
  <c r="X19" i="1"/>
  <c r="Y19" i="1" s="1"/>
  <c r="G29" i="8" a="1"/>
  <c r="G29" i="8" s="1"/>
  <c r="E15" i="7" a="1"/>
  <c r="E15" i="7" s="1"/>
  <c r="J6" i="1" l="1"/>
  <c r="L6" i="1" s="1"/>
  <c r="J5" i="1"/>
  <c r="L5" i="1" s="1"/>
  <c r="D66" i="1"/>
  <c r="C66" i="1"/>
  <c r="C60" i="1"/>
  <c r="C58" i="1"/>
  <c r="D45" i="1"/>
  <c r="S45" i="1" s="1" a="1"/>
  <c r="S45" i="1" s="1"/>
  <c r="D44" i="1"/>
  <c r="G44" i="1" s="1"/>
  <c r="D63" i="1"/>
  <c r="E74" i="1" s="1"/>
  <c r="Y34" i="1"/>
  <c r="Z19" i="1"/>
  <c r="G63" i="1" s="1"/>
  <c r="J63" i="1" s="1"/>
  <c r="E24" i="8" a="1"/>
  <c r="E24" i="8" s="1"/>
  <c r="E28" i="8"/>
  <c r="R48" i="1"/>
  <c r="S48" i="1" a="1"/>
  <c r="S48" i="1" s="1"/>
  <c r="S47" i="1" a="1"/>
  <c r="S47" i="1" s="1"/>
  <c r="S46" i="1" a="1"/>
  <c r="S46" i="1" s="1"/>
  <c r="R46" i="1"/>
  <c r="R47" i="1"/>
  <c r="G31" i="8"/>
  <c r="B18" i="7"/>
  <c r="E24" i="7"/>
  <c r="C19" i="8"/>
  <c r="B50" i="8"/>
  <c r="C24" i="7"/>
  <c r="E44" i="8"/>
  <c r="C14" i="7"/>
  <c r="C9" i="7"/>
  <c r="G44" i="8"/>
  <c r="B29" i="7"/>
  <c r="F56" i="1"/>
  <c r="A71" i="1" a="1"/>
  <c r="A71" i="1" s="1"/>
  <c r="C71" i="1" a="1"/>
  <c r="C71" i="1" s="1"/>
  <c r="B71" i="1" a="1"/>
  <c r="B71" i="1" s="1"/>
  <c r="E59" i="1"/>
  <c r="J16" i="1" l="1"/>
  <c r="G45" i="1"/>
  <c r="G49" i="1" s="1"/>
  <c r="R45" i="1"/>
  <c r="E63" i="1"/>
  <c r="E75" i="1"/>
  <c r="G62" i="1"/>
  <c r="J62" i="1" s="1"/>
  <c r="E58" i="1"/>
  <c r="Z34" i="1"/>
  <c r="R44" i="1"/>
  <c r="D49" i="1"/>
  <c r="D50" i="1" s="1"/>
  <c r="G32" i="8"/>
  <c r="G51" i="8" s="1"/>
  <c r="G28" i="8"/>
  <c r="C10" i="7"/>
  <c r="C16" i="7"/>
  <c r="S44" i="1" a="1"/>
  <c r="S44" i="1" s="1"/>
  <c r="E14" i="7"/>
  <c r="E28" i="7" s="1"/>
  <c r="D60" i="1"/>
  <c r="M6" i="1" l="1"/>
  <c r="C62" i="1"/>
  <c r="G61" i="1" s="1"/>
  <c r="M15" i="1"/>
  <c r="M10" i="1"/>
  <c r="G43" i="8" s="1"/>
  <c r="M13" i="1"/>
  <c r="M14" i="1"/>
  <c r="M11" i="1"/>
  <c r="M12" i="1"/>
  <c r="G41" i="8" s="1"/>
  <c r="M5" i="1"/>
  <c r="N5" i="1" s="1"/>
  <c r="M7" i="1"/>
  <c r="M9" i="1"/>
  <c r="M8" i="1"/>
  <c r="E60" i="1"/>
  <c r="E64" i="1"/>
  <c r="H63" i="1"/>
  <c r="K63" i="1" s="1"/>
  <c r="H62" i="1"/>
  <c r="B24" i="8" a="1"/>
  <c r="B24" i="8" s="1"/>
  <c r="G37" i="8" l="1"/>
  <c r="N6" i="1"/>
  <c r="E20" i="7"/>
  <c r="J61" i="1"/>
  <c r="E22" i="7"/>
  <c r="G39" i="8"/>
  <c r="E23" i="7"/>
  <c r="G40" i="8"/>
  <c r="M16" i="1"/>
  <c r="E21" i="7"/>
  <c r="G38" i="8"/>
  <c r="K59" i="1"/>
  <c r="K62" i="1"/>
  <c r="E66" i="1"/>
  <c r="G34" i="8"/>
  <c r="G49" i="8" s="1"/>
  <c r="G64" i="1"/>
  <c r="J64" i="1" s="1"/>
  <c r="C67" i="1"/>
  <c r="C68" i="1" s="1"/>
  <c r="G30" i="8"/>
  <c r="D62" i="1"/>
  <c r="E16" i="7"/>
  <c r="E19" i="7" l="1"/>
  <c r="E29" i="7" s="1"/>
  <c r="E30" i="7" s="1"/>
  <c r="E31" i="7" s="1"/>
  <c r="G36" i="8"/>
  <c r="G50" i="8" s="1"/>
  <c r="G52" i="8" s="1"/>
  <c r="G53" i="8" s="1"/>
  <c r="N16" i="1"/>
  <c r="E62" i="1"/>
  <c r="H61" i="1"/>
  <c r="D67" i="1"/>
  <c r="H64" i="1" l="1"/>
  <c r="K64" i="1" s="1"/>
  <c r="K61" i="1"/>
  <c r="D68" i="1"/>
  <c r="J72" i="1"/>
  <c r="J73" i="1" s="1"/>
</calcChain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<sst xmlns="http://schemas.openxmlformats.org/spreadsheetml/2006/main" count="2403" uniqueCount="689">
  <si>
    <t>52N85C8NS1BV</t>
  </si>
  <si>
    <t>Eje 1</t>
  </si>
  <si>
    <t>Eje 2</t>
  </si>
  <si>
    <t>Eje 3</t>
  </si>
  <si>
    <t>Eje 4</t>
  </si>
  <si>
    <t>Eje 5</t>
  </si>
  <si>
    <t>Eje 6</t>
  </si>
  <si>
    <t>Bateria Robot</t>
  </si>
  <si>
    <t>Bateria CPU</t>
  </si>
  <si>
    <t>Bateria Controladora</t>
  </si>
  <si>
    <t>ZTUKK1A13ZBO</t>
  </si>
  <si>
    <t>Tipo Mantenimiento</t>
  </si>
  <si>
    <t>QTY</t>
  </si>
  <si>
    <t>Baterias (X)</t>
  </si>
  <si>
    <t>Horas</t>
  </si>
  <si>
    <t>TOTAL</t>
  </si>
  <si>
    <t xml:space="preserve"> ACEITE</t>
  </si>
  <si>
    <t>Columna1</t>
  </si>
  <si>
    <t>Type</t>
  </si>
  <si>
    <t>Vol.</t>
  </si>
  <si>
    <t>Type2</t>
  </si>
  <si>
    <t>Vol.3</t>
  </si>
  <si>
    <t>Type4</t>
  </si>
  <si>
    <t>Vol.5</t>
  </si>
  <si>
    <t>Type6</t>
  </si>
  <si>
    <t>Vol.7</t>
  </si>
  <si>
    <t>Type8</t>
  </si>
  <si>
    <t>Vol.9</t>
  </si>
  <si>
    <t>Type10</t>
  </si>
  <si>
    <t>Vol.11</t>
  </si>
  <si>
    <t>KRC4</t>
  </si>
  <si>
    <t>KR210 R2700 Extra KRC 4</t>
  </si>
  <si>
    <t>Nivel 3</t>
  </si>
  <si>
    <t>KRC2</t>
  </si>
  <si>
    <t>CLIENTE</t>
  </si>
  <si>
    <t>Codigo</t>
  </si>
  <si>
    <t>Material</t>
  </si>
  <si>
    <t>Litros</t>
  </si>
  <si>
    <t>Cliente</t>
  </si>
  <si>
    <t>Destino</t>
  </si>
  <si>
    <t>HORAS TOTAL</t>
  </si>
  <si>
    <t>DIAS VIAJE</t>
  </si>
  <si>
    <t>PEAJES</t>
  </si>
  <si>
    <t>A</t>
  </si>
  <si>
    <t>Shell Omala S4 WE 150 ou Shell Tivela S150</t>
  </si>
  <si>
    <t>Tretty</t>
  </si>
  <si>
    <t>B</t>
  </si>
  <si>
    <t>Kyodo Yushi TMO 150.</t>
  </si>
  <si>
    <t>C</t>
  </si>
  <si>
    <t>ALPHA SP320 - CASTROL OPTIMAL</t>
  </si>
  <si>
    <t>€ HORA TRABAJO</t>
  </si>
  <si>
    <t>€ HORA DESPL.</t>
  </si>
  <si>
    <t>€ DIETA</t>
  </si>
  <si>
    <t>€ GESTION ACCESOS</t>
  </si>
  <si>
    <t>D</t>
  </si>
  <si>
    <t>Optimol Optigear BM100</t>
  </si>
  <si>
    <t>E</t>
  </si>
  <si>
    <t>BEACON 2 (Gadus)</t>
  </si>
  <si>
    <t>F</t>
  </si>
  <si>
    <t>PD0 Castrol Tribol GR 100-0 PD</t>
  </si>
  <si>
    <t>G</t>
  </si>
  <si>
    <t>Glygoyl 460</t>
  </si>
  <si>
    <t>H</t>
  </si>
  <si>
    <t>Optigear Synthetic RO 150</t>
  </si>
  <si>
    <t>I</t>
  </si>
  <si>
    <t>LGEP2 Soc. SKF</t>
  </si>
  <si>
    <t>DATOS CALCULOS</t>
  </si>
  <si>
    <t>J</t>
  </si>
  <si>
    <t>Optitemp RB1 Soc. Optimol</t>
  </si>
  <si>
    <t>K</t>
  </si>
  <si>
    <t>Microlub GL 261Soc. Optimol</t>
  </si>
  <si>
    <t>Gestion Accesos Nueva (X)</t>
  </si>
  <si>
    <t>L</t>
  </si>
  <si>
    <t>Optigear Olit CLS</t>
  </si>
  <si>
    <t>Numero Tecnicos</t>
  </si>
  <si>
    <t>M</t>
  </si>
  <si>
    <t>Bonnoc AX68 A98L-0040-0233</t>
  </si>
  <si>
    <t>Idas y Vueltas</t>
  </si>
  <si>
    <t>N</t>
  </si>
  <si>
    <t>Harmonic grease 4BNo.2 A98L-0040-0230</t>
  </si>
  <si>
    <t>O</t>
  </si>
  <si>
    <t>MOBIL FM 222</t>
  </si>
  <si>
    <t>Multp Dias</t>
  </si>
  <si>
    <t>Horas Dia</t>
  </si>
  <si>
    <t>Dietas extra</t>
  </si>
  <si>
    <t>Equivale a:</t>
  </si>
  <si>
    <t>Dias Trabajo</t>
  </si>
  <si>
    <t>Dias Viaje</t>
  </si>
  <si>
    <t>Horas Trabj.</t>
  </si>
  <si>
    <t>Horas Viaje</t>
  </si>
  <si>
    <t>Diurno: 8:00 - 18:00 h (estándar):</t>
  </si>
  <si>
    <t>-</t>
  </si>
  <si>
    <t>YA SE CUENTAN</t>
  </si>
  <si>
    <t>Tarde: 18:00 - 22:00 h</t>
  </si>
  <si>
    <t>Nocturno: 22:00 - 6:00 h</t>
  </si>
  <si>
    <t>Madrugada: 6:00 - 8:00 h</t>
  </si>
  <si>
    <t>Domingos + festivos</t>
  </si>
  <si>
    <t>Navidad + Año Nuevo</t>
  </si>
  <si>
    <t>TOTAL DIAS EXTRAS</t>
  </si>
  <si>
    <t>SUMA * NUMERO TECNICOS</t>
  </si>
  <si>
    <t>DIAS RESTANTES</t>
  </si>
  <si>
    <t>RESUMEN</t>
  </si>
  <si>
    <t>Dias Desplazamiento</t>
  </si>
  <si>
    <t>REDONDEADOS</t>
  </si>
  <si>
    <t>CALCULADOS</t>
  </si>
  <si>
    <t>Trabajos</t>
  </si>
  <si>
    <t>Desplazamiento</t>
  </si>
  <si>
    <t>Dietas</t>
  </si>
  <si>
    <t>Gestion Accesos</t>
  </si>
  <si>
    <t>Trabajo en planta</t>
  </si>
  <si>
    <t>Trabajos fuera horario estandar</t>
  </si>
  <si>
    <t>Desplazamiento y dietas</t>
  </si>
  <si>
    <t>Viajes fuera horario estandar</t>
  </si>
  <si>
    <t>Aceites</t>
  </si>
  <si>
    <t>litros</t>
  </si>
  <si>
    <t xml:space="preserve"> </t>
  </si>
  <si>
    <t>Desglose</t>
  </si>
  <si>
    <t>Baterias</t>
  </si>
  <si>
    <t>qty</t>
  </si>
  <si>
    <t>tipo</t>
  </si>
  <si>
    <t>CPU</t>
  </si>
  <si>
    <t>ROBOT</t>
  </si>
  <si>
    <t>KR210-2 2000 KRC 2</t>
  </si>
  <si>
    <t>x</t>
  </si>
  <si>
    <t>KR210 R2700-2 KRC 4</t>
  </si>
  <si>
    <t>Nivel 1</t>
  </si>
  <si>
    <t>IRB6400REX S4C+</t>
  </si>
  <si>
    <t>IRB6640 IRC5</t>
  </si>
  <si>
    <t>Tecnicos</t>
  </si>
  <si>
    <t>Fuera horario</t>
  </si>
  <si>
    <t>Dietas Extra</t>
  </si>
  <si>
    <t>Total Dietas</t>
  </si>
  <si>
    <t>Total Viaje</t>
  </si>
  <si>
    <t>Fuera Horario</t>
  </si>
  <si>
    <t>Soporte (redondeo dia)</t>
  </si>
  <si>
    <t>Gestion accesos</t>
  </si>
  <si>
    <t>Total Viaje y Dietas</t>
  </si>
  <si>
    <t>21% IVA</t>
  </si>
  <si>
    <t>DESGLOSE DE OFERTA</t>
  </si>
  <si>
    <t>APRI Control S. Coop. Pequeña</t>
  </si>
  <si>
    <t>F56383201</t>
  </si>
  <si>
    <t>Polígono Industrial Granada II, Naves H1-H2</t>
  </si>
  <si>
    <t>Ortuella (48530), Bizkaia, España</t>
  </si>
  <si>
    <t>invoices@apricontrol.com</t>
  </si>
  <si>
    <t>Técnicos</t>
  </si>
  <si>
    <t>Días Viaje</t>
  </si>
  <si>
    <t>Días Trabajo</t>
  </si>
  <si>
    <t>Trabajos Fuera Horario</t>
  </si>
  <si>
    <t>Viajes Fuera Horario</t>
  </si>
  <si>
    <t>Concepto</t>
  </si>
  <si>
    <t>Cantidad</t>
  </si>
  <si>
    <t>Precio</t>
  </si>
  <si>
    <t>Subtotal</t>
  </si>
  <si>
    <t>Soporte (redondeo día)</t>
  </si>
  <si>
    <t>Gestión accesos</t>
  </si>
  <si>
    <r>
      <t>APRI Control S. Coop. Pequeña - NIF: F56383201</t>
    </r>
    <r>
      <rPr>
        <sz val="9"/>
        <color theme="0" tint="-0.499984740745262"/>
        <rFont val="Segoe UI"/>
        <family val="2"/>
      </rPr>
      <t xml:space="preserve"> - Registro de Cooperativas de Euskadi: </t>
    </r>
  </si>
  <si>
    <t>Libro de Inscripción de Sociedades Cooperativas Pequeñas, Folio 1872, Asiento 1.</t>
  </si>
  <si>
    <t>Sitio</t>
  </si>
  <si>
    <t>Horas Trayecto</t>
  </si>
  <si>
    <t>KM</t>
  </si>
  <si>
    <t>Peajes</t>
  </si>
  <si>
    <t>€ HORA DESPLAZAMIENTO</t>
  </si>
  <si>
    <t>Schaffler</t>
  </si>
  <si>
    <t>Éibar, 20600, Guipúzcoa</t>
  </si>
  <si>
    <t xml:space="preserve">CIE GALFOR </t>
  </si>
  <si>
    <t>2901 San Cibrao das Viñas</t>
  </si>
  <si>
    <t>RoboticSerice</t>
  </si>
  <si>
    <t>Draxton</t>
  </si>
  <si>
    <t>Utrillas, Teruel</t>
  </si>
  <si>
    <t>Girona</t>
  </si>
  <si>
    <t>BAREME MAINTENANCE PREVENTIVE</t>
  </si>
  <si>
    <t>Taux MO :</t>
  </si>
  <si>
    <t>Niveau 1</t>
  </si>
  <si>
    <t>Niveau 2</t>
  </si>
  <si>
    <t>Niveau 2 Inv</t>
  </si>
  <si>
    <t>Niveau 3</t>
  </si>
  <si>
    <t>Nb H</t>
  </si>
  <si>
    <t>MO</t>
  </si>
  <si>
    <t>PF</t>
  </si>
  <si>
    <t>Total</t>
  </si>
  <si>
    <t>Cout Huiles</t>
  </si>
  <si>
    <t>PV Fournitures</t>
  </si>
  <si>
    <t>Huiles</t>
  </si>
  <si>
    <t>IRC5P</t>
  </si>
  <si>
    <t>IRB52 IRC5P</t>
  </si>
  <si>
    <t>IRB52</t>
  </si>
  <si>
    <t>IRC5 COMP</t>
  </si>
  <si>
    <t>IRB120 IRC5 COMP</t>
  </si>
  <si>
    <t>IRB120</t>
  </si>
  <si>
    <t>IRB1200 IRC5 COMP</t>
  </si>
  <si>
    <t>IRB1200</t>
  </si>
  <si>
    <t>M2004</t>
  </si>
  <si>
    <t>IRC5</t>
  </si>
  <si>
    <t>S4C</t>
  </si>
  <si>
    <t>IRB140 S4C</t>
  </si>
  <si>
    <t>IRB140</t>
  </si>
  <si>
    <t>M2000</t>
  </si>
  <si>
    <t>S4C+</t>
  </si>
  <si>
    <t>IRB140 S4C+</t>
  </si>
  <si>
    <t>IRB140 IRC5</t>
  </si>
  <si>
    <t>IRB140 IRC5 COMP</t>
  </si>
  <si>
    <t>S4</t>
  </si>
  <si>
    <t>IRB1400 S4</t>
  </si>
  <si>
    <t>IRB1400</t>
  </si>
  <si>
    <t>IRB1400 S4C</t>
  </si>
  <si>
    <t>IRB1400 S4C+</t>
  </si>
  <si>
    <t>IRB1400 IRC5</t>
  </si>
  <si>
    <t>ABB 6 Cellules 4944026-4</t>
  </si>
  <si>
    <t>IRB1200 IRC5</t>
  </si>
  <si>
    <t>IRB1600 (ID) IRC5</t>
  </si>
  <si>
    <t>IRB1600 (ID)</t>
  </si>
  <si>
    <t>IRB1600 (ID) IRC5 COMP</t>
  </si>
  <si>
    <t>IRB2400 S4</t>
  </si>
  <si>
    <t>IRB2400</t>
  </si>
  <si>
    <t>IRB2400 S4C</t>
  </si>
  <si>
    <t>IRB2400 S4C+</t>
  </si>
  <si>
    <t>IRB2400 IRC5</t>
  </si>
  <si>
    <t>IRB2400L S4C</t>
  </si>
  <si>
    <t>IRB2400L</t>
  </si>
  <si>
    <t>IRB2400L S4C+</t>
  </si>
  <si>
    <t>IRB2400L IRC5</t>
  </si>
  <si>
    <t>IRB2600 IRC5</t>
  </si>
  <si>
    <t>IRB2600</t>
  </si>
  <si>
    <t>IRB2600ID IRC5</t>
  </si>
  <si>
    <t>IRB2600ID</t>
  </si>
  <si>
    <t>IRB4400 S4C</t>
  </si>
  <si>
    <t>IRB4400</t>
  </si>
  <si>
    <t>IRB4400 S4C+</t>
  </si>
  <si>
    <t>IRB4400 IRC5</t>
  </si>
  <si>
    <t>IRB4400F S4C</t>
  </si>
  <si>
    <t>IRB4400F</t>
  </si>
  <si>
    <t>IRB4400F S4C+</t>
  </si>
  <si>
    <t>IRB4400F IRC5</t>
  </si>
  <si>
    <t>IRB4400L10 S4C</t>
  </si>
  <si>
    <t>IRB4400L10</t>
  </si>
  <si>
    <t>IRB4400L10 S4C+</t>
  </si>
  <si>
    <t>IRB4400L30 S4C+</t>
  </si>
  <si>
    <t>IRB4400L10 IRC5</t>
  </si>
  <si>
    <t>IRB460 IRC5</t>
  </si>
  <si>
    <t>IRB4600A/B IRC5</t>
  </si>
  <si>
    <t>IRB4600A/B</t>
  </si>
  <si>
    <t>IRB4600C/D IRC5</t>
  </si>
  <si>
    <t>IRB4600C/D</t>
  </si>
  <si>
    <t>IRB5400 IRC5P</t>
  </si>
  <si>
    <t>IRB580 IRC5P</t>
  </si>
  <si>
    <t>IRB5500 IRC5</t>
  </si>
  <si>
    <t>IRB6400 S4C</t>
  </si>
  <si>
    <t>IRB6400</t>
  </si>
  <si>
    <t>IRB640 S4C</t>
  </si>
  <si>
    <t>IRB640</t>
  </si>
  <si>
    <t>IRB640 S4C+</t>
  </si>
  <si>
    <t>IRB6400REX S4C</t>
  </si>
  <si>
    <t>IRB6400R</t>
  </si>
  <si>
    <t>IRB660 S4C+</t>
  </si>
  <si>
    <t>IRB660</t>
  </si>
  <si>
    <t>IRB660 IRC5</t>
  </si>
  <si>
    <t>IRB6600 S150 S4C+</t>
  </si>
  <si>
    <t>IRB6600 S150 IRC5</t>
  </si>
  <si>
    <t>IRB6640</t>
  </si>
  <si>
    <t>IRB6650 S150 S4C+</t>
  </si>
  <si>
    <t>IRB6650S IRC5</t>
  </si>
  <si>
    <t>IRB6650 S150 IRC5</t>
  </si>
  <si>
    <t>IRB6600 TMO S4C+</t>
  </si>
  <si>
    <t>IRB6600 TMO IRC5</t>
  </si>
  <si>
    <t>IRB6650 TMO S4C+</t>
  </si>
  <si>
    <t>IRB6650 TMO IRC5</t>
  </si>
  <si>
    <t>IRB6620 IRC5</t>
  </si>
  <si>
    <t>IRB6620</t>
  </si>
  <si>
    <t>IRB6620LX</t>
  </si>
  <si>
    <t>IRB6660 IRC5</t>
  </si>
  <si>
    <t>IRB6660</t>
  </si>
  <si>
    <t>IRB6700-235/2.65 IRC5</t>
  </si>
  <si>
    <t>IRB6700 versions 1</t>
  </si>
  <si>
    <t>IRB6700-205/2.80 IRC5</t>
  </si>
  <si>
    <t>IRB6700-175/3.05 IRC5</t>
  </si>
  <si>
    <t>IRB6700-150/3.2 IRC5</t>
  </si>
  <si>
    <t>IRB6700 versions 2</t>
  </si>
  <si>
    <t>IRB6700-200/2.60 IRC5</t>
  </si>
  <si>
    <t>IRB6700-155/2.85 IRC5</t>
  </si>
  <si>
    <t>IRB6700-300/2.70 IRC5</t>
  </si>
  <si>
    <t>IRB6700 versions 3</t>
  </si>
  <si>
    <t>IRB6700-245/3.00 IRC5</t>
  </si>
  <si>
    <t>IRB7600 S150 S4C+</t>
  </si>
  <si>
    <t>IRB7600 S150</t>
  </si>
  <si>
    <t>IRB7600 S150 IRC5</t>
  </si>
  <si>
    <t>IRB7600 TMO S4C+</t>
  </si>
  <si>
    <t>IRB7600 TMO</t>
  </si>
  <si>
    <t>IRB7600 TMO IRC5</t>
  </si>
  <si>
    <t>IRB8700</t>
  </si>
  <si>
    <t xml:space="preserve">IRB Flex </t>
  </si>
  <si>
    <t>IRB360</t>
  </si>
  <si>
    <t>YUMI</t>
  </si>
  <si>
    <t>IRB 14000</t>
  </si>
  <si>
    <t>MITSUBISHI</t>
  </si>
  <si>
    <t>RV-20F CR750</t>
  </si>
  <si>
    <t>UR</t>
  </si>
  <si>
    <t>UR10-CB3</t>
  </si>
  <si>
    <t>FANUC</t>
  </si>
  <si>
    <t>R30iB</t>
  </si>
  <si>
    <t>LRMate200iD R30iB</t>
  </si>
  <si>
    <t>LR Mate 200iD</t>
  </si>
  <si>
    <t>PaintMate200iA R30iB</t>
  </si>
  <si>
    <t>Paint Mate 200iA</t>
  </si>
  <si>
    <t>Arc Mate 100iC R30iB</t>
  </si>
  <si>
    <t>Arc Mate 100iC</t>
  </si>
  <si>
    <t>Arc Mate 100iD R30iB</t>
  </si>
  <si>
    <t>Arc Mate 100iD</t>
  </si>
  <si>
    <t>Arc Mate 120iC R30iB</t>
  </si>
  <si>
    <t>Arc Mate 120iC</t>
  </si>
  <si>
    <t>Arc Mate 120iD R30iB</t>
  </si>
  <si>
    <t>Arc Mate 120iD</t>
  </si>
  <si>
    <t>M10iA</t>
  </si>
  <si>
    <t>M10iD R30iB</t>
  </si>
  <si>
    <t>M10iD</t>
  </si>
  <si>
    <t>M20iA R30iB</t>
  </si>
  <si>
    <t>M20iA</t>
  </si>
  <si>
    <t>M20iD/25 R30iB</t>
  </si>
  <si>
    <t>M20iD</t>
  </si>
  <si>
    <t>R30iA</t>
  </si>
  <si>
    <t>R1000iA/80F R30iA</t>
  </si>
  <si>
    <t>R1000iA/80F</t>
  </si>
  <si>
    <t>R30iC</t>
  </si>
  <si>
    <t>R2000iB/165F RJ3iC</t>
  </si>
  <si>
    <t>R2000iB/165F</t>
  </si>
  <si>
    <t>R2000iC/165F R30iA</t>
  </si>
  <si>
    <t>R2000iC</t>
  </si>
  <si>
    <t>M410iC/185 R30iB</t>
  </si>
  <si>
    <t>M410iC/185</t>
  </si>
  <si>
    <t>M710iB R30iA</t>
  </si>
  <si>
    <t>M710iB</t>
  </si>
  <si>
    <t>M710iC R30iB</t>
  </si>
  <si>
    <t>M710iC</t>
  </si>
  <si>
    <t>M710i R30iB</t>
  </si>
  <si>
    <t>M710i</t>
  </si>
  <si>
    <t>M900iB</t>
  </si>
  <si>
    <t>M900iB/360, 280, 280L, 700, 400L</t>
  </si>
  <si>
    <t>KUKA</t>
  </si>
  <si>
    <t>KRC2sr</t>
  </si>
  <si>
    <t>KR5sixx-2-2 KRC2sr</t>
  </si>
  <si>
    <t>KR5sixx R650</t>
  </si>
  <si>
    <t>KR10 scara KRC2sr</t>
  </si>
  <si>
    <t>KR10 scara R850</t>
  </si>
  <si>
    <t>KR16-2 KRC 2</t>
  </si>
  <si>
    <t>KR16-2</t>
  </si>
  <si>
    <t>KR16-3 KRC 4</t>
  </si>
  <si>
    <t>KR16-3</t>
  </si>
  <si>
    <t>KR16 R1610 KRC 4</t>
  </si>
  <si>
    <t>KR16-1610</t>
  </si>
  <si>
    <t>KR20 R2010</t>
  </si>
  <si>
    <t>KR20R2010K</t>
  </si>
  <si>
    <t>KR22 R1610 KRC 4</t>
  </si>
  <si>
    <t>KR22 R1610</t>
  </si>
  <si>
    <t>KR30-3 KRC2</t>
  </si>
  <si>
    <t>KR30-3 PL30/45/60</t>
  </si>
  <si>
    <t>KR30-3 KRC4</t>
  </si>
  <si>
    <t>KR30-3-C KRC4</t>
  </si>
  <si>
    <t>KR30-3-C PL30/45/60</t>
  </si>
  <si>
    <t>KR60-3 KRC 2</t>
  </si>
  <si>
    <t>KR60 L30-3</t>
  </si>
  <si>
    <t>KR60 L30-3 KRC 2</t>
  </si>
  <si>
    <t>KR140 L100 KRC 2</t>
  </si>
  <si>
    <t>KR140 L100</t>
  </si>
  <si>
    <t>KR150-2700-2 KRC 4</t>
  </si>
  <si>
    <t>KR150 R2700-2</t>
  </si>
  <si>
    <t>KR150-R3000-Prime KRC 4</t>
  </si>
  <si>
    <t>KR150 R3100 Prime</t>
  </si>
  <si>
    <t>KR150-2 2000 KRC 2</t>
  </si>
  <si>
    <t>KR150-2</t>
  </si>
  <si>
    <t>KR180 PA KRC 4</t>
  </si>
  <si>
    <t>KR180 PA</t>
  </si>
  <si>
    <t>KR180PA R3200  KRC 4</t>
  </si>
  <si>
    <t xml:space="preserve">KR180PA R3200 </t>
  </si>
  <si>
    <t>KR180 Nano KRC 4</t>
  </si>
  <si>
    <t>KR180 R2100 NANO</t>
  </si>
  <si>
    <t>KR210-2 2000</t>
  </si>
  <si>
    <t>KR210 R2700-2</t>
  </si>
  <si>
    <t>KR210 R2700 prime</t>
  </si>
  <si>
    <t>KR210 R2700 extra</t>
  </si>
  <si>
    <t>KR210 R31000 Ultra KRC 4</t>
  </si>
  <si>
    <t>KR210 R3100 ULTRA</t>
  </si>
  <si>
    <t>KR240 R3200 PA KRC 4</t>
  </si>
  <si>
    <t>KR240 R3200 PA</t>
  </si>
  <si>
    <t>KR240 L180-2 2000 KRC 2</t>
  </si>
  <si>
    <t>KR240 L180-2 2000</t>
  </si>
  <si>
    <t>KR270 R27000 QUANTEC ultra</t>
  </si>
  <si>
    <t>Lista Unica</t>
  </si>
  <si>
    <t>Type et volume huile / Axe</t>
  </si>
  <si>
    <t>Graisse sup</t>
  </si>
  <si>
    <t>Couts huiles</t>
  </si>
  <si>
    <t>Volumes</t>
  </si>
  <si>
    <t>Observations</t>
  </si>
  <si>
    <t>Résumé des coûts Fournitures / Huiles</t>
  </si>
  <si>
    <t>Axe 1</t>
  </si>
  <si>
    <t>Axe 2</t>
  </si>
  <si>
    <t>Axe 3</t>
  </si>
  <si>
    <t>Axe 4</t>
  </si>
  <si>
    <t>Axe 5</t>
  </si>
  <si>
    <t>Axe 6</t>
  </si>
  <si>
    <t>N2</t>
  </si>
  <si>
    <t>N3</t>
  </si>
  <si>
    <t>Code alloué</t>
  </si>
  <si>
    <t>Matériel</t>
  </si>
  <si>
    <t>Tarif HT</t>
  </si>
  <si>
    <t>Informations</t>
  </si>
  <si>
    <t>Fournisseur</t>
  </si>
  <si>
    <t>Excalibur</t>
  </si>
  <si>
    <t>Axes 5 et 6</t>
  </si>
  <si>
    <t>Axes 1 à 6</t>
  </si>
  <si>
    <t>Au litre</t>
  </si>
  <si>
    <t>LUB0002</t>
  </si>
  <si>
    <t>KYE</t>
  </si>
  <si>
    <t>LUB0005</t>
  </si>
  <si>
    <t>OPTIMOL</t>
  </si>
  <si>
    <t>LUB0009</t>
  </si>
  <si>
    <t>LUB0010</t>
  </si>
  <si>
    <t>LUB0001</t>
  </si>
  <si>
    <t>LUB0006</t>
  </si>
  <si>
    <t>Pas de vidange sur X4</t>
  </si>
  <si>
    <t>Au kg</t>
  </si>
  <si>
    <t>Au Litre</t>
  </si>
  <si>
    <t>Au Kg</t>
  </si>
  <si>
    <t>Cartouche 400g</t>
  </si>
  <si>
    <t>4/5 Prim. 150 = 1,65
4/5 Sec. 320 = 7,05</t>
  </si>
  <si>
    <t>4 Sec + 5 : 320 = 25,9</t>
  </si>
  <si>
    <t>p</t>
  </si>
  <si>
    <t>Catégorie</t>
  </si>
  <si>
    <t>Référence</t>
  </si>
  <si>
    <t>Type de robot</t>
  </si>
  <si>
    <t>Référence vente</t>
  </si>
  <si>
    <t>Prix</t>
  </si>
  <si>
    <t>Désignation</t>
  </si>
  <si>
    <t>Homologation fabricants</t>
  </si>
  <si>
    <t>Fournisseurs</t>
  </si>
  <si>
    <t>Origine</t>
  </si>
  <si>
    <t>Produit</t>
  </si>
  <si>
    <t>ABB0002</t>
  </si>
  <si>
    <t>ABB 3 Cellules</t>
  </si>
  <si>
    <t>ABB 3 Cellules 3HAC16831-1</t>
  </si>
  <si>
    <t>Battery Pack 3 cellules Lithium 10,8V SMB</t>
  </si>
  <si>
    <t>Lithium battery connector 
SAFT LS33600 (x3)
Capacity: 17Ah
Voltage: 10.8V
Dimensions: 34x100x63 mm.
Weight: 283 gr</t>
  </si>
  <si>
    <t>DSQC 562</t>
  </si>
  <si>
    <t>ABB0248</t>
  </si>
  <si>
    <t>ABB 6 Cellules</t>
  </si>
  <si>
    <t>Battery Pack 6 cellules NiCd 7,2V 4Ah</t>
  </si>
  <si>
    <t>Capacity: 4Ah
Voltage: 7.2V
Dimensions: 62x195x30 mm.
Weight: 780 gr</t>
  </si>
  <si>
    <t>DSQC 313</t>
  </si>
  <si>
    <t>ABB0367</t>
  </si>
  <si>
    <t>3HNE00413-1</t>
  </si>
  <si>
    <t>Battery Pack 7,2V 4000mAh IRB5402</t>
  </si>
  <si>
    <t>ABB0335</t>
  </si>
  <si>
    <t>ABB 2 cellules</t>
  </si>
  <si>
    <t>ABB 2 Cellules 3HAC044075-001</t>
  </si>
  <si>
    <t>Battery Unit for IRC5 RMU</t>
  </si>
  <si>
    <t>Lithium battery connector.
SAFT LS17500 (x2)
Capacity: 3600mAh
Voltage: 7.2V
Dimensions: 34x17x50mm
Weight: 95 g</t>
  </si>
  <si>
    <t>ABB0716</t>
  </si>
  <si>
    <t>ABB EIB</t>
  </si>
  <si>
    <t>ABB EIB 3HAC051036-001</t>
  </si>
  <si>
    <t>Battery EIB IRC5 3,6v - 7,2Ah</t>
  </si>
  <si>
    <t>Lithium battery connector 
SAFT LS17500 (x2)
Capacity: 7,2Ah
Voltage: 3.6V
Dimensions: 34x17x50mm
Weight: 95 g</t>
  </si>
  <si>
    <t>FANUC LR20</t>
  </si>
  <si>
    <t>4 x LR20 A98L-0031-0005</t>
  </si>
  <si>
    <t>Piles D 1.5V Alcaline</t>
  </si>
  <si>
    <t>FANUC LR14</t>
  </si>
  <si>
    <t>4 x LR14 A98L-0031-0027</t>
  </si>
  <si>
    <t>KUK0095</t>
  </si>
  <si>
    <t>KUKA KRC2-4</t>
  </si>
  <si>
    <t>Kuka KRC2-4 2 x Pbq 5.2-12 AMP9036</t>
  </si>
  <si>
    <t xml:space="preserve">Batterie au plomb étanche RS PRO 12V 5Ah cyclique baie Kuka KRC2 </t>
  </si>
  <si>
    <t>2 x ESH 5,2-12 AMP9036</t>
  </si>
  <si>
    <t>Batterie au plomb étanche RS PRO 12V 5Ah cyclique baie Kuka KRC4</t>
  </si>
  <si>
    <t>KUK0072</t>
  </si>
  <si>
    <t>KUKA Nano</t>
  </si>
  <si>
    <t>Kuka Nano 2 x AMP9025</t>
  </si>
  <si>
    <t>MIT002</t>
  </si>
  <si>
    <t>Mitsubishi</t>
  </si>
  <si>
    <t>Mitsubishi 3 x ER6V</t>
  </si>
  <si>
    <t>MGL00134</t>
  </si>
  <si>
    <t>MITSUBISHI 4 x MR-BAT6V1</t>
  </si>
  <si>
    <t>MR-BAT6V1 2CR17335A WK17 6V 1650mAh</t>
  </si>
  <si>
    <t>Battery Mitsubishi baie R20FRM</t>
  </si>
  <si>
    <t>PCL00249
CR123 1S1P ST1</t>
  </si>
  <si>
    <t>Type de baie</t>
  </si>
  <si>
    <t>ABB IRC5 et KUKA CR 2032</t>
  </si>
  <si>
    <t>ABB IRC5</t>
  </si>
  <si>
    <t>CR 2032</t>
  </si>
  <si>
    <t>Pile PC</t>
  </si>
  <si>
    <t>Pile bouton CR2032 Panasonic, 3V, 20mm</t>
  </si>
  <si>
    <t>KUKA KRC2</t>
  </si>
  <si>
    <t>KUKA KRC2 Nano</t>
  </si>
  <si>
    <t>KUKA KRC4</t>
  </si>
  <si>
    <t>ABB0003</t>
  </si>
  <si>
    <t>ABB S4 et C  2 x 3HAB2038-1</t>
  </si>
  <si>
    <t>ABB S4</t>
  </si>
  <si>
    <t>2 x 3HAB2038-1</t>
  </si>
  <si>
    <t>Battery 3,6V Main computer S4C</t>
  </si>
  <si>
    <t>Lithium battery connector 
SAFT LS33600
Capacity: 17000mAh
Voltage: 3.6V
Dimensions: 34x34x58 mm.
Weight: 90 gr</t>
  </si>
  <si>
    <t>ABB S4C</t>
  </si>
  <si>
    <t>Battery 3,6V Main computer S4C+</t>
  </si>
  <si>
    <t>ABB0097</t>
  </si>
  <si>
    <t>ABB S4C+ 3HAC5105-1</t>
  </si>
  <si>
    <t>ABB S4C+</t>
  </si>
  <si>
    <t>3HAC5105-1</t>
  </si>
  <si>
    <t>Battery Pack 21,6V DSQC 508</t>
  </si>
  <si>
    <t>Lithium battery connector 
Capacity: 1.8Ah
Voltage: 21.6V
Dimensions: 67x135x43 mm.
Weight: 1.14 kg</t>
  </si>
  <si>
    <t>Battery Unit DSQC 508</t>
  </si>
  <si>
    <t>BR-2/3-AGCT4A 
A98L-0031-0025</t>
  </si>
  <si>
    <t>Battery FANUC 6V</t>
  </si>
  <si>
    <t>Lithium battery connector 
PANASONIC BR-2/3-AG (x4)
Capacity: 2400mAh
Voltage: 6V
Dimensions: mm
Weight:  g</t>
  </si>
  <si>
    <t>BR-AGCF2W 
A98L-0031-0011L</t>
  </si>
  <si>
    <t>Lithium battery connector 
PANASONIC BR-AG (x2)
Capacity: 2900mAh
Voltage: 6V
Dimensions: 34x17x50mm
Weight: 95 g</t>
  </si>
  <si>
    <t>FAN0019</t>
  </si>
  <si>
    <t>A02B-0200-K102</t>
  </si>
  <si>
    <t>Fanuc RJ3IB</t>
  </si>
  <si>
    <t>Battery Fanuc baie RJ3iB
Idem A98L-0031-0012</t>
  </si>
  <si>
    <t>PCL0031
CR17450</t>
  </si>
  <si>
    <t>Fanuc RJ3IC</t>
  </si>
  <si>
    <t>Battery Fanuc baie RJ3iC
Idem A98L-0031-0012</t>
  </si>
  <si>
    <t>FANUC R30iA</t>
  </si>
  <si>
    <t>Battery Fanuc baie R30iA
Idem A98L-0031-0012</t>
  </si>
  <si>
    <t>FAN0020</t>
  </si>
  <si>
    <t>A05B-2550-K030</t>
  </si>
  <si>
    <t>FANUC R30iA mate</t>
  </si>
  <si>
    <t>Battery Fanuc baie R30iA Mate
Idem A98L-0031-0026
Idem A02B-0309-K102</t>
  </si>
  <si>
    <t>Batterie Hitachi Maxwell CR17335</t>
  </si>
  <si>
    <t>FANUC R30iB</t>
  </si>
  <si>
    <t xml:space="preserve">Battery Fanuc baie R30iB
Idem A98L-0031-0012
</t>
  </si>
  <si>
    <t>FAN0018</t>
  </si>
  <si>
    <t>A05B-2650-K030</t>
  </si>
  <si>
    <t>FANUC R30iB Mate</t>
  </si>
  <si>
    <t>Battery Fanuc baie R30iB Mate 
Idem A98L-0031-0026
Idem A02B-0309-K102</t>
  </si>
  <si>
    <t>FANUC R30iB +</t>
  </si>
  <si>
    <t>Battery Fanuc baie R30iB+
Idem A98L-0031-0012</t>
  </si>
  <si>
    <t>A02B-0323-K102</t>
  </si>
  <si>
    <t>FANUC R30iB Mate+</t>
  </si>
  <si>
    <t xml:space="preserve">Battery Fanuc baie R30iB Mate +
Idem A98L-0031-0028
</t>
  </si>
  <si>
    <t>MIT0001</t>
  </si>
  <si>
    <t>MITSUBISHI Q6-BAT</t>
  </si>
  <si>
    <t>Q6-BAT</t>
  </si>
  <si>
    <t>Battery Mitsubishi baie</t>
  </si>
  <si>
    <t>UR CR2032W KTS</t>
  </si>
  <si>
    <t>UR10 CB3</t>
  </si>
  <si>
    <t>CR2032W KTS</t>
  </si>
  <si>
    <t>Battery baie UR</t>
  </si>
  <si>
    <t>Oui</t>
  </si>
  <si>
    <t>Non</t>
  </si>
  <si>
    <t>SFNS</t>
  </si>
  <si>
    <t>N1</t>
  </si>
  <si>
    <t>ABB</t>
  </si>
  <si>
    <t>Filtre Bktronic</t>
  </si>
  <si>
    <t xml:space="preserve">KUKA </t>
  </si>
  <si>
    <t>Filtre Non Standard</t>
  </si>
  <si>
    <t>Mini N1</t>
  </si>
  <si>
    <t>MOTOMAN</t>
  </si>
  <si>
    <t>N2 inv</t>
  </si>
  <si>
    <t>Marcas Robots</t>
  </si>
  <si>
    <t>Niveles Mantenimiento</t>
  </si>
  <si>
    <t>Nivel 2 Inferior</t>
  </si>
  <si>
    <t>Nivel 2 Superior</t>
  </si>
  <si>
    <t>X</t>
  </si>
  <si>
    <t>Jordi 1</t>
  </si>
  <si>
    <t>Les Franqueses del Vallès</t>
  </si>
  <si>
    <t>Flex N Gate</t>
  </si>
  <si>
    <t>Sabadell</t>
  </si>
  <si>
    <t>Gasolina y peajes</t>
  </si>
  <si>
    <t>Hotel</t>
  </si>
  <si>
    <t>Consumibles</t>
  </si>
  <si>
    <t>CONSUMIBLES</t>
  </si>
  <si>
    <t>Precio hotel</t>
  </si>
  <si>
    <t>Precio km</t>
  </si>
  <si>
    <t>Total Consumibles</t>
  </si>
  <si>
    <t>Jordi</t>
  </si>
  <si>
    <t>Zaragoza</t>
  </si>
  <si>
    <t>IRB6600 - IRB6650 KYODO YUSHI TMO150</t>
  </si>
  <si>
    <t>IRB6600 - IRB6650 TIVELA S150</t>
  </si>
  <si>
    <t>SUBTOTAL</t>
  </si>
  <si>
    <t>Fin de semana sin trabajar</t>
  </si>
  <si>
    <t>Fin de semana</t>
  </si>
  <si>
    <t>REV. 20251101 - ID. I2AEGY7UB5EP</t>
  </si>
  <si>
    <t>Total Gestión de Accesos</t>
  </si>
  <si>
    <t xml:space="preserve">Raul </t>
  </si>
  <si>
    <t>Herramienta</t>
  </si>
  <si>
    <t>Precio (€)</t>
  </si>
  <si>
    <t>Maletín carraca llaves de vaso</t>
  </si>
  <si>
    <t>Maletín atornilladora a batería</t>
  </si>
  <si>
    <t>Destornilladores varios</t>
  </si>
  <si>
    <t>Caja de puntas para atornilladora</t>
  </si>
  <si>
    <t>Alicates corte pequeñas</t>
  </si>
  <si>
    <t>Alicates universales pequeñas</t>
  </si>
  <si>
    <t>Llave de cuadro</t>
  </si>
  <si>
    <t>Cúter J45C Compact</t>
  </si>
  <si>
    <t>Llave abrir botes</t>
  </si>
  <si>
    <t>Juego carraca mediana</t>
  </si>
  <si>
    <t>Juego carraca pequeña</t>
  </si>
  <si>
    <t>Juego llaves fijas con carraca</t>
  </si>
  <si>
    <t>Alicates universales</t>
  </si>
  <si>
    <t>Pelacables</t>
  </si>
  <si>
    <t>Tijeras</t>
  </si>
  <si>
    <t>Alicates universales acodadas</t>
  </si>
  <si>
    <t>Martillo nylon</t>
  </si>
  <si>
    <t>Imán</t>
  </si>
  <si>
    <t>Pico de loro</t>
  </si>
  <si>
    <t>Llave inglesa</t>
  </si>
  <si>
    <t>Alicates de corte</t>
  </si>
  <si>
    <t>Martillo</t>
  </si>
  <si>
    <t>Juego de llaves allen</t>
  </si>
  <si>
    <t>Cinta métrica 3m</t>
  </si>
  <si>
    <t>Juego llaves allen con mango</t>
  </si>
  <si>
    <t>Juego llaves Torx con mango</t>
  </si>
  <si>
    <t>Llave cruz 4 vías</t>
  </si>
  <si>
    <t>Lámpara LED magnética</t>
  </si>
  <si>
    <t>Vaso llave cuadrada</t>
  </si>
  <si>
    <t>Vaso allen 14</t>
  </si>
  <si>
    <t>Fuente alimentación liberación frenos</t>
  </si>
  <si>
    <t>Tester con accesorios</t>
  </si>
  <si>
    <t>Floppy to USB</t>
  </si>
  <si>
    <t>Kit pinceles</t>
  </si>
  <si>
    <t>Flejadora</t>
  </si>
  <si>
    <t>Escobilla</t>
  </si>
  <si>
    <t>Rasqueta</t>
  </si>
  <si>
    <t>Palanca</t>
  </si>
  <si>
    <t>Kit alargadores Torx</t>
  </si>
  <si>
    <t>Bandeja magnética (calibración)</t>
  </si>
  <si>
    <t>Bandeja magnética</t>
  </si>
  <si>
    <t>Almohadilla rodillas</t>
  </si>
  <si>
    <t>Alargador 10 m</t>
  </si>
  <si>
    <t>Kit puntas Torx y Allen</t>
  </si>
  <si>
    <t>Acople atornilladora 90º</t>
  </si>
  <si>
    <t>Caja de racorería y consumibles</t>
  </si>
  <si>
    <t>Aspirador, juego de tubos y bolsas</t>
  </si>
  <si>
    <t>Alargador 40 m</t>
  </si>
  <si>
    <t>Jeringa de 2,5 L</t>
  </si>
  <si>
    <t>Líquido limpiador 5 L</t>
  </si>
  <si>
    <t>Tubo 10 mm Ø</t>
  </si>
  <si>
    <t>Juego de cubos y embudos</t>
  </si>
  <si>
    <t>Paquete trapos</t>
  </si>
  <si>
    <t>Palangana</t>
  </si>
  <si>
    <t>Tubos con conexión rápida</t>
  </si>
  <si>
    <t>Útil para engrase</t>
  </si>
  <si>
    <t>Guantes de protección</t>
  </si>
  <si>
    <t>Biberones</t>
  </si>
  <si>
    <t>Tubos de grasa</t>
  </si>
  <si>
    <t>Jeringa de 0,5 L</t>
  </si>
  <si>
    <t>Bombas hidráulicas</t>
  </si>
  <si>
    <t>Kit imán y soporte para calibración</t>
  </si>
  <si>
    <t>Outillage Atelier Lote de herramientas</t>
  </si>
  <si>
    <t>Kit KUKA</t>
  </si>
  <si>
    <t>Flex N Gate 2</t>
  </si>
  <si>
    <t>Aquabella</t>
  </si>
  <si>
    <t>Castellon</t>
  </si>
  <si>
    <t>CIE GALFOR 2026</t>
  </si>
  <si>
    <t>CIE 2026</t>
  </si>
  <si>
    <t>Factor cons</t>
  </si>
  <si>
    <t>IRBP K MTD 500</t>
  </si>
  <si>
    <t>IRBP K MTD 750</t>
  </si>
  <si>
    <t>IRBP K MTD 2000</t>
  </si>
  <si>
    <t>IRBP K MTD 5000</t>
  </si>
  <si>
    <t>IRBP K MTE 500/750</t>
  </si>
  <si>
    <t>IRBP K MID 1.1</t>
  </si>
  <si>
    <t>IRBP K MTD 250</t>
  </si>
  <si>
    <t>P</t>
  </si>
  <si>
    <t>P34 Nies</t>
  </si>
  <si>
    <t>CONSUMIBLES UD.</t>
  </si>
  <si>
    <t>TOTAL UD.</t>
  </si>
  <si>
    <t>TOTAL TRABAJO</t>
  </si>
  <si>
    <t>TOTAL CONSUMIBLES</t>
  </si>
  <si>
    <t>TOTAL HORAS</t>
  </si>
  <si>
    <t>Vibracoustic</t>
  </si>
  <si>
    <t>Burgos</t>
  </si>
  <si>
    <t>VIBRACOUSTIC</t>
  </si>
  <si>
    <t>Flex N Gate 2026</t>
  </si>
  <si>
    <t>Lliçà de Vall</t>
  </si>
  <si>
    <t>Lliçà de Vall RobotizMe</t>
  </si>
  <si>
    <t>Vilafranca del penedès RobotizMe</t>
  </si>
  <si>
    <t>Vilafranca del Penedès</t>
  </si>
  <si>
    <t>Vibracoustic Jordi</t>
  </si>
  <si>
    <t>Beiersdorf</t>
  </si>
  <si>
    <t>Tres cantos</t>
  </si>
  <si>
    <t>BEIERSDORF 2026</t>
  </si>
  <si>
    <t>TOTAL UD. EXTRAS</t>
  </si>
  <si>
    <t>SUBTOTAL UD.</t>
  </si>
  <si>
    <t>PRECIO UD. + RED</t>
  </si>
  <si>
    <t>Clonar SSD (X)</t>
  </si>
  <si>
    <t>Jordi Almusafer</t>
  </si>
  <si>
    <t>,</t>
  </si>
  <si>
    <t>Almusafes</t>
  </si>
  <si>
    <t>Jordi Draxton</t>
  </si>
  <si>
    <t>Sant Vicenç dels Horts</t>
  </si>
  <si>
    <t>Trire</t>
  </si>
  <si>
    <t>Odena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</si>
</sst>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">
    <numFmt numFmtId="8" formatCode="#,##0.00\ &quot;€&quot;;[Red]\-#,##0.00\ &quot;€&quot;"/>
    <numFmt numFmtId="44" formatCode="_-* #,##0.00\ &quot;€&quot;_-;\-* #,##0.00\ &quot;€&quot;_-;_-* &quot;-&quot;??\ &quot;€&quot;_-;_-@_-"/>
    <numFmt numFmtId="164" formatCode="#,##0\ &quot;€&quot;"/>
    <numFmt numFmtId="165" formatCode="#,##0.00\ &quot;€&quot;"/>
    <numFmt numFmtId="166" formatCode="0.0"/>
    <numFmt numFmtId="167" formatCode="_-* #,##0.00000\ &quot;€&quot;_-;\-* #,##0.00000\ &quot;€&quot;_-;_-* &quot;-&quot;??\ &quot;€&quot;_-;_-@_-"/>
  </numFmts>
  <fonts count="44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i/>
      <sz val="16"/>
      <color theme="0"/>
      <name val="Arial"/>
      <family val="2"/>
    </font>
    <font>
      <b/>
      <i/>
      <sz val="16"/>
      <color theme="0"/>
      <name val="Arial"/>
      <family val="2"/>
    </font>
    <font>
      <sz val="11"/>
      <color theme="1"/>
      <name val="Arial"/>
      <family val="2"/>
    </font>
    <font>
      <b/>
      <i/>
      <sz val="10"/>
      <color theme="0"/>
      <name val="Arial"/>
      <family val="2"/>
    </font>
    <font>
      <b/>
      <i/>
      <sz val="10"/>
      <color theme="1"/>
      <name val="Arial"/>
      <family val="2"/>
    </font>
    <font>
      <i/>
      <sz val="10"/>
      <color theme="1"/>
      <name val="Arial"/>
      <family val="2"/>
    </font>
    <font>
      <sz val="10"/>
      <color theme="1"/>
      <name val="Arial"/>
      <family val="2"/>
    </font>
    <font>
      <b/>
      <sz val="10"/>
      <color theme="1"/>
      <name val="Arial"/>
      <family val="2"/>
    </font>
    <font>
      <sz val="10"/>
      <color rgb="FFFF0000"/>
      <name val="Arial"/>
      <family val="2"/>
    </font>
    <font>
      <b/>
      <sz val="11"/>
      <color rgb="FFFF0000"/>
      <name val="Arial"/>
      <family val="2"/>
    </font>
    <font>
      <b/>
      <sz val="11"/>
      <color theme="1"/>
      <name val="Arial"/>
      <family val="2"/>
    </font>
    <font>
      <sz val="10"/>
      <color rgb="FFFF0000"/>
      <name val="Arial"/>
      <family val="2"/>
    </font>
    <font>
      <sz val="10"/>
      <color theme="1"/>
      <name val="Arial"/>
      <family val="2"/>
    </font>
    <font>
      <b/>
      <sz val="10"/>
      <color theme="1"/>
      <name val="Arial"/>
      <family val="2"/>
    </font>
    <font>
      <sz val="11"/>
      <color theme="1"/>
      <name val="Arial"/>
      <family val="2"/>
    </font>
    <font>
      <b/>
      <i/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8"/>
      <color rgb="FFFF0000"/>
      <name val="Calibri"/>
      <family val="2"/>
      <scheme val="minor"/>
    </font>
    <font>
      <sz val="10"/>
      <name val="Arial"/>
      <family val="2"/>
    </font>
    <font>
      <sz val="12"/>
      <color indexed="64"/>
      <name val="Arial"/>
      <family val="2"/>
    </font>
    <font>
      <sz val="22"/>
      <color indexed="64"/>
      <name val="Arial"/>
      <family val="2"/>
    </font>
    <font>
      <sz val="16"/>
      <color indexed="64"/>
      <name val="Arial"/>
      <family val="2"/>
    </font>
    <font>
      <sz val="12"/>
      <name val="Arial"/>
      <family val="2"/>
    </font>
    <font>
      <sz val="22"/>
      <name val="Arial"/>
      <family val="2"/>
    </font>
    <font>
      <sz val="16"/>
      <name val="Arial"/>
      <family val="2"/>
    </font>
    <font>
      <sz val="8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0"/>
      <color theme="0" tint="-0.249977111117893"/>
      <name val="Calibri"/>
      <family val="2"/>
      <scheme val="minor"/>
    </font>
    <font>
      <b/>
      <sz val="9"/>
      <color theme="0" tint="-0.499984740745262"/>
      <name val="Segoe UI"/>
      <family val="2"/>
    </font>
    <font>
      <sz val="9"/>
      <color theme="0" tint="-0.499984740745262"/>
      <name val="Segoe UI"/>
      <family val="2"/>
    </font>
    <font>
      <b/>
      <sz val="11"/>
      <color rgb="FF000000"/>
      <name val="Calibri"/>
      <family val="2"/>
      <scheme val="minor"/>
    </font>
    <font>
      <sz val="9"/>
      <color rgb="FF000000"/>
      <name val="Calibri"/>
      <family val="2"/>
      <scheme val="minor"/>
    </font>
    <font>
      <b/>
      <sz val="9"/>
      <color rgb="FF000000"/>
      <name val="Calibri"/>
      <family val="2"/>
      <scheme val="minor"/>
    </font>
    <font>
      <sz val="9"/>
      <color theme="1"/>
      <name val="Calibri"/>
      <family val="2"/>
      <scheme val="minor"/>
    </font>
    <font>
      <sz val="26"/>
      <color theme="1"/>
      <name val="Calibri"/>
      <family val="2"/>
      <scheme val="minor"/>
    </font>
    <font>
      <sz val="28"/>
      <color theme="1"/>
      <name val="Calibri"/>
      <family val="2"/>
      <scheme val="minor"/>
    </font>
  </fonts>
  <fills count="13">
    <fill>
      <patternFill patternType="none"/>
    </fill>
    <fill>
      <patternFill patternType="gray125"/>
    </fill>
    <fill>
      <patternFill patternType="solid">
        <fgColor theme="3" tint="-0.249977111117893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4" tint="0.79998168889431442"/>
        <bgColor theme="4" tint="0.79998168889431442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rgb="FFFFFF00"/>
        <bgColor indexed="64"/>
      </patternFill>
    </fill>
  </fills>
  <borders count="66">
    <border>
      <left/>
      <right/>
      <top/>
      <bottom/>
      <diagonal/>
    </border>
    <border>
      <left/>
      <right/>
      <top/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/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auto="1"/>
      </left>
      <right/>
      <top/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rgb="FFFF0000"/>
      </left>
      <right style="thin">
        <color rgb="FFFF0000"/>
      </right>
      <top style="thin">
        <color rgb="FFFF0000"/>
      </top>
      <bottom style="thin">
        <color rgb="FFFF0000"/>
      </bottom>
      <diagonal/>
    </border>
    <border>
      <left/>
      <right style="thin">
        <color rgb="FFFF0000"/>
      </right>
      <top style="thin">
        <color rgb="FFFF0000"/>
      </top>
      <bottom/>
      <diagonal/>
    </border>
    <border>
      <left style="thin">
        <color rgb="FFFF0000"/>
      </left>
      <right/>
      <top/>
      <bottom/>
      <diagonal/>
    </border>
    <border>
      <left/>
      <right style="thin">
        <color rgb="FFFF0000"/>
      </right>
      <top/>
      <bottom/>
      <diagonal/>
    </border>
    <border>
      <left style="thin">
        <color rgb="FFFF0000"/>
      </left>
      <right/>
      <top/>
      <bottom style="thin">
        <color rgb="FFFF0000"/>
      </bottom>
      <diagonal/>
    </border>
    <border>
      <left/>
      <right/>
      <top/>
      <bottom style="thin">
        <color rgb="FFFF0000"/>
      </bottom>
      <diagonal/>
    </border>
    <border>
      <left/>
      <right style="thin">
        <color rgb="FFFF0000"/>
      </right>
      <top/>
      <bottom style="thin">
        <color rgb="FFFF0000"/>
      </bottom>
      <diagonal/>
    </border>
    <border>
      <left style="thin">
        <color rgb="FFFF0000"/>
      </left>
      <right style="thin">
        <color rgb="FFFF0000"/>
      </right>
      <top style="thin">
        <color rgb="FFFF0000"/>
      </top>
      <bottom/>
      <diagonal/>
    </border>
    <border>
      <left style="thin">
        <color rgb="FFFF0000"/>
      </left>
      <right style="thin">
        <color rgb="FFFF0000"/>
      </right>
      <top/>
      <bottom/>
      <diagonal/>
    </border>
    <border>
      <left style="thin">
        <color rgb="FFFF0000"/>
      </left>
      <right style="thin">
        <color rgb="FFFF0000"/>
      </right>
      <top/>
      <bottom style="thin">
        <color rgb="FFFF0000"/>
      </bottom>
      <diagonal/>
    </border>
    <border>
      <left/>
      <right/>
      <top style="thin">
        <color indexed="64"/>
      </top>
      <bottom style="double">
        <color indexed="64"/>
      </bottom>
      <diagonal/>
    </border>
    <border>
      <left/>
      <right/>
      <top/>
      <bottom style="medium">
        <color theme="1"/>
      </bottom>
      <diagonal/>
    </border>
    <border>
      <left style="thin">
        <color rgb="FFFF0000"/>
      </left>
      <right/>
      <top style="thin">
        <color rgb="FFFF0000"/>
      </top>
      <bottom/>
      <diagonal/>
    </border>
    <border>
      <left/>
      <right/>
      <top/>
      <bottom style="double">
        <color indexed="64"/>
      </bottom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  <border>
      <left style="thin">
        <color rgb="FFFF0000"/>
      </left>
      <right/>
      <top style="thin">
        <color theme="4" tint="0.39997558519241921"/>
      </top>
      <bottom style="thin">
        <color theme="4" tint="0.39997558519241921"/>
      </bottom>
      <diagonal/>
    </border>
    <border>
      <left/>
      <right/>
      <top style="thin">
        <color rgb="FFFF0000"/>
      </top>
      <bottom style="thin">
        <color theme="4" tint="0.39997558519241921"/>
      </bottom>
      <diagonal/>
    </border>
    <border>
      <left/>
      <right style="thin">
        <color rgb="FFFF0000"/>
      </right>
      <top style="thin">
        <color rgb="FFFF0000"/>
      </top>
      <bottom style="thin">
        <color theme="4" tint="0.39997558519241921"/>
      </bottom>
      <diagonal/>
    </border>
    <border>
      <left/>
      <right style="thin">
        <color rgb="FFFF0000"/>
      </right>
      <top style="thin">
        <color theme="4" tint="0.39997558519241921"/>
      </top>
      <bottom style="thin">
        <color theme="4" tint="0.39997558519241921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theme="4" tint="0.39997558519241921"/>
      </right>
      <top style="thin">
        <color theme="4" tint="0.39997558519241921"/>
      </top>
      <bottom style="thin">
        <color theme="4" tint="0.39997558519241921"/>
      </bottom>
      <diagonal/>
    </border>
    <border>
      <left/>
      <right/>
      <top style="thin">
        <color theme="4" tint="0.39997558519241921"/>
      </top>
      <bottom style="thin">
        <color rgb="FFFF0000"/>
      </bottom>
      <diagonal/>
    </border>
    <border>
      <left/>
      <right style="thin">
        <color rgb="FFFF0000"/>
      </right>
      <top style="thin">
        <color theme="4" tint="0.39997558519241921"/>
      </top>
      <bottom style="thin">
        <color rgb="FFFF0000"/>
      </bottom>
      <diagonal/>
    </border>
    <border>
      <left style="thin">
        <color rgb="FFFF0000"/>
      </left>
      <right/>
      <top style="thin">
        <color rgb="FFFF0000"/>
      </top>
      <bottom style="thin">
        <color theme="4" tint="0.39997558519241921"/>
      </bottom>
      <diagonal/>
    </border>
  </borders>
  <cellStyleXfs count="5">
    <xf numFmtId="0" fontId="0" fillId="0" borderId="0"/>
    <xf numFmtId="44" fontId="1" fillId="0" borderId="0" applyFont="0" applyFill="0" applyBorder="0" applyAlignment="0" applyProtection="0"/>
    <xf numFmtId="0" fontId="26" fillId="0" borderId="0"/>
    <xf numFmtId="9" fontId="1" fillId="0" borderId="0" applyFont="0" applyFill="0" applyBorder="0" applyAlignment="0" applyProtection="0"/>
    <xf numFmtId="0" fontId="34" fillId="0" borderId="0" applyNumberFormat="0" applyFill="0" applyBorder="0" applyAlignment="0" applyProtection="0"/>
  </cellStyleXfs>
  <cellXfs count="294">
    <xf numFmtId="0" fontId="0" fillId="0" borderId="0" xfId="0"/>
    <xf numFmtId="0" fontId="5" fillId="2" borderId="1" xfId="0" applyFont="1" applyFill="1" applyBorder="1" applyAlignment="1">
      <alignment vertical="center"/>
    </xf>
    <xf numFmtId="0" fontId="7" fillId="0" borderId="0" xfId="0" applyFont="1"/>
    <xf numFmtId="0" fontId="8" fillId="2" borderId="2" xfId="0" applyFont="1" applyFill="1" applyBorder="1" applyAlignment="1">
      <alignment horizontal="center" vertical="center" wrapText="1"/>
    </xf>
    <xf numFmtId="164" fontId="8" fillId="2" borderId="6" xfId="0" applyNumberFormat="1" applyFont="1" applyFill="1" applyBorder="1" applyAlignment="1">
      <alignment horizontal="center" vertical="center"/>
    </xf>
    <xf numFmtId="164" fontId="8" fillId="2" borderId="2" xfId="0" applyNumberFormat="1" applyFont="1" applyFill="1" applyBorder="1" applyAlignment="1">
      <alignment horizontal="center" vertical="center"/>
    </xf>
    <xf numFmtId="0" fontId="10" fillId="0" borderId="7" xfId="0" applyFont="1" applyBorder="1" applyAlignment="1">
      <alignment horizontal="center" vertical="center"/>
    </xf>
    <xf numFmtId="0" fontId="10" fillId="0" borderId="8" xfId="0" applyFont="1" applyBorder="1" applyAlignment="1">
      <alignment horizontal="center" vertical="center" wrapText="1"/>
    </xf>
    <xf numFmtId="0" fontId="10" fillId="0" borderId="9" xfId="0" applyFont="1" applyBorder="1" applyAlignment="1">
      <alignment horizontal="center" vertical="center" wrapText="1"/>
    </xf>
    <xf numFmtId="0" fontId="9" fillId="3" borderId="9" xfId="0" applyFont="1" applyFill="1" applyBorder="1" applyAlignment="1">
      <alignment horizontal="center" vertical="center" wrapText="1"/>
    </xf>
    <xf numFmtId="0" fontId="10" fillId="0" borderId="10" xfId="0" applyFont="1" applyBorder="1" applyAlignment="1">
      <alignment horizontal="center" vertical="center" wrapText="1"/>
    </xf>
    <xf numFmtId="0" fontId="9" fillId="3" borderId="6" xfId="0" applyFont="1" applyFill="1" applyBorder="1" applyAlignment="1">
      <alignment horizontal="center" vertical="center" wrapText="1"/>
    </xf>
    <xf numFmtId="49" fontId="10" fillId="0" borderId="3" xfId="0" applyNumberFormat="1" applyFont="1" applyBorder="1" applyAlignment="1">
      <alignment horizontal="center" vertical="center" wrapText="1"/>
    </xf>
    <xf numFmtId="49" fontId="10" fillId="0" borderId="11" xfId="0" applyNumberFormat="1" applyFont="1" applyBorder="1" applyAlignment="1">
      <alignment horizontal="center" vertical="center" wrapText="1"/>
    </xf>
    <xf numFmtId="0" fontId="11" fillId="3" borderId="12" xfId="0" applyFont="1" applyFill="1" applyBorder="1" applyAlignment="1">
      <alignment horizontal="left" vertical="center"/>
    </xf>
    <xf numFmtId="0" fontId="11" fillId="3" borderId="13" xfId="0" applyFont="1" applyFill="1" applyBorder="1" applyAlignment="1">
      <alignment horizontal="left" vertical="center"/>
    </xf>
    <xf numFmtId="2" fontId="11" fillId="0" borderId="13" xfId="0" applyNumberFormat="1" applyFont="1" applyBorder="1" applyAlignment="1">
      <alignment horizontal="center" vertical="center"/>
    </xf>
    <xf numFmtId="164" fontId="12" fillId="3" borderId="13" xfId="0" applyNumberFormat="1" applyFont="1" applyFill="1" applyBorder="1" applyAlignment="1">
      <alignment horizontal="center" vertical="center"/>
    </xf>
    <xf numFmtId="0" fontId="13" fillId="0" borderId="13" xfId="0" applyFont="1" applyBorder="1" applyAlignment="1">
      <alignment horizontal="center" vertical="center"/>
    </xf>
    <xf numFmtId="164" fontId="13" fillId="0" borderId="13" xfId="0" applyNumberFormat="1" applyFont="1" applyBorder="1" applyAlignment="1">
      <alignment horizontal="center" vertical="center"/>
    </xf>
    <xf numFmtId="0" fontId="14" fillId="3" borderId="14" xfId="0" applyFont="1" applyFill="1" applyBorder="1" applyAlignment="1">
      <alignment horizontal="center" vertical="center"/>
    </xf>
    <xf numFmtId="0" fontId="11" fillId="3" borderId="15" xfId="0" applyFont="1" applyFill="1" applyBorder="1" applyAlignment="1">
      <alignment horizontal="left" vertical="center"/>
    </xf>
    <xf numFmtId="0" fontId="11" fillId="3" borderId="16" xfId="0" applyFont="1" applyFill="1" applyBorder="1" applyAlignment="1">
      <alignment horizontal="left" vertical="center"/>
    </xf>
    <xf numFmtId="2" fontId="11" fillId="0" borderId="16" xfId="0" applyNumberFormat="1" applyFont="1" applyBorder="1" applyAlignment="1">
      <alignment horizontal="center" vertical="center"/>
    </xf>
    <xf numFmtId="164" fontId="11" fillId="0" borderId="16" xfId="0" applyNumberFormat="1" applyFont="1" applyBorder="1" applyAlignment="1">
      <alignment horizontal="center" vertical="center"/>
    </xf>
    <xf numFmtId="164" fontId="12" fillId="3" borderId="16" xfId="0" applyNumberFormat="1" applyFont="1" applyFill="1" applyBorder="1" applyAlignment="1">
      <alignment horizontal="center" vertical="center"/>
    </xf>
    <xf numFmtId="0" fontId="13" fillId="0" borderId="16" xfId="0" applyFont="1" applyBorder="1" applyAlignment="1">
      <alignment horizontal="center" vertical="center"/>
    </xf>
    <xf numFmtId="164" fontId="13" fillId="0" borderId="16" xfId="0" applyNumberFormat="1" applyFont="1" applyBorder="1" applyAlignment="1">
      <alignment horizontal="center" vertical="center"/>
    </xf>
    <xf numFmtId="0" fontId="14" fillId="3" borderId="17" xfId="0" applyFont="1" applyFill="1" applyBorder="1" applyAlignment="1">
      <alignment horizontal="center" vertical="center"/>
    </xf>
    <xf numFmtId="0" fontId="7" fillId="0" borderId="0" xfId="0" quotePrefix="1" applyFont="1"/>
    <xf numFmtId="0" fontId="11" fillId="4" borderId="15" xfId="0" applyFont="1" applyFill="1" applyBorder="1" applyAlignment="1">
      <alignment horizontal="left" vertical="center"/>
    </xf>
    <xf numFmtId="0" fontId="11" fillId="4" borderId="16" xfId="0" applyFont="1" applyFill="1" applyBorder="1" applyAlignment="1">
      <alignment horizontal="left" vertical="center"/>
    </xf>
    <xf numFmtId="164" fontId="12" fillId="4" borderId="16" xfId="0" applyNumberFormat="1" applyFont="1" applyFill="1" applyBorder="1" applyAlignment="1">
      <alignment horizontal="center" vertical="center"/>
    </xf>
    <xf numFmtId="0" fontId="14" fillId="4" borderId="17" xfId="0" applyFont="1" applyFill="1" applyBorder="1" applyAlignment="1">
      <alignment horizontal="center" vertical="center"/>
    </xf>
    <xf numFmtId="1" fontId="11" fillId="0" borderId="16" xfId="0" applyNumberFormat="1" applyFont="1" applyBorder="1" applyAlignment="1">
      <alignment horizontal="center" vertical="center"/>
    </xf>
    <xf numFmtId="164" fontId="12" fillId="4" borderId="17" xfId="0" applyNumberFormat="1" applyFont="1" applyFill="1" applyBorder="1" applyAlignment="1">
      <alignment horizontal="center" vertical="center"/>
    </xf>
    <xf numFmtId="164" fontId="12" fillId="3" borderId="17" xfId="0" applyNumberFormat="1" applyFont="1" applyFill="1" applyBorder="1" applyAlignment="1">
      <alignment horizontal="center" vertical="center"/>
    </xf>
    <xf numFmtId="0" fontId="14" fillId="3" borderId="16" xfId="0" applyFont="1" applyFill="1" applyBorder="1" applyAlignment="1">
      <alignment horizontal="center" vertical="center"/>
    </xf>
    <xf numFmtId="0" fontId="11" fillId="4" borderId="15" xfId="0" applyFont="1" applyFill="1" applyBorder="1" applyAlignment="1">
      <alignment horizontal="left" vertical="center" wrapText="1"/>
    </xf>
    <xf numFmtId="0" fontId="11" fillId="4" borderId="16" xfId="0" applyFont="1" applyFill="1" applyBorder="1" applyAlignment="1">
      <alignment horizontal="left" vertical="center" wrapText="1"/>
    </xf>
    <xf numFmtId="0" fontId="13" fillId="3" borderId="15" xfId="0" applyFont="1" applyFill="1" applyBorder="1" applyAlignment="1">
      <alignment horizontal="left" vertical="center" wrapText="1"/>
    </xf>
    <xf numFmtId="0" fontId="13" fillId="3" borderId="16" xfId="0" applyFont="1" applyFill="1" applyBorder="1" applyAlignment="1">
      <alignment horizontal="left" vertical="center" wrapText="1"/>
    </xf>
    <xf numFmtId="0" fontId="11" fillId="3" borderId="15" xfId="0" applyFont="1" applyFill="1" applyBorder="1" applyAlignment="1">
      <alignment horizontal="left" vertical="center" wrapText="1"/>
    </xf>
    <xf numFmtId="0" fontId="11" fillId="3" borderId="16" xfId="0" applyFont="1" applyFill="1" applyBorder="1" applyAlignment="1">
      <alignment horizontal="left" vertical="center" wrapText="1"/>
    </xf>
    <xf numFmtId="0" fontId="7" fillId="0" borderId="15" xfId="0" applyFont="1" applyBorder="1" applyAlignment="1">
      <alignment horizontal="left"/>
    </xf>
    <xf numFmtId="0" fontId="7" fillId="0" borderId="16" xfId="0" applyFont="1" applyBorder="1" applyAlignment="1">
      <alignment horizontal="left"/>
    </xf>
    <xf numFmtId="0" fontId="7" fillId="0" borderId="16" xfId="0" applyFont="1" applyBorder="1"/>
    <xf numFmtId="0" fontId="15" fillId="0" borderId="16" xfId="0" applyFont="1" applyBorder="1"/>
    <xf numFmtId="0" fontId="15" fillId="0" borderId="17" xfId="0" applyFont="1" applyBorder="1"/>
    <xf numFmtId="0" fontId="13" fillId="4" borderId="16" xfId="0" applyFont="1" applyFill="1" applyBorder="1" applyAlignment="1">
      <alignment horizontal="left" vertical="center" wrapText="1"/>
    </xf>
    <xf numFmtId="0" fontId="13" fillId="4" borderId="15" xfId="0" applyFont="1" applyFill="1" applyBorder="1" applyAlignment="1">
      <alignment horizontal="left" vertical="center" wrapText="1"/>
    </xf>
    <xf numFmtId="0" fontId="7" fillId="4" borderId="15" xfId="0" applyFont="1" applyFill="1" applyBorder="1" applyAlignment="1">
      <alignment horizontal="left"/>
    </xf>
    <xf numFmtId="0" fontId="16" fillId="4" borderId="15" xfId="0" applyFont="1" applyFill="1" applyBorder="1" applyAlignment="1">
      <alignment horizontal="left" vertical="center" wrapText="1"/>
    </xf>
    <xf numFmtId="0" fontId="16" fillId="4" borderId="16" xfId="0" applyFont="1" applyFill="1" applyBorder="1" applyAlignment="1">
      <alignment horizontal="left" vertical="center" wrapText="1"/>
    </xf>
    <xf numFmtId="2" fontId="17" fillId="0" borderId="16" xfId="0" applyNumberFormat="1" applyFont="1" applyBorder="1" applyAlignment="1">
      <alignment horizontal="center" vertical="center"/>
    </xf>
    <xf numFmtId="164" fontId="17" fillId="0" borderId="16" xfId="0" applyNumberFormat="1" applyFont="1" applyBorder="1" applyAlignment="1">
      <alignment horizontal="center" vertical="center"/>
    </xf>
    <xf numFmtId="164" fontId="18" fillId="4" borderId="16" xfId="0" applyNumberFormat="1" applyFont="1" applyFill="1" applyBorder="1" applyAlignment="1">
      <alignment horizontal="center" vertical="center"/>
    </xf>
    <xf numFmtId="164" fontId="18" fillId="4" borderId="17" xfId="0" applyNumberFormat="1" applyFont="1" applyFill="1" applyBorder="1" applyAlignment="1">
      <alignment horizontal="center" vertical="center"/>
    </xf>
    <xf numFmtId="0" fontId="19" fillId="0" borderId="0" xfId="0" applyFont="1"/>
    <xf numFmtId="0" fontId="13" fillId="4" borderId="18" xfId="0" applyFont="1" applyFill="1" applyBorder="1" applyAlignment="1">
      <alignment horizontal="left" vertical="center" wrapText="1"/>
    </xf>
    <xf numFmtId="0" fontId="13" fillId="4" borderId="19" xfId="0" applyFont="1" applyFill="1" applyBorder="1" applyAlignment="1">
      <alignment horizontal="left" vertical="center" wrapText="1"/>
    </xf>
    <xf numFmtId="2" fontId="11" fillId="0" borderId="19" xfId="0" applyNumberFormat="1" applyFont="1" applyBorder="1" applyAlignment="1">
      <alignment horizontal="center" vertical="center"/>
    </xf>
    <xf numFmtId="164" fontId="11" fillId="0" borderId="19" xfId="0" applyNumberFormat="1" applyFont="1" applyBorder="1" applyAlignment="1">
      <alignment horizontal="center" vertical="center"/>
    </xf>
    <xf numFmtId="164" fontId="12" fillId="4" borderId="19" xfId="0" applyNumberFormat="1" applyFont="1" applyFill="1" applyBorder="1" applyAlignment="1">
      <alignment horizontal="center" vertical="center"/>
    </xf>
    <xf numFmtId="164" fontId="12" fillId="4" borderId="20" xfId="0" applyNumberFormat="1" applyFont="1" applyFill="1" applyBorder="1" applyAlignment="1">
      <alignment horizontal="center" vertical="center"/>
    </xf>
    <xf numFmtId="0" fontId="7" fillId="0" borderId="0" xfId="0" applyFont="1" applyAlignment="1">
      <alignment horizontal="left"/>
    </xf>
    <xf numFmtId="0" fontId="15" fillId="0" borderId="0" xfId="0" applyFont="1"/>
    <xf numFmtId="0" fontId="7" fillId="0" borderId="21" xfId="0" applyFont="1" applyBorder="1"/>
    <xf numFmtId="49" fontId="0" fillId="0" borderId="0" xfId="0" applyNumberFormat="1"/>
    <xf numFmtId="49" fontId="0" fillId="0" borderId="0" xfId="0" applyNumberFormat="1" applyAlignment="1">
      <alignment horizontal="left"/>
    </xf>
    <xf numFmtId="165" fontId="0" fillId="0" borderId="0" xfId="0" applyNumberFormat="1"/>
    <xf numFmtId="0" fontId="0" fillId="0" borderId="0" xfId="0" applyAlignment="1">
      <alignment horizontal="center" vertical="center"/>
    </xf>
    <xf numFmtId="0" fontId="20" fillId="0" borderId="14" xfId="0" applyFont="1" applyBorder="1" applyAlignment="1">
      <alignment vertical="center"/>
    </xf>
    <xf numFmtId="0" fontId="0" fillId="0" borderId="16" xfId="0" applyBorder="1"/>
    <xf numFmtId="0" fontId="0" fillId="0" borderId="0" xfId="0" applyAlignment="1">
      <alignment vertical="center"/>
    </xf>
    <xf numFmtId="0" fontId="0" fillId="0" borderId="16" xfId="0" applyBorder="1" applyAlignment="1">
      <alignment horizontal="center" vertical="center"/>
    </xf>
    <xf numFmtId="0" fontId="0" fillId="0" borderId="25" xfId="0" applyBorder="1" applyAlignment="1">
      <alignment horizontal="center" vertical="center"/>
    </xf>
    <xf numFmtId="0" fontId="0" fillId="0" borderId="28" xfId="0" applyBorder="1"/>
    <xf numFmtId="0" fontId="0" fillId="0" borderId="16" xfId="0" applyBorder="1" applyAlignment="1">
      <alignment horizontal="center"/>
    </xf>
    <xf numFmtId="165" fontId="0" fillId="0" borderId="16" xfId="0" applyNumberFormat="1" applyBorder="1" applyAlignment="1">
      <alignment horizontal="center"/>
    </xf>
    <xf numFmtId="0" fontId="0" fillId="0" borderId="25" xfId="0" applyBorder="1" applyAlignment="1">
      <alignment horizontal="center"/>
    </xf>
    <xf numFmtId="0" fontId="0" fillId="0" borderId="29" xfId="0" applyBorder="1" applyAlignment="1">
      <alignment horizontal="center" vertical="center"/>
    </xf>
    <xf numFmtId="165" fontId="0" fillId="0" borderId="30" xfId="0" applyNumberFormat="1" applyBorder="1" applyAlignment="1">
      <alignment horizontal="center" vertical="center"/>
    </xf>
    <xf numFmtId="0" fontId="0" fillId="0" borderId="30" xfId="0" applyBorder="1" applyAlignment="1">
      <alignment horizontal="center" vertical="center"/>
    </xf>
    <xf numFmtId="165" fontId="0" fillId="0" borderId="31" xfId="0" applyNumberFormat="1" applyBorder="1" applyAlignment="1">
      <alignment horizontal="center" vertical="center"/>
    </xf>
    <xf numFmtId="0" fontId="0" fillId="0" borderId="32" xfId="0" applyBorder="1" applyAlignment="1">
      <alignment horizontal="center"/>
    </xf>
    <xf numFmtId="0" fontId="0" fillId="0" borderId="33" xfId="0" applyBorder="1"/>
    <xf numFmtId="49" fontId="0" fillId="0" borderId="16" xfId="0" applyNumberFormat="1" applyBorder="1" applyAlignment="1">
      <alignment horizontal="left"/>
    </xf>
    <xf numFmtId="165" fontId="0" fillId="0" borderId="16" xfId="0" applyNumberFormat="1" applyBorder="1"/>
    <xf numFmtId="0" fontId="0" fillId="0" borderId="25" xfId="0" applyBorder="1"/>
    <xf numFmtId="0" fontId="0" fillId="0" borderId="16" xfId="0" applyBorder="1" applyAlignment="1">
      <alignment vertical="center"/>
    </xf>
    <xf numFmtId="49" fontId="0" fillId="0" borderId="16" xfId="0" applyNumberFormat="1" applyBorder="1" applyAlignment="1">
      <alignment horizontal="center" vertical="center"/>
    </xf>
    <xf numFmtId="2" fontId="0" fillId="0" borderId="16" xfId="0" applyNumberFormat="1" applyBorder="1" applyAlignment="1">
      <alignment horizontal="center" vertical="center"/>
    </xf>
    <xf numFmtId="165" fontId="0" fillId="0" borderId="16" xfId="0" applyNumberFormat="1" applyBorder="1" applyAlignment="1">
      <alignment horizontal="center" vertical="center"/>
    </xf>
    <xf numFmtId="165" fontId="0" fillId="5" borderId="16" xfId="0" applyNumberFormat="1" applyFill="1" applyBorder="1"/>
    <xf numFmtId="0" fontId="0" fillId="0" borderId="16" xfId="0" applyBorder="1" applyAlignment="1">
      <alignment wrapText="1"/>
    </xf>
    <xf numFmtId="8" fontId="0" fillId="0" borderId="0" xfId="0" applyNumberFormat="1"/>
    <xf numFmtId="0" fontId="0" fillId="0" borderId="16" xfId="0" applyBorder="1" applyAlignment="1">
      <alignment vertical="center" wrapText="1"/>
    </xf>
    <xf numFmtId="49" fontId="0" fillId="0" borderId="0" xfId="0" applyNumberFormat="1" applyAlignment="1">
      <alignment horizontal="center"/>
    </xf>
    <xf numFmtId="0" fontId="0" fillId="0" borderId="0" xfId="0" applyAlignment="1">
      <alignment horizontal="center"/>
    </xf>
    <xf numFmtId="0" fontId="4" fillId="6" borderId="16" xfId="0" applyFont="1" applyFill="1" applyBorder="1" applyAlignment="1">
      <alignment vertical="center"/>
    </xf>
    <xf numFmtId="0" fontId="0" fillId="6" borderId="16" xfId="0" quotePrefix="1" applyFill="1" applyBorder="1"/>
    <xf numFmtId="165" fontId="0" fillId="6" borderId="16" xfId="0" applyNumberFormat="1" applyFill="1" applyBorder="1"/>
    <xf numFmtId="0" fontId="0" fillId="6" borderId="16" xfId="0" applyFill="1" applyBorder="1"/>
    <xf numFmtId="0" fontId="0" fillId="0" borderId="16" xfId="0" applyBorder="1" applyAlignment="1">
      <alignment vertical="top"/>
    </xf>
    <xf numFmtId="44" fontId="0" fillId="0" borderId="0" xfId="1" applyFont="1"/>
    <xf numFmtId="0" fontId="0" fillId="0" borderId="34" xfId="0" applyBorder="1"/>
    <xf numFmtId="0" fontId="22" fillId="0" borderId="0" xfId="0" applyFont="1" applyAlignment="1">
      <alignment horizontal="center" vertical="top"/>
    </xf>
    <xf numFmtId="166" fontId="0" fillId="0" borderId="0" xfId="0" applyNumberFormat="1"/>
    <xf numFmtId="0" fontId="0" fillId="0" borderId="35" xfId="0" applyBorder="1" applyAlignment="1">
      <alignment horizontal="center" vertical="center"/>
    </xf>
    <xf numFmtId="165" fontId="0" fillId="0" borderId="36" xfId="0" applyNumberFormat="1" applyBorder="1" applyAlignment="1">
      <alignment horizontal="center" vertical="center"/>
    </xf>
    <xf numFmtId="0" fontId="0" fillId="0" borderId="36" xfId="0" applyBorder="1" applyAlignment="1">
      <alignment horizontal="center" vertical="center"/>
    </xf>
    <xf numFmtId="49" fontId="0" fillId="0" borderId="32" xfId="0" applyNumberFormat="1" applyBorder="1" applyAlignment="1">
      <alignment horizontal="center"/>
    </xf>
    <xf numFmtId="0" fontId="0" fillId="0" borderId="39" xfId="0" applyBorder="1" applyAlignment="1">
      <alignment horizontal="center"/>
    </xf>
    <xf numFmtId="0" fontId="0" fillId="0" borderId="40" xfId="0" applyBorder="1" applyAlignment="1">
      <alignment horizontal="center"/>
    </xf>
    <xf numFmtId="0" fontId="0" fillId="0" borderId="41" xfId="0" applyBorder="1" applyAlignment="1">
      <alignment horizontal="center"/>
    </xf>
    <xf numFmtId="0" fontId="0" fillId="0" borderId="37" xfId="0" applyBorder="1"/>
    <xf numFmtId="0" fontId="2" fillId="7" borderId="38" xfId="0" applyFont="1" applyFill="1" applyBorder="1" applyAlignment="1">
      <alignment horizontal="center"/>
    </xf>
    <xf numFmtId="0" fontId="2" fillId="7" borderId="30" xfId="0" applyFont="1" applyFill="1" applyBorder="1" applyAlignment="1">
      <alignment horizontal="center"/>
    </xf>
    <xf numFmtId="0" fontId="0" fillId="0" borderId="43" xfId="0" applyBorder="1" applyAlignment="1">
      <alignment horizontal="center"/>
    </xf>
    <xf numFmtId="0" fontId="0" fillId="0" borderId="44" xfId="0" applyBorder="1"/>
    <xf numFmtId="0" fontId="0" fillId="0" borderId="45" xfId="0" applyBorder="1" applyAlignment="1">
      <alignment horizontal="center"/>
    </xf>
    <xf numFmtId="0" fontId="0" fillId="0" borderId="47" xfId="0" applyBorder="1"/>
    <xf numFmtId="0" fontId="0" fillId="0" borderId="42" xfId="0" applyBorder="1"/>
    <xf numFmtId="0" fontId="24" fillId="0" borderId="1" xfId="0" applyFont="1" applyBorder="1"/>
    <xf numFmtId="0" fontId="0" fillId="0" borderId="1" xfId="0" applyBorder="1"/>
    <xf numFmtId="0" fontId="3" fillId="0" borderId="0" xfId="0" applyFont="1" applyAlignment="1">
      <alignment horizontal="center"/>
    </xf>
    <xf numFmtId="44" fontId="0" fillId="0" borderId="0" xfId="0" applyNumberFormat="1"/>
    <xf numFmtId="166" fontId="25" fillId="0" borderId="0" xfId="0" applyNumberFormat="1" applyFont="1" applyAlignment="1">
      <alignment horizontal="right" vertical="top"/>
    </xf>
    <xf numFmtId="0" fontId="0" fillId="0" borderId="52" xfId="0" applyBorder="1"/>
    <xf numFmtId="44" fontId="0" fillId="0" borderId="37" xfId="1" applyFont="1" applyBorder="1"/>
    <xf numFmtId="0" fontId="0" fillId="0" borderId="48" xfId="0" applyBorder="1" applyAlignment="1">
      <alignment horizontal="center"/>
    </xf>
    <xf numFmtId="0" fontId="0" fillId="0" borderId="47" xfId="0" applyBorder="1" applyAlignment="1">
      <alignment horizontal="center"/>
    </xf>
    <xf numFmtId="44" fontId="23" fillId="0" borderId="52" xfId="1" applyFont="1" applyBorder="1"/>
    <xf numFmtId="44" fontId="0" fillId="0" borderId="0" xfId="0" applyNumberFormat="1" applyAlignment="1">
      <alignment vertical="center"/>
    </xf>
    <xf numFmtId="0" fontId="27" fillId="0" borderId="25" xfId="2" applyFont="1" applyBorder="1" applyAlignment="1">
      <alignment horizontal="left" vertical="top" wrapText="1"/>
    </xf>
    <xf numFmtId="0" fontId="27" fillId="0" borderId="16" xfId="2" applyFont="1" applyBorder="1" applyAlignment="1">
      <alignment horizontal="center" vertical="top" wrapText="1"/>
    </xf>
    <xf numFmtId="0" fontId="26" fillId="0" borderId="0" xfId="2"/>
    <xf numFmtId="0" fontId="28" fillId="0" borderId="37" xfId="2" applyFont="1" applyBorder="1" applyAlignment="1">
      <alignment vertical="center" textRotation="255" wrapText="1"/>
    </xf>
    <xf numFmtId="0" fontId="26" fillId="0" borderId="16" xfId="2" applyBorder="1"/>
    <xf numFmtId="0" fontId="29" fillId="0" borderId="16" xfId="2" applyFont="1" applyBorder="1" applyAlignment="1">
      <alignment horizontal="left" vertical="center" wrapText="1"/>
    </xf>
    <xf numFmtId="0" fontId="27" fillId="0" borderId="16" xfId="2" applyFont="1" applyBorder="1" applyAlignment="1">
      <alignment horizontal="left" vertical="center" wrapText="1"/>
    </xf>
    <xf numFmtId="0" fontId="26" fillId="0" borderId="16" xfId="2" applyBorder="1" applyAlignment="1">
      <alignment horizontal="center" vertical="top"/>
    </xf>
    <xf numFmtId="0" fontId="28" fillId="0" borderId="0" xfId="2" applyFont="1" applyAlignment="1">
      <alignment vertical="center" textRotation="255" wrapText="1"/>
    </xf>
    <xf numFmtId="0" fontId="30" fillId="0" borderId="16" xfId="2" applyFont="1" applyBorder="1" applyAlignment="1">
      <alignment horizontal="center" vertical="top"/>
    </xf>
    <xf numFmtId="0" fontId="27" fillId="0" borderId="16" xfId="2" applyFont="1" applyBorder="1" applyAlignment="1">
      <alignment horizontal="center" vertical="top"/>
    </xf>
    <xf numFmtId="0" fontId="28" fillId="0" borderId="0" xfId="2" applyFont="1" applyAlignment="1">
      <alignment horizontal="center" vertical="center" textRotation="255" wrapText="1"/>
    </xf>
    <xf numFmtId="0" fontId="29" fillId="0" borderId="16" xfId="2" applyFont="1" applyBorder="1" applyAlignment="1">
      <alignment horizontal="center" vertical="center" wrapText="1"/>
    </xf>
    <xf numFmtId="0" fontId="26" fillId="0" borderId="15" xfId="2" applyBorder="1"/>
    <xf numFmtId="0" fontId="32" fillId="0" borderId="16" xfId="2" applyFont="1" applyBorder="1" applyAlignment="1">
      <alignment vertical="center" wrapText="1"/>
    </xf>
    <xf numFmtId="0" fontId="32" fillId="0" borderId="16" xfId="2" applyFont="1" applyBorder="1" applyAlignment="1">
      <alignment vertical="center"/>
    </xf>
    <xf numFmtId="0" fontId="32" fillId="0" borderId="16" xfId="2" applyFont="1" applyBorder="1" applyAlignment="1">
      <alignment horizontal="center" vertical="center" wrapText="1"/>
    </xf>
    <xf numFmtId="0" fontId="26" fillId="0" borderId="17" xfId="2" applyBorder="1"/>
    <xf numFmtId="0" fontId="27" fillId="0" borderId="16" xfId="2" applyFont="1" applyBorder="1" applyAlignment="1">
      <alignment horizontal="left" vertical="top" wrapText="1"/>
    </xf>
    <xf numFmtId="0" fontId="27" fillId="0" borderId="30" xfId="2" applyFont="1" applyBorder="1" applyAlignment="1">
      <alignment horizontal="center" vertical="top" wrapText="1"/>
    </xf>
    <xf numFmtId="0" fontId="31" fillId="0" borderId="0" xfId="2" applyFont="1" applyAlignment="1">
      <alignment vertical="center" textRotation="255"/>
    </xf>
    <xf numFmtId="0" fontId="26" fillId="0" borderId="12" xfId="2" applyBorder="1"/>
    <xf numFmtId="0" fontId="29" fillId="0" borderId="13" xfId="2" applyFont="1" applyBorder="1" applyAlignment="1">
      <alignment horizontal="left" vertical="center" wrapText="1"/>
    </xf>
    <xf numFmtId="0" fontId="27" fillId="0" borderId="13" xfId="2" applyFont="1" applyBorder="1" applyAlignment="1">
      <alignment horizontal="left" vertical="center" wrapText="1"/>
    </xf>
    <xf numFmtId="0" fontId="27" fillId="0" borderId="14" xfId="2" applyFont="1" applyBorder="1" applyAlignment="1">
      <alignment horizontal="center" vertical="top"/>
    </xf>
    <xf numFmtId="0" fontId="27" fillId="0" borderId="17" xfId="2" applyFont="1" applyBorder="1" applyAlignment="1">
      <alignment horizontal="center" vertical="top"/>
    </xf>
    <xf numFmtId="0" fontId="30" fillId="0" borderId="17" xfId="2" applyFont="1" applyBorder="1" applyAlignment="1">
      <alignment horizontal="center" vertical="top"/>
    </xf>
    <xf numFmtId="0" fontId="32" fillId="0" borderId="16" xfId="2" applyFont="1" applyBorder="1"/>
    <xf numFmtId="0" fontId="26" fillId="0" borderId="18" xfId="2" applyBorder="1"/>
    <xf numFmtId="0" fontId="26" fillId="0" borderId="19" xfId="2" applyBorder="1"/>
    <xf numFmtId="0" fontId="32" fillId="0" borderId="19" xfId="2" applyFont="1" applyBorder="1" applyAlignment="1">
      <alignment vertical="center" wrapText="1"/>
    </xf>
    <xf numFmtId="0" fontId="32" fillId="0" borderId="19" xfId="2" applyFont="1" applyBorder="1" applyAlignment="1">
      <alignment vertical="center"/>
    </xf>
    <xf numFmtId="0" fontId="26" fillId="0" borderId="20" xfId="2" applyBorder="1"/>
    <xf numFmtId="0" fontId="22" fillId="0" borderId="1" xfId="0" applyFont="1" applyBorder="1" applyAlignment="1">
      <alignment horizontal="right"/>
    </xf>
    <xf numFmtId="0" fontId="0" fillId="0" borderId="0" xfId="0" applyAlignment="1">
      <alignment horizontal="right"/>
    </xf>
    <xf numFmtId="44" fontId="0" fillId="0" borderId="0" xfId="1" applyFont="1" applyBorder="1"/>
    <xf numFmtId="0" fontId="4" fillId="7" borderId="0" xfId="0" applyFont="1" applyFill="1"/>
    <xf numFmtId="0" fontId="0" fillId="0" borderId="49" xfId="0" applyBorder="1" applyAlignment="1">
      <alignment horizontal="right"/>
    </xf>
    <xf numFmtId="0" fontId="0" fillId="0" borderId="50" xfId="0" applyBorder="1" applyAlignment="1">
      <alignment horizontal="right"/>
    </xf>
    <xf numFmtId="0" fontId="0" fillId="0" borderId="51" xfId="0" applyBorder="1" applyAlignment="1">
      <alignment horizontal="right"/>
    </xf>
    <xf numFmtId="0" fontId="0" fillId="0" borderId="53" xfId="0" applyBorder="1"/>
    <xf numFmtId="0" fontId="24" fillId="0" borderId="53" xfId="0" applyFont="1" applyBorder="1"/>
    <xf numFmtId="0" fontId="24" fillId="0" borderId="0" xfId="0" applyFont="1"/>
    <xf numFmtId="0" fontId="0" fillId="0" borderId="44" xfId="0" applyBorder="1" applyAlignment="1">
      <alignment horizontal="center"/>
    </xf>
    <xf numFmtId="0" fontId="7" fillId="0" borderId="34" xfId="0" applyFont="1" applyBorder="1"/>
    <xf numFmtId="0" fontId="0" fillId="0" borderId="34" xfId="0" applyBorder="1" applyAlignment="1">
      <alignment horizontal="center"/>
    </xf>
    <xf numFmtId="166" fontId="25" fillId="0" borderId="0" xfId="0" applyNumberFormat="1" applyFont="1" applyAlignment="1">
      <alignment horizontal="left" vertical="top"/>
    </xf>
    <xf numFmtId="166" fontId="0" fillId="0" borderId="0" xfId="0" applyNumberFormat="1" applyAlignment="1">
      <alignment horizontal="center"/>
    </xf>
    <xf numFmtId="9" fontId="0" fillId="0" borderId="0" xfId="3" applyFont="1" applyAlignment="1">
      <alignment horizontal="center"/>
    </xf>
    <xf numFmtId="9" fontId="0" fillId="0" borderId="37" xfId="3" applyFont="1" applyBorder="1" applyAlignment="1">
      <alignment horizontal="center"/>
    </xf>
    <xf numFmtId="9" fontId="0" fillId="0" borderId="34" xfId="3" applyFont="1" applyBorder="1" applyAlignment="1">
      <alignment horizontal="center"/>
    </xf>
    <xf numFmtId="2" fontId="0" fillId="0" borderId="0" xfId="0" applyNumberFormat="1" applyAlignment="1">
      <alignment horizontal="center"/>
    </xf>
    <xf numFmtId="0" fontId="0" fillId="0" borderId="54" xfId="0" applyBorder="1" applyAlignment="1">
      <alignment horizontal="center"/>
    </xf>
    <xf numFmtId="0" fontId="0" fillId="0" borderId="46" xfId="0" applyBorder="1" applyAlignment="1">
      <alignment horizontal="center"/>
    </xf>
    <xf numFmtId="0" fontId="3" fillId="0" borderId="0" xfId="0" applyFont="1"/>
    <xf numFmtId="0" fontId="0" fillId="0" borderId="0" xfId="0" applyAlignment="1">
      <alignment horizontal="left"/>
    </xf>
    <xf numFmtId="44" fontId="0" fillId="0" borderId="37" xfId="0" applyNumberFormat="1" applyBorder="1"/>
    <xf numFmtId="1" fontId="25" fillId="0" borderId="0" xfId="0" applyNumberFormat="1" applyFont="1" applyAlignment="1">
      <alignment horizontal="right" vertical="top"/>
    </xf>
    <xf numFmtId="44" fontId="23" fillId="0" borderId="37" xfId="0" applyNumberFormat="1" applyFont="1" applyBorder="1"/>
    <xf numFmtId="0" fontId="33" fillId="0" borderId="0" xfId="0" applyFont="1" applyAlignment="1">
      <alignment horizontal="right" vertical="center"/>
    </xf>
    <xf numFmtId="0" fontId="0" fillId="0" borderId="55" xfId="0" applyBorder="1"/>
    <xf numFmtId="44" fontId="0" fillId="0" borderId="55" xfId="0" applyNumberFormat="1" applyBorder="1"/>
    <xf numFmtId="0" fontId="24" fillId="0" borderId="55" xfId="0" applyFont="1" applyBorder="1"/>
    <xf numFmtId="2" fontId="0" fillId="0" borderId="0" xfId="0" applyNumberFormat="1"/>
    <xf numFmtId="0" fontId="0" fillId="9" borderId="56" xfId="0" applyFill="1" applyBorder="1"/>
    <xf numFmtId="0" fontId="0" fillId="0" borderId="56" xfId="0" applyBorder="1"/>
    <xf numFmtId="0" fontId="0" fillId="9" borderId="57" xfId="0" applyFill="1" applyBorder="1"/>
    <xf numFmtId="0" fontId="0" fillId="9" borderId="58" xfId="0" applyFill="1" applyBorder="1"/>
    <xf numFmtId="0" fontId="0" fillId="9" borderId="58" xfId="0" applyFill="1" applyBorder="1" applyAlignment="1">
      <alignment horizontal="center"/>
    </xf>
    <xf numFmtId="0" fontId="0" fillId="9" borderId="59" xfId="0" applyFill="1" applyBorder="1" applyAlignment="1">
      <alignment horizontal="center"/>
    </xf>
    <xf numFmtId="0" fontId="0" fillId="0" borderId="57" xfId="0" applyBorder="1"/>
    <xf numFmtId="0" fontId="0" fillId="0" borderId="56" xfId="0" applyBorder="1" applyAlignment="1">
      <alignment horizontal="center"/>
    </xf>
    <xf numFmtId="0" fontId="0" fillId="0" borderId="60" xfId="0" applyBorder="1" applyAlignment="1">
      <alignment horizontal="center"/>
    </xf>
    <xf numFmtId="0" fontId="0" fillId="9" borderId="56" xfId="0" applyFill="1" applyBorder="1" applyAlignment="1">
      <alignment horizontal="center"/>
    </xf>
    <xf numFmtId="0" fontId="0" fillId="9" borderId="60" xfId="0" applyFill="1" applyBorder="1" applyAlignment="1">
      <alignment horizontal="center"/>
    </xf>
    <xf numFmtId="44" fontId="23" fillId="0" borderId="0" xfId="0" applyNumberFormat="1" applyFont="1"/>
    <xf numFmtId="0" fontId="3" fillId="10" borderId="1" xfId="0" applyFont="1" applyFill="1" applyBorder="1"/>
    <xf numFmtId="0" fontId="3" fillId="0" borderId="1" xfId="0" applyFont="1" applyBorder="1"/>
    <xf numFmtId="44" fontId="0" fillId="0" borderId="1" xfId="0" applyNumberFormat="1" applyBorder="1"/>
    <xf numFmtId="0" fontId="3" fillId="0" borderId="0" xfId="0" applyFont="1" applyAlignment="1">
      <alignment horizontal="right"/>
    </xf>
    <xf numFmtId="0" fontId="3" fillId="10" borderId="1" xfId="0" applyFont="1" applyFill="1" applyBorder="1" applyAlignment="1">
      <alignment horizontal="right"/>
    </xf>
    <xf numFmtId="0" fontId="39" fillId="0" borderId="0" xfId="0" applyFont="1"/>
    <xf numFmtId="0" fontId="34" fillId="0" borderId="0" xfId="4" applyAlignment="1"/>
    <xf numFmtId="0" fontId="38" fillId="0" borderId="0" xfId="0" applyFont="1"/>
    <xf numFmtId="0" fontId="42" fillId="0" borderId="0" xfId="0" applyFont="1" applyAlignment="1">
      <alignment vertical="center"/>
    </xf>
    <xf numFmtId="9" fontId="0" fillId="0" borderId="0" xfId="0" applyNumberFormat="1"/>
    <xf numFmtId="165" fontId="0" fillId="0" borderId="36" xfId="0" applyNumberFormat="1" applyBorder="1" applyAlignment="1">
      <alignment horizontal="center"/>
    </xf>
    <xf numFmtId="165" fontId="0" fillId="0" borderId="61" xfId="0" applyNumberFormat="1" applyBorder="1" applyAlignment="1">
      <alignment horizontal="center"/>
    </xf>
    <xf numFmtId="0" fontId="0" fillId="8" borderId="0" xfId="0" applyFill="1"/>
    <xf numFmtId="0" fontId="0" fillId="11" borderId="0" xfId="0" applyFill="1"/>
    <xf numFmtId="44" fontId="0" fillId="9" borderId="56" xfId="1" applyFont="1" applyFill="1" applyBorder="1"/>
    <xf numFmtId="44" fontId="0" fillId="0" borderId="56" xfId="1" applyFont="1" applyBorder="1"/>
    <xf numFmtId="44" fontId="0" fillId="0" borderId="0" xfId="0" applyNumberFormat="1" applyAlignment="1">
      <alignment horizontal="center"/>
    </xf>
    <xf numFmtId="165" fontId="11" fillId="0" borderId="13" xfId="0" applyNumberFormat="1" applyFont="1" applyBorder="1" applyAlignment="1">
      <alignment horizontal="center" vertical="center"/>
    </xf>
    <xf numFmtId="165" fontId="11" fillId="0" borderId="16" xfId="0" applyNumberFormat="1" applyFont="1" applyBorder="1" applyAlignment="1">
      <alignment horizontal="center" vertical="center"/>
    </xf>
    <xf numFmtId="165" fontId="7" fillId="0" borderId="16" xfId="0" applyNumberFormat="1" applyFont="1" applyBorder="1"/>
    <xf numFmtId="165" fontId="17" fillId="0" borderId="16" xfId="0" applyNumberFormat="1" applyFont="1" applyBorder="1" applyAlignment="1">
      <alignment horizontal="center" vertical="center"/>
    </xf>
    <xf numFmtId="165" fontId="13" fillId="0" borderId="16" xfId="0" applyNumberFormat="1" applyFont="1" applyBorder="1" applyAlignment="1">
      <alignment horizontal="center" vertical="center"/>
    </xf>
    <xf numFmtId="165" fontId="13" fillId="0" borderId="13" xfId="0" applyNumberFormat="1" applyFont="1" applyBorder="1" applyAlignment="1">
      <alignment horizontal="center" vertical="center"/>
    </xf>
    <xf numFmtId="0" fontId="43" fillId="0" borderId="0" xfId="0" applyFont="1" applyAlignment="1">
      <alignment vertical="center"/>
    </xf>
    <xf numFmtId="167" fontId="0" fillId="0" borderId="0" xfId="0" applyNumberFormat="1"/>
    <xf numFmtId="0" fontId="0" fillId="9" borderId="62" xfId="0" applyFill="1" applyBorder="1"/>
    <xf numFmtId="0" fontId="0" fillId="0" borderId="62" xfId="0" applyBorder="1"/>
    <xf numFmtId="44" fontId="0" fillId="9" borderId="56" xfId="0" applyNumberFormat="1" applyFill="1" applyBorder="1" applyAlignment="1">
      <alignment horizontal="center"/>
    </xf>
    <xf numFmtId="44" fontId="0" fillId="0" borderId="56" xfId="0" applyNumberFormat="1" applyBorder="1" applyAlignment="1">
      <alignment horizontal="center"/>
    </xf>
    <xf numFmtId="2" fontId="0" fillId="0" borderId="0" xfId="1" applyNumberFormat="1" applyFont="1"/>
    <xf numFmtId="0" fontId="0" fillId="0" borderId="63" xfId="0" applyBorder="1"/>
    <xf numFmtId="0" fontId="0" fillId="0" borderId="63" xfId="0" applyBorder="1" applyAlignment="1">
      <alignment horizontal="center"/>
    </xf>
    <xf numFmtId="0" fontId="0" fillId="0" borderId="64" xfId="0" applyBorder="1" applyAlignment="1">
      <alignment horizontal="center"/>
    </xf>
    <xf numFmtId="0" fontId="0" fillId="9" borderId="44" xfId="0" applyFill="1" applyBorder="1"/>
    <xf numFmtId="0" fontId="0" fillId="9" borderId="0" xfId="0" applyFill="1"/>
    <xf numFmtId="0" fontId="0" fillId="9" borderId="0" xfId="0" applyFill="1" applyAlignment="1">
      <alignment horizontal="center"/>
    </xf>
    <xf numFmtId="0" fontId="0" fillId="9" borderId="45" xfId="0" applyFill="1" applyBorder="1" applyAlignment="1">
      <alignment horizontal="center"/>
    </xf>
    <xf numFmtId="0" fontId="0" fillId="0" borderId="46" xfId="0" applyBorder="1"/>
    <xf numFmtId="0" fontId="0" fillId="12" borderId="0" xfId="0" applyFill="1"/>
    <xf numFmtId="0" fontId="0" fillId="9" borderId="65" xfId="0" applyFill="1" applyBorder="1"/>
    <xf numFmtId="44" fontId="0" fillId="0" borderId="0" xfId="1" applyFont="1" applyAlignment="1">
      <alignment horizontal="center"/>
    </xf>
    <xf numFmtId="0" fontId="0" fillId="0" borderId="0" xfId="0" applyAlignment="1">
      <alignment horizontal="center"/>
    </xf>
    <xf numFmtId="0" fontId="0" fillId="8" borderId="15" xfId="0" applyFill="1" applyBorder="1" applyAlignment="1">
      <alignment horizontal="center" vertical="center"/>
    </xf>
    <xf numFmtId="0" fontId="0" fillId="8" borderId="16" xfId="0" applyFill="1" applyBorder="1" applyAlignment="1">
      <alignment horizontal="center" vertical="center"/>
    </xf>
    <xf numFmtId="0" fontId="2" fillId="7" borderId="31" xfId="0" applyFont="1" applyFill="1" applyBorder="1" applyAlignment="1">
      <alignment horizontal="center"/>
    </xf>
    <xf numFmtId="0" fontId="2" fillId="7" borderId="37" xfId="0" applyFont="1" applyFill="1" applyBorder="1" applyAlignment="1">
      <alignment horizontal="center"/>
    </xf>
    <xf numFmtId="0" fontId="0" fillId="0" borderId="0" xfId="0" applyAlignment="1">
      <alignment horizontal="center" wrapText="1"/>
    </xf>
    <xf numFmtId="49" fontId="0" fillId="0" borderId="0" xfId="0" applyNumberFormat="1" applyAlignment="1">
      <alignment horizontal="center"/>
    </xf>
    <xf numFmtId="0" fontId="0" fillId="0" borderId="34" xfId="0" applyBorder="1" applyAlignment="1">
      <alignment horizontal="center"/>
    </xf>
    <xf numFmtId="0" fontId="43" fillId="0" borderId="0" xfId="0" applyFont="1" applyAlignment="1">
      <alignment horizontal="left" vertical="center"/>
    </xf>
    <xf numFmtId="0" fontId="35" fillId="0" borderId="0" xfId="0" applyFont="1" applyAlignment="1">
      <alignment horizontal="left" vertical="center" textRotation="180"/>
    </xf>
    <xf numFmtId="0" fontId="36" fillId="0" borderId="0" xfId="0" applyFont="1" applyAlignment="1">
      <alignment horizontal="center"/>
    </xf>
    <xf numFmtId="0" fontId="37" fillId="0" borderId="0" xfId="0" applyFont="1" applyAlignment="1">
      <alignment horizontal="center"/>
    </xf>
    <xf numFmtId="0" fontId="40" fillId="0" borderId="0" xfId="0" applyFont="1" applyAlignment="1">
      <alignment horizontal="right"/>
    </xf>
    <xf numFmtId="0" fontId="39" fillId="0" borderId="0" xfId="0" applyFont="1" applyAlignment="1">
      <alignment horizontal="right"/>
    </xf>
    <xf numFmtId="0" fontId="41" fillId="0" borderId="0" xfId="0" applyFont="1" applyAlignment="1">
      <alignment horizontal="right"/>
    </xf>
    <xf numFmtId="0" fontId="6" fillId="2" borderId="1" xfId="0" applyFont="1" applyFill="1" applyBorder="1" applyAlignment="1">
      <alignment horizontal="center" vertical="center"/>
    </xf>
    <xf numFmtId="0" fontId="6" fillId="2" borderId="0" xfId="0" applyFont="1" applyFill="1" applyAlignment="1">
      <alignment horizontal="center" vertical="center"/>
    </xf>
    <xf numFmtId="0" fontId="9" fillId="3" borderId="3" xfId="0" applyFont="1" applyFill="1" applyBorder="1" applyAlignment="1">
      <alignment horizontal="center" vertical="center"/>
    </xf>
    <xf numFmtId="0" fontId="9" fillId="3" borderId="4" xfId="0" applyFont="1" applyFill="1" applyBorder="1" applyAlignment="1">
      <alignment horizontal="center" vertical="center"/>
    </xf>
    <xf numFmtId="0" fontId="9" fillId="3" borderId="5" xfId="0" applyFont="1" applyFill="1" applyBorder="1" applyAlignment="1">
      <alignment horizontal="center" vertical="center"/>
    </xf>
    <xf numFmtId="0" fontId="9" fillId="0" borderId="3" xfId="0" applyFont="1" applyBorder="1" applyAlignment="1">
      <alignment horizontal="center" vertical="center"/>
    </xf>
    <xf numFmtId="0" fontId="9" fillId="0" borderId="4" xfId="0" applyFont="1" applyBorder="1" applyAlignment="1">
      <alignment horizontal="center" vertical="center"/>
    </xf>
    <xf numFmtId="0" fontId="9" fillId="0" borderId="5" xfId="0" applyFont="1" applyBorder="1" applyAlignment="1">
      <alignment horizontal="center" vertical="center"/>
    </xf>
    <xf numFmtId="0" fontId="0" fillId="0" borderId="15" xfId="0" applyBorder="1" applyAlignment="1">
      <alignment horizontal="center" vertical="center"/>
    </xf>
    <xf numFmtId="0" fontId="0" fillId="0" borderId="16" xfId="0" applyBorder="1" applyAlignment="1">
      <alignment horizontal="center" vertical="center"/>
    </xf>
    <xf numFmtId="49" fontId="20" fillId="0" borderId="12" xfId="0" applyNumberFormat="1" applyFont="1" applyBorder="1" applyAlignment="1">
      <alignment horizontal="center" vertical="center"/>
    </xf>
    <xf numFmtId="49" fontId="20" fillId="0" borderId="13" xfId="0" applyNumberFormat="1" applyFont="1" applyBorder="1" applyAlignment="1">
      <alignment horizontal="center" vertical="center"/>
    </xf>
    <xf numFmtId="0" fontId="20" fillId="0" borderId="13" xfId="0" applyFont="1" applyBorder="1" applyAlignment="1">
      <alignment horizontal="center" vertical="center"/>
    </xf>
    <xf numFmtId="0" fontId="20" fillId="0" borderId="22" xfId="0" applyFont="1" applyBorder="1" applyAlignment="1">
      <alignment horizontal="center" vertical="center"/>
    </xf>
    <xf numFmtId="0" fontId="20" fillId="0" borderId="23" xfId="0" applyFont="1" applyBorder="1" applyAlignment="1">
      <alignment horizontal="center" vertical="center"/>
    </xf>
    <xf numFmtId="0" fontId="20" fillId="0" borderId="2" xfId="0" applyFont="1" applyBorder="1" applyAlignment="1">
      <alignment horizontal="center" vertical="center"/>
    </xf>
    <xf numFmtId="0" fontId="20" fillId="0" borderId="24" xfId="0" applyFont="1" applyBorder="1" applyAlignment="1">
      <alignment horizontal="center" vertical="center"/>
    </xf>
    <xf numFmtId="0" fontId="3" fillId="0" borderId="25" xfId="0" applyFont="1" applyBorder="1" applyAlignment="1">
      <alignment horizontal="center" vertical="center"/>
    </xf>
    <xf numFmtId="0" fontId="3" fillId="0" borderId="26" xfId="0" applyFont="1" applyBorder="1" applyAlignment="1">
      <alignment horizontal="center" vertical="center"/>
    </xf>
    <xf numFmtId="2" fontId="0" fillId="0" borderId="16" xfId="0" applyNumberFormat="1" applyBorder="1" applyAlignment="1">
      <alignment horizontal="center" vertical="center"/>
    </xf>
    <xf numFmtId="0" fontId="0" fillId="0" borderId="25" xfId="0" applyBorder="1" applyAlignment="1">
      <alignment horizontal="center" vertical="center"/>
    </xf>
    <xf numFmtId="0" fontId="0" fillId="0" borderId="27" xfId="0" applyBorder="1" applyAlignment="1">
      <alignment horizontal="center" vertical="center"/>
    </xf>
    <xf numFmtId="2" fontId="0" fillId="0" borderId="25" xfId="0" applyNumberFormat="1" applyBorder="1" applyAlignment="1">
      <alignment horizontal="center" vertical="center"/>
    </xf>
    <xf numFmtId="2" fontId="0" fillId="0" borderId="26" xfId="0" applyNumberFormat="1" applyBorder="1" applyAlignment="1">
      <alignment horizontal="center" vertical="center"/>
    </xf>
    <xf numFmtId="2" fontId="0" fillId="0" borderId="27" xfId="0" applyNumberFormat="1" applyBorder="1" applyAlignment="1">
      <alignment horizontal="center" vertical="center"/>
    </xf>
    <xf numFmtId="0" fontId="0" fillId="0" borderId="16" xfId="0" applyBorder="1" applyAlignment="1">
      <alignment horizontal="center" vertical="center" wrapText="1"/>
    </xf>
    <xf numFmtId="0" fontId="31" fillId="0" borderId="0" xfId="2" applyFont="1" applyAlignment="1">
      <alignment horizontal="center" vertical="center" textRotation="255"/>
    </xf>
  </cellXfs>
  <cellStyles count="5">
    <cellStyle name="Hipervínculo" xfId="4" builtinId="8"/>
    <cellStyle name="Moneda" xfId="1" builtinId="4"/>
    <cellStyle name="Normal" xfId="0" builtinId="0"/>
    <cellStyle name="Normal 2" xfId="2" xr:uid="{F5326F1F-7A47-488E-8A71-23155CC72B18}"/>
    <cellStyle name="Porcentaje" xfId="3" builtinId="5"/>
  </cellStyles>
  <dxfs count="43">
    <dxf>
      <font>
        <color theme="9" tint="0.59996337778862885"/>
      </font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border outline="0">
        <top style="thin">
          <color indexed="64"/>
        </top>
      </border>
    </dxf>
    <dxf>
      <numFmt numFmtId="165" formatCode="#,##0.00\ &quot;€&quot;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border diagonalUp="0" diagonalDown="0">
        <left style="thin">
          <color rgb="FFFF0000"/>
        </left>
        <right style="thin">
          <color rgb="FFFF0000"/>
        </right>
        <top/>
        <bottom/>
        <vertical/>
        <horizontal/>
      </border>
    </dxf>
    <dxf>
      <numFmt numFmtId="0" formatCode="General"/>
    </dxf>
    <dxf>
      <numFmt numFmtId="0" formatCode="General"/>
    </dxf>
    <dxf>
      <numFmt numFmtId="34" formatCode="_-* #,##0.00\ &quot;€&quot;_-;\-* #,##0.00\ &quot;€&quot;_-;_-* &quot;-&quot;??\ &quot;€&quot;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4" formatCode="_-* #,##0.00\ &quot;€&quot;_-;\-* #,##0.00\ &quot;€&quot;_-;_-* &quot;-&quot;??\ &quot;€&quot;_-;_-@_-"/>
    </dxf>
    <dxf>
      <numFmt numFmtId="34" formatCode="_-* #,##0.00\ &quot;€&quot;_-;\-* #,##0.00\ &quot;€&quot;_-;_-* &quot;-&quot;??\ &quot;€&quot;_-;_-@_-"/>
    </dxf>
    <dxf>
      <numFmt numFmtId="34" formatCode="_-* #,##0.00\ &quot;€&quot;_-;\-* #,##0.00\ &quot;€&quot;_-;_-* &quot;-&quot;??\ &quot;€&quot;_-;_-@_-"/>
    </dxf>
    <dxf>
      <numFmt numFmtId="34" formatCode="_-* #,##0.00\ &quot;€&quot;_-;\-* #,##0.00\ &quot;€&quot;_-;_-* &quot;-&quot;??\ &quot;€&quot;_-;_-@_-"/>
      <alignment horizontal="center" vertical="bottom" textRotation="0" wrapText="0" indent="0" justifyLastLine="0" shrinkToFit="0" readingOrder="0"/>
    </dxf>
    <dxf>
      <numFmt numFmtId="34" formatCode="_-* #,##0.00\ &quot;€&quot;_-;\-* #,##0.00\ &quot;€&quot;_-;_-* &quot;-&quot;??\ &quot;€&quot;_-;_-@_-"/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numFmt numFmtId="34" formatCode="_-* #,##0.00\ &quot;€&quot;_-;\-* #,##0.00\ &quot;€&quot;_-;_-* &quot;-&quot;??\ &quot;€&quot;_-;_-@_-"/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numFmt numFmtId="34" formatCode="_-* #,##0.00\ &quot;€&quot;_-;\-* #,##0.00\ &quot;€&quot;_-;_-* &quot;-&quot;??\ &quot;€&quot;_-;_-@_-"/>
      <alignment horizontal="center" vertical="bottom" textRotation="0" wrapText="0" indent="0" justifyLastLine="0" shrinkToFit="0" readingOrder="0"/>
    </dxf>
    <dxf>
      <numFmt numFmtId="34" formatCode="_-* #,##0.00\ &quot;€&quot;_-;\-* #,##0.00\ &quot;€&quot;_-;_-* &quot;-&quot;??\ &quot;€&quot;_-;_-@_-"/>
      <alignment horizontal="center" vertical="bottom" textRotation="0" wrapText="0" indent="0" justifyLastLine="0" shrinkToFit="0" readingOrder="0"/>
    </dxf>
    <dxf>
      <numFmt numFmtId="34" formatCode="_-* #,##0.00\ &quot;€&quot;_-;\-* #,##0.00\ &quot;€&quot;_-;_-* &quot;-&quot;??\ &quot;€&quot;_-;_-@_-"/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numFmt numFmtId="0" formatCode="General"/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numFmt numFmtId="0" formatCode="General"/>
      <alignment horizontal="center" vertical="bottom" textRotation="0" wrapText="0" indent="0" justifyLastLine="0" shrinkToFit="0" readingOrder="0"/>
      <border>
        <left style="thin">
          <color rgb="FFFF0000"/>
        </left>
        <right/>
      </border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  <border diagonalUp="0" diagonalDown="0">
        <left/>
        <right style="thin">
          <color rgb="FFFF0000"/>
        </right>
        <top/>
        <bottom/>
        <vertical/>
        <horizontal/>
      </border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border diagonalUp="0" diagonalDown="0">
        <left style="thin">
          <color rgb="FFFF0000"/>
        </left>
        <right/>
        <top/>
        <bottom/>
        <vertical/>
        <horizontal/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eetMetadata" Target="metadata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17" Type="http://schemas.openxmlformats.org/officeDocument/2006/relationships/customXml" Target="../customXml/item3.xml"/><Relationship Id="rId2" Type="http://schemas.openxmlformats.org/officeDocument/2006/relationships/worksheet" Target="worksheets/sheet2.xml"/><Relationship Id="rId16" Type="http://schemas.openxmlformats.org/officeDocument/2006/relationships/customXml" Target="../customXml/item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openxmlformats.org/officeDocument/2006/relationships/customXml" Target="../customXml/item1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file:///C:\Users\gesteve\AppData\Local\Temp\qrtemp.png" TargetMode="External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image" Target="../media/image10.jpeg"/><Relationship Id="rId13" Type="http://schemas.openxmlformats.org/officeDocument/2006/relationships/image" Target="../media/image15.jpeg"/><Relationship Id="rId18" Type="http://schemas.openxmlformats.org/officeDocument/2006/relationships/image" Target="../media/image20.png"/><Relationship Id="rId26" Type="http://schemas.openxmlformats.org/officeDocument/2006/relationships/image" Target="../media/image28.png"/><Relationship Id="rId3" Type="http://schemas.openxmlformats.org/officeDocument/2006/relationships/image" Target="../media/image5.png"/><Relationship Id="rId21" Type="http://schemas.openxmlformats.org/officeDocument/2006/relationships/image" Target="../media/image23.png"/><Relationship Id="rId7" Type="http://schemas.openxmlformats.org/officeDocument/2006/relationships/image" Target="../media/image9.jpeg"/><Relationship Id="rId12" Type="http://schemas.openxmlformats.org/officeDocument/2006/relationships/image" Target="../media/image14.png"/><Relationship Id="rId17" Type="http://schemas.openxmlformats.org/officeDocument/2006/relationships/image" Target="../media/image19.png"/><Relationship Id="rId25" Type="http://schemas.openxmlformats.org/officeDocument/2006/relationships/image" Target="../media/image27.jpeg"/><Relationship Id="rId2" Type="http://schemas.openxmlformats.org/officeDocument/2006/relationships/image" Target="../media/image4.png"/><Relationship Id="rId16" Type="http://schemas.openxmlformats.org/officeDocument/2006/relationships/image" Target="../media/image18.png"/><Relationship Id="rId20" Type="http://schemas.openxmlformats.org/officeDocument/2006/relationships/image" Target="../media/image22.png"/><Relationship Id="rId29" Type="http://schemas.openxmlformats.org/officeDocument/2006/relationships/image" Target="../media/image31.png"/><Relationship Id="rId1" Type="http://schemas.openxmlformats.org/officeDocument/2006/relationships/image" Target="../media/image3.jpeg"/><Relationship Id="rId6" Type="http://schemas.openxmlformats.org/officeDocument/2006/relationships/image" Target="../media/image8.png"/><Relationship Id="rId11" Type="http://schemas.openxmlformats.org/officeDocument/2006/relationships/image" Target="../media/image13.png"/><Relationship Id="rId24" Type="http://schemas.openxmlformats.org/officeDocument/2006/relationships/image" Target="../media/image26.png"/><Relationship Id="rId32" Type="http://schemas.openxmlformats.org/officeDocument/2006/relationships/image" Target="../media/image34.png"/><Relationship Id="rId5" Type="http://schemas.openxmlformats.org/officeDocument/2006/relationships/image" Target="../media/image7.png"/><Relationship Id="rId15" Type="http://schemas.openxmlformats.org/officeDocument/2006/relationships/image" Target="../media/image17.png"/><Relationship Id="rId23" Type="http://schemas.openxmlformats.org/officeDocument/2006/relationships/image" Target="../media/image25.jpeg"/><Relationship Id="rId28" Type="http://schemas.openxmlformats.org/officeDocument/2006/relationships/image" Target="../media/image30.jpeg"/><Relationship Id="rId10" Type="http://schemas.openxmlformats.org/officeDocument/2006/relationships/image" Target="../media/image12.jpeg"/><Relationship Id="rId19" Type="http://schemas.openxmlformats.org/officeDocument/2006/relationships/image" Target="../media/image21.jpeg"/><Relationship Id="rId31" Type="http://schemas.openxmlformats.org/officeDocument/2006/relationships/image" Target="../media/image33.png"/><Relationship Id="rId4" Type="http://schemas.openxmlformats.org/officeDocument/2006/relationships/image" Target="../media/image6.png"/><Relationship Id="rId9" Type="http://schemas.openxmlformats.org/officeDocument/2006/relationships/image" Target="../media/image11.jpeg"/><Relationship Id="rId14" Type="http://schemas.openxmlformats.org/officeDocument/2006/relationships/image" Target="../media/image16.png"/><Relationship Id="rId22" Type="http://schemas.openxmlformats.org/officeDocument/2006/relationships/image" Target="../media/image24.jpeg"/><Relationship Id="rId27" Type="http://schemas.openxmlformats.org/officeDocument/2006/relationships/image" Target="../media/image29.jpeg"/><Relationship Id="rId30" Type="http://schemas.openxmlformats.org/officeDocument/2006/relationships/image" Target="../media/image32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19</xdr:col>
      <xdr:colOff>211503</xdr:colOff>
      <xdr:row>34</xdr:row>
      <xdr:rowOff>21005</xdr:rowOff>
    </xdr:from>
    <xdr:to>
      <xdr:col>20</xdr:col>
      <xdr:colOff>399665</xdr:colOff>
      <xdr:row>39</xdr:row>
      <xdr:rowOff>71943</xdr:rowOff>
    </xdr:to>
    <xdr:pic>
      <xdr:nvPicPr>
        <xdr:cNvPr id="3" name="Imagen 2">
          <a:extLst>
            <a:ext uri="{FF2B5EF4-FFF2-40B4-BE49-F238E27FC236}">
              <a16:creationId xmlns:a16="http://schemas.microsoft.com/office/drawing/2014/main" id="{F56DA453-F7EF-2902-D003-2F022A6D313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15886234" y="6463813"/>
          <a:ext cx="906201" cy="997088"/>
        </a:xfrm>
        <a:prstGeom prst="rect">
          <a:avLst/>
        </a:prstGeom>
      </xdr:spPr>
    </xdr:pic>
    <xdr:clientData/>
  </xdr:twoCellAnchor>
  <xdr:twoCellAnchor editAs="oneCell">
    <xdr:from>
      <xdr:col>18</xdr:col>
      <xdr:colOff>8060</xdr:colOff>
      <xdr:row>34</xdr:row>
      <xdr:rowOff>21003</xdr:rowOff>
    </xdr:from>
    <xdr:to>
      <xdr:col>19</xdr:col>
      <xdr:colOff>205749</xdr:colOff>
      <xdr:row>39</xdr:row>
      <xdr:rowOff>71941</xdr:rowOff>
    </xdr:to>
    <xdr:pic>
      <xdr:nvPicPr>
        <xdr:cNvPr id="5" name="Imagen 4">
          <a:extLst>
            <a:ext uri="{FF2B5EF4-FFF2-40B4-BE49-F238E27FC236}">
              <a16:creationId xmlns:a16="http://schemas.microsoft.com/office/drawing/2014/main" id="{8D890E47-AF48-6984-4F23-12E67BB0C0E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14964752" y="6463811"/>
          <a:ext cx="909376" cy="993913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5</xdr:col>
      <xdr:colOff>572157</xdr:colOff>
      <xdr:row>3</xdr:row>
      <xdr:rowOff>13685</xdr:rowOff>
    </xdr:from>
    <xdr:to>
      <xdr:col>6</xdr:col>
      <xdr:colOff>1140262</xdr:colOff>
      <xdr:row>6</xdr:row>
      <xdr:rowOff>149536</xdr:rowOff>
    </xdr:to>
    <xdr:pic>
      <xdr:nvPicPr>
        <xdr:cNvPr id="5" name="Imagen 4">
          <a:extLst>
            <a:ext uri="{FF2B5EF4-FFF2-40B4-BE49-F238E27FC236}">
              <a16:creationId xmlns:a16="http://schemas.microsoft.com/office/drawing/2014/main" id="{BA2CA248-7B11-1177-E6FB-3BB8A194F59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216416" y="749409"/>
          <a:ext cx="1409699" cy="674944"/>
        </a:xfrm>
        <a:prstGeom prst="rect">
          <a:avLst/>
        </a:prstGeom>
      </xdr:spPr>
    </xdr:pic>
    <xdr:clientData/>
  </xdr:twoCellAnchor>
  <xdr:twoCellAnchor editAs="oneCell">
    <xdr:from>
      <xdr:col>1</xdr:col>
      <xdr:colOff>0</xdr:colOff>
      <xdr:row>55</xdr:row>
      <xdr:rowOff>104775</xdr:rowOff>
    </xdr:from>
    <xdr:to>
      <xdr:col>1</xdr:col>
      <xdr:colOff>549275</xdr:colOff>
      <xdr:row>58</xdr:row>
      <xdr:rowOff>55078</xdr:rowOff>
    </xdr:to>
    <xdr:pic>
      <xdr:nvPicPr>
        <xdr:cNvPr id="6" name="Imagen 5" descr="Código QR&#10;&#10;El contenido generado por IA puede ser incorrecto.">
          <a:extLst>
            <a:ext uri="{FF2B5EF4-FFF2-40B4-BE49-F238E27FC236}">
              <a16:creationId xmlns:a16="http://schemas.microsoft.com/office/drawing/2014/main" id="{1583B576-1D35-2D4F-890E-70D8CCA1B0C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 bwMode="auto">
        <a:xfrm flipV="1">
          <a:off x="0" y="8467725"/>
          <a:ext cx="542925" cy="558800"/>
        </a:xfrm>
        <a:prstGeom prst="rect">
          <a:avLst/>
        </a:prstGeom>
        <a:noFill/>
        <a:ln>
          <a:noFill/>
        </a:ln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oneCellAnchor>
    <xdr:from>
      <xdr:col>9</xdr:col>
      <xdr:colOff>28575</xdr:colOff>
      <xdr:row>6</xdr:row>
      <xdr:rowOff>0</xdr:rowOff>
    </xdr:from>
    <xdr:ext cx="906780" cy="247650"/>
    <xdr:pic>
      <xdr:nvPicPr>
        <xdr:cNvPr id="243" name="Image 13" descr="saft">
          <a:extLst>
            <a:ext uri="{FF2B5EF4-FFF2-40B4-BE49-F238E27FC236}">
              <a16:creationId xmlns:a16="http://schemas.microsoft.com/office/drawing/2014/main" id="{C1F7C8D7-95CB-451D-90CA-27AFA682C41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7135475" y="6483350"/>
          <a:ext cx="90678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8</xdr:col>
      <xdr:colOff>86591</xdr:colOff>
      <xdr:row>6</xdr:row>
      <xdr:rowOff>103910</xdr:rowOff>
    </xdr:from>
    <xdr:ext cx="1031650" cy="1019175"/>
    <xdr:pic>
      <xdr:nvPicPr>
        <xdr:cNvPr id="255" name="Image 30">
          <a:extLst>
            <a:ext uri="{FF2B5EF4-FFF2-40B4-BE49-F238E27FC236}">
              <a16:creationId xmlns:a16="http://schemas.microsoft.com/office/drawing/2014/main" id="{E634BF8F-CB9D-4550-8FC3-83A84A0D75C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4907491" y="6587260"/>
          <a:ext cx="1031650" cy="1019175"/>
        </a:xfrm>
        <a:prstGeom prst="rect">
          <a:avLst/>
        </a:prstGeom>
      </xdr:spPr>
    </xdr:pic>
    <xdr:clientData/>
  </xdr:oneCellAnchor>
  <xdr:oneCellAnchor>
    <xdr:from>
      <xdr:col>1</xdr:col>
      <xdr:colOff>242454</xdr:colOff>
      <xdr:row>6</xdr:row>
      <xdr:rowOff>69273</xdr:rowOff>
    </xdr:from>
    <xdr:ext cx="740872" cy="1197909"/>
    <xdr:pic>
      <xdr:nvPicPr>
        <xdr:cNvPr id="256" name="Image 31">
          <a:extLst>
            <a:ext uri="{FF2B5EF4-FFF2-40B4-BE49-F238E27FC236}">
              <a16:creationId xmlns:a16="http://schemas.microsoft.com/office/drawing/2014/main" id="{445D4E35-7310-4285-844C-CC8A6ACF637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490104" y="6552623"/>
          <a:ext cx="740872" cy="1197909"/>
        </a:xfrm>
        <a:prstGeom prst="rect">
          <a:avLst/>
        </a:prstGeom>
      </xdr:spPr>
    </xdr:pic>
    <xdr:clientData/>
  </xdr:oneCellAnchor>
  <xdr:oneCellAnchor>
    <xdr:from>
      <xdr:col>9</xdr:col>
      <xdr:colOff>28575</xdr:colOff>
      <xdr:row>7</xdr:row>
      <xdr:rowOff>0</xdr:rowOff>
    </xdr:from>
    <xdr:ext cx="906780" cy="247650"/>
    <xdr:pic>
      <xdr:nvPicPr>
        <xdr:cNvPr id="260" name="Image 13" descr="saft">
          <a:extLst>
            <a:ext uri="{FF2B5EF4-FFF2-40B4-BE49-F238E27FC236}">
              <a16:creationId xmlns:a16="http://schemas.microsoft.com/office/drawing/2014/main" id="{65FBD664-9AE7-43B8-AA7F-093D69B0DCE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7135475" y="7740650"/>
          <a:ext cx="90678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8</xdr:col>
      <xdr:colOff>86591</xdr:colOff>
      <xdr:row>7</xdr:row>
      <xdr:rowOff>0</xdr:rowOff>
    </xdr:from>
    <xdr:ext cx="1031650" cy="1019175"/>
    <xdr:pic>
      <xdr:nvPicPr>
        <xdr:cNvPr id="261" name="Image 17">
          <a:extLst>
            <a:ext uri="{FF2B5EF4-FFF2-40B4-BE49-F238E27FC236}">
              <a16:creationId xmlns:a16="http://schemas.microsoft.com/office/drawing/2014/main" id="{CACB854F-6C94-4DC5-93D9-025948DFD4E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4907491" y="7740650"/>
          <a:ext cx="1031650" cy="1019175"/>
        </a:xfrm>
        <a:prstGeom prst="rect">
          <a:avLst/>
        </a:prstGeom>
      </xdr:spPr>
    </xdr:pic>
    <xdr:clientData/>
  </xdr:oneCellAnchor>
  <xdr:oneCellAnchor>
    <xdr:from>
      <xdr:col>1</xdr:col>
      <xdr:colOff>242454</xdr:colOff>
      <xdr:row>7</xdr:row>
      <xdr:rowOff>0</xdr:rowOff>
    </xdr:from>
    <xdr:ext cx="740872" cy="1197909"/>
    <xdr:pic>
      <xdr:nvPicPr>
        <xdr:cNvPr id="262" name="Image 18">
          <a:extLst>
            <a:ext uri="{FF2B5EF4-FFF2-40B4-BE49-F238E27FC236}">
              <a16:creationId xmlns:a16="http://schemas.microsoft.com/office/drawing/2014/main" id="{BD483A93-6F37-4C60-B0BE-39C51322BAE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490104" y="7740650"/>
          <a:ext cx="740872" cy="1197909"/>
        </a:xfrm>
        <a:prstGeom prst="rect">
          <a:avLst/>
        </a:prstGeom>
      </xdr:spPr>
    </xdr:pic>
    <xdr:clientData/>
  </xdr:oneCellAnchor>
  <xdr:oneCellAnchor>
    <xdr:from>
      <xdr:col>1</xdr:col>
      <xdr:colOff>242454</xdr:colOff>
      <xdr:row>7</xdr:row>
      <xdr:rowOff>0</xdr:rowOff>
    </xdr:from>
    <xdr:ext cx="740872" cy="1197909"/>
    <xdr:pic>
      <xdr:nvPicPr>
        <xdr:cNvPr id="264" name="Image 31">
          <a:extLst>
            <a:ext uri="{FF2B5EF4-FFF2-40B4-BE49-F238E27FC236}">
              <a16:creationId xmlns:a16="http://schemas.microsoft.com/office/drawing/2014/main" id="{0C426D53-6DA2-415D-97EC-1C0552BEB36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490104" y="7740650"/>
          <a:ext cx="740872" cy="1197909"/>
        </a:xfrm>
        <a:prstGeom prst="rect">
          <a:avLst/>
        </a:prstGeom>
      </xdr:spPr>
    </xdr:pic>
    <xdr:clientData/>
  </xdr:oneCellAnchor>
  <xdr:oneCellAnchor>
    <xdr:from>
      <xdr:col>9</xdr:col>
      <xdr:colOff>28575</xdr:colOff>
      <xdr:row>7</xdr:row>
      <xdr:rowOff>0</xdr:rowOff>
    </xdr:from>
    <xdr:ext cx="906780" cy="247650"/>
    <xdr:pic>
      <xdr:nvPicPr>
        <xdr:cNvPr id="265" name="Image 13" descr="saft">
          <a:extLst>
            <a:ext uri="{FF2B5EF4-FFF2-40B4-BE49-F238E27FC236}">
              <a16:creationId xmlns:a16="http://schemas.microsoft.com/office/drawing/2014/main" id="{55683409-B7ED-4AE9-8081-55FB6CC2799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7135475" y="7740650"/>
          <a:ext cx="90678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8</xdr:col>
      <xdr:colOff>86591</xdr:colOff>
      <xdr:row>7</xdr:row>
      <xdr:rowOff>103910</xdr:rowOff>
    </xdr:from>
    <xdr:ext cx="1031650" cy="1019175"/>
    <xdr:pic>
      <xdr:nvPicPr>
        <xdr:cNvPr id="266" name="Image 28">
          <a:extLst>
            <a:ext uri="{FF2B5EF4-FFF2-40B4-BE49-F238E27FC236}">
              <a16:creationId xmlns:a16="http://schemas.microsoft.com/office/drawing/2014/main" id="{627860AF-F8C3-4EFE-91E4-2D8C0B00B0A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4907491" y="7844560"/>
          <a:ext cx="1031650" cy="1019175"/>
        </a:xfrm>
        <a:prstGeom prst="rect">
          <a:avLst/>
        </a:prstGeom>
      </xdr:spPr>
    </xdr:pic>
    <xdr:clientData/>
  </xdr:oneCellAnchor>
  <xdr:oneCellAnchor>
    <xdr:from>
      <xdr:col>1</xdr:col>
      <xdr:colOff>242454</xdr:colOff>
      <xdr:row>7</xdr:row>
      <xdr:rowOff>69273</xdr:rowOff>
    </xdr:from>
    <xdr:ext cx="740872" cy="1197909"/>
    <xdr:pic>
      <xdr:nvPicPr>
        <xdr:cNvPr id="267" name="Image 29">
          <a:extLst>
            <a:ext uri="{FF2B5EF4-FFF2-40B4-BE49-F238E27FC236}">
              <a16:creationId xmlns:a16="http://schemas.microsoft.com/office/drawing/2014/main" id="{6F91DF40-2292-4255-B032-34B70975ED7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490104" y="7809923"/>
          <a:ext cx="740872" cy="1197909"/>
        </a:xfrm>
        <a:prstGeom prst="rect">
          <a:avLst/>
        </a:prstGeom>
      </xdr:spPr>
    </xdr:pic>
    <xdr:clientData/>
  </xdr:oneCellAnchor>
  <xdr:oneCellAnchor>
    <xdr:from>
      <xdr:col>1</xdr:col>
      <xdr:colOff>85889</xdr:colOff>
      <xdr:row>12</xdr:row>
      <xdr:rowOff>239659</xdr:rowOff>
    </xdr:from>
    <xdr:ext cx="1188036" cy="843767"/>
    <xdr:pic>
      <xdr:nvPicPr>
        <xdr:cNvPr id="271" name="Image 33">
          <a:extLst>
            <a:ext uri="{FF2B5EF4-FFF2-40B4-BE49-F238E27FC236}">
              <a16:creationId xmlns:a16="http://schemas.microsoft.com/office/drawing/2014/main" id="{617FB24E-0199-4B18-A876-6F79ACC77E6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333539" y="14266809"/>
          <a:ext cx="1188036" cy="843767"/>
        </a:xfrm>
        <a:prstGeom prst="rect">
          <a:avLst/>
        </a:prstGeom>
      </xdr:spPr>
    </xdr:pic>
    <xdr:clientData/>
  </xdr:oneCellAnchor>
  <xdr:oneCellAnchor>
    <xdr:from>
      <xdr:col>8</xdr:col>
      <xdr:colOff>153958</xdr:colOff>
      <xdr:row>12</xdr:row>
      <xdr:rowOff>506038</xdr:rowOff>
    </xdr:from>
    <xdr:ext cx="1943446" cy="579590"/>
    <xdr:pic>
      <xdr:nvPicPr>
        <xdr:cNvPr id="272" name="Image 34">
          <a:extLst>
            <a:ext uri="{FF2B5EF4-FFF2-40B4-BE49-F238E27FC236}">
              <a16:creationId xmlns:a16="http://schemas.microsoft.com/office/drawing/2014/main" id="{2365E0F2-450C-4875-93B7-202E95D1278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14974858" y="14533188"/>
          <a:ext cx="1943446" cy="579590"/>
        </a:xfrm>
        <a:prstGeom prst="rect">
          <a:avLst/>
        </a:prstGeom>
      </xdr:spPr>
    </xdr:pic>
    <xdr:clientData/>
  </xdr:oneCellAnchor>
  <xdr:twoCellAnchor editAs="oneCell">
    <xdr:from>
      <xdr:col>8</xdr:col>
      <xdr:colOff>9525</xdr:colOff>
      <xdr:row>1</xdr:row>
      <xdr:rowOff>276225</xdr:rowOff>
    </xdr:from>
    <xdr:to>
      <xdr:col>8</xdr:col>
      <xdr:colOff>2171700</xdr:colOff>
      <xdr:row>1</xdr:row>
      <xdr:rowOff>990600</xdr:rowOff>
    </xdr:to>
    <xdr:pic>
      <xdr:nvPicPr>
        <xdr:cNvPr id="274" name="Image 7" descr="Isa Électronique">
          <a:extLst>
            <a:ext uri="{FF2B5EF4-FFF2-40B4-BE49-F238E27FC236}">
              <a16:creationId xmlns:a16="http://schemas.microsoft.com/office/drawing/2014/main" id="{481FD421-C21B-4948-8BAE-60077C85399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830425" y="473075"/>
          <a:ext cx="2162175" cy="7143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</xdr:col>
      <xdr:colOff>38100</xdr:colOff>
      <xdr:row>1</xdr:row>
      <xdr:rowOff>317500</xdr:rowOff>
    </xdr:from>
    <xdr:to>
      <xdr:col>2</xdr:col>
      <xdr:colOff>1212</xdr:colOff>
      <xdr:row>1</xdr:row>
      <xdr:rowOff>969645</xdr:rowOff>
    </xdr:to>
    <xdr:pic>
      <xdr:nvPicPr>
        <xdr:cNvPr id="275" name="Image 9">
          <a:extLst>
            <a:ext uri="{FF2B5EF4-FFF2-40B4-BE49-F238E27FC236}">
              <a16:creationId xmlns:a16="http://schemas.microsoft.com/office/drawing/2014/main" id="{31D91339-C800-4773-A604-266D7865350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64886" y="508000"/>
          <a:ext cx="1251255" cy="65214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9</xdr:col>
      <xdr:colOff>28575</xdr:colOff>
      <xdr:row>1</xdr:row>
      <xdr:rowOff>466725</xdr:rowOff>
    </xdr:from>
    <xdr:to>
      <xdr:col>9</xdr:col>
      <xdr:colOff>931545</xdr:colOff>
      <xdr:row>1</xdr:row>
      <xdr:rowOff>706755</xdr:rowOff>
    </xdr:to>
    <xdr:pic>
      <xdr:nvPicPr>
        <xdr:cNvPr id="276" name="Image 11" descr="saft">
          <a:extLst>
            <a:ext uri="{FF2B5EF4-FFF2-40B4-BE49-F238E27FC236}">
              <a16:creationId xmlns:a16="http://schemas.microsoft.com/office/drawing/2014/main" id="{509D9B8D-04A7-4623-B0A6-CD8C9596DCE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7135475" y="663575"/>
          <a:ext cx="902970" cy="24003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oneCellAnchor>
    <xdr:from>
      <xdr:col>9</xdr:col>
      <xdr:colOff>28575</xdr:colOff>
      <xdr:row>6</xdr:row>
      <xdr:rowOff>0</xdr:rowOff>
    </xdr:from>
    <xdr:ext cx="906780" cy="247650"/>
    <xdr:pic>
      <xdr:nvPicPr>
        <xdr:cNvPr id="277" name="Image 13" descr="saft">
          <a:extLst>
            <a:ext uri="{FF2B5EF4-FFF2-40B4-BE49-F238E27FC236}">
              <a16:creationId xmlns:a16="http://schemas.microsoft.com/office/drawing/2014/main" id="{5AF20E28-E221-459A-ACFF-AA92B45A3DE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7135475" y="6483350"/>
          <a:ext cx="90678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twoCellAnchor editAs="oneCell">
    <xdr:from>
      <xdr:col>8</xdr:col>
      <xdr:colOff>16378</xdr:colOff>
      <xdr:row>5</xdr:row>
      <xdr:rowOff>308428</xdr:rowOff>
    </xdr:from>
    <xdr:to>
      <xdr:col>8</xdr:col>
      <xdr:colOff>2098076</xdr:colOff>
      <xdr:row>5</xdr:row>
      <xdr:rowOff>1012593</xdr:rowOff>
    </xdr:to>
    <xdr:pic>
      <xdr:nvPicPr>
        <xdr:cNvPr id="278" name="Image 14" descr="Isa Électronique">
          <a:extLst>
            <a:ext uri="{FF2B5EF4-FFF2-40B4-BE49-F238E27FC236}">
              <a16:creationId xmlns:a16="http://schemas.microsoft.com/office/drawing/2014/main" id="{AD110106-3D5D-4BFD-810E-DD156D6FBF8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140592" y="5542642"/>
          <a:ext cx="2081698" cy="70416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</xdr:col>
      <xdr:colOff>38100</xdr:colOff>
      <xdr:row>2</xdr:row>
      <xdr:rowOff>228600</xdr:rowOff>
    </xdr:from>
    <xdr:to>
      <xdr:col>1</xdr:col>
      <xdr:colOff>1257300</xdr:colOff>
      <xdr:row>2</xdr:row>
      <xdr:rowOff>1028700</xdr:rowOff>
    </xdr:to>
    <xdr:pic>
      <xdr:nvPicPr>
        <xdr:cNvPr id="279" name="Image 12" descr="https://cdn.productimages.abb.com/9IBA224860_720x540.jpg">
          <a:extLst>
            <a:ext uri="{FF2B5EF4-FFF2-40B4-BE49-F238E27FC236}">
              <a16:creationId xmlns:a16="http://schemas.microsoft.com/office/drawing/2014/main" id="{2F4BE6DD-735E-4831-A94C-42A8B3B4D76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85750" y="1682750"/>
          <a:ext cx="1219200" cy="8001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10</xdr:col>
      <xdr:colOff>161925</xdr:colOff>
      <xdr:row>1</xdr:row>
      <xdr:rowOff>180975</xdr:rowOff>
    </xdr:from>
    <xdr:to>
      <xdr:col>10</xdr:col>
      <xdr:colOff>1464945</xdr:colOff>
      <xdr:row>1</xdr:row>
      <xdr:rowOff>1236345</xdr:rowOff>
    </xdr:to>
    <xdr:pic>
      <xdr:nvPicPr>
        <xdr:cNvPr id="280" name="Image 13" descr="Afficher l’image source">
          <a:extLst>
            <a:ext uri="{FF2B5EF4-FFF2-40B4-BE49-F238E27FC236}">
              <a16:creationId xmlns:a16="http://schemas.microsoft.com/office/drawing/2014/main" id="{D2B584D1-336A-4893-B85B-8095D12CA55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8265775" y="377825"/>
          <a:ext cx="1303020" cy="105537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</xdr:col>
      <xdr:colOff>38100</xdr:colOff>
      <xdr:row>3</xdr:row>
      <xdr:rowOff>295275</xdr:rowOff>
    </xdr:from>
    <xdr:to>
      <xdr:col>1</xdr:col>
      <xdr:colOff>1257300</xdr:colOff>
      <xdr:row>3</xdr:row>
      <xdr:rowOff>914400</xdr:rowOff>
    </xdr:to>
    <xdr:pic>
      <xdr:nvPicPr>
        <xdr:cNvPr id="281" name="Image 14" descr="https://portableengineering.com/wp-content/uploads/2016/07/ABB-3HNE00413-1-Battery-7.2V-4500mAh.jpg">
          <a:extLst>
            <a:ext uri="{FF2B5EF4-FFF2-40B4-BE49-F238E27FC236}">
              <a16:creationId xmlns:a16="http://schemas.microsoft.com/office/drawing/2014/main" id="{0627BAD5-658A-498E-8657-2DE1E73E49D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85750" y="3006725"/>
          <a:ext cx="1219200" cy="619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8</xdr:col>
      <xdr:colOff>9525</xdr:colOff>
      <xdr:row>2</xdr:row>
      <xdr:rowOff>276225</xdr:rowOff>
    </xdr:from>
    <xdr:to>
      <xdr:col>8</xdr:col>
      <xdr:colOff>2171700</xdr:colOff>
      <xdr:row>2</xdr:row>
      <xdr:rowOff>990600</xdr:rowOff>
    </xdr:to>
    <xdr:pic>
      <xdr:nvPicPr>
        <xdr:cNvPr id="282" name="Image 15" descr="Isa Électronique">
          <a:extLst>
            <a:ext uri="{FF2B5EF4-FFF2-40B4-BE49-F238E27FC236}">
              <a16:creationId xmlns:a16="http://schemas.microsoft.com/office/drawing/2014/main" id="{1DAF0D9A-B275-47D5-A892-A2533F1CB91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830425" y="1730375"/>
          <a:ext cx="2162175" cy="7143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</xdr:col>
      <xdr:colOff>90261</xdr:colOff>
      <xdr:row>5</xdr:row>
      <xdr:rowOff>51707</xdr:rowOff>
    </xdr:from>
    <xdr:to>
      <xdr:col>1</xdr:col>
      <xdr:colOff>1155805</xdr:colOff>
      <xdr:row>5</xdr:row>
      <xdr:rowOff>1236889</xdr:rowOff>
    </xdr:to>
    <xdr:pic>
      <xdr:nvPicPr>
        <xdr:cNvPr id="283" name="Image 18" descr="https://cdn.manomano.com/images/images_products/385955/L/5617963_2.jpg">
          <a:extLst>
            <a:ext uri="{FF2B5EF4-FFF2-40B4-BE49-F238E27FC236}">
              <a16:creationId xmlns:a16="http://schemas.microsoft.com/office/drawing/2014/main" id="{319728E5-C65F-49D2-B5A2-71E659BC82E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17047" y="5285921"/>
          <a:ext cx="1062369" cy="1185182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9</xdr:col>
      <xdr:colOff>28575</xdr:colOff>
      <xdr:row>4</xdr:row>
      <xdr:rowOff>552450</xdr:rowOff>
    </xdr:from>
    <xdr:to>
      <xdr:col>9</xdr:col>
      <xdr:colOff>931545</xdr:colOff>
      <xdr:row>4</xdr:row>
      <xdr:rowOff>779145</xdr:rowOff>
    </xdr:to>
    <xdr:pic>
      <xdr:nvPicPr>
        <xdr:cNvPr id="284" name="Image 13" descr="saft">
          <a:extLst>
            <a:ext uri="{FF2B5EF4-FFF2-40B4-BE49-F238E27FC236}">
              <a16:creationId xmlns:a16="http://schemas.microsoft.com/office/drawing/2014/main" id="{3667895E-7A9D-4542-AE0F-F752CE4BAD1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7135475" y="4521200"/>
          <a:ext cx="902970" cy="22669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8</xdr:col>
      <xdr:colOff>9525</xdr:colOff>
      <xdr:row>3</xdr:row>
      <xdr:rowOff>276225</xdr:rowOff>
    </xdr:from>
    <xdr:to>
      <xdr:col>8</xdr:col>
      <xdr:colOff>2171700</xdr:colOff>
      <xdr:row>3</xdr:row>
      <xdr:rowOff>990600</xdr:rowOff>
    </xdr:to>
    <xdr:pic>
      <xdr:nvPicPr>
        <xdr:cNvPr id="285" name="Image 32" descr="Isa Électronique">
          <a:extLst>
            <a:ext uri="{FF2B5EF4-FFF2-40B4-BE49-F238E27FC236}">
              <a16:creationId xmlns:a16="http://schemas.microsoft.com/office/drawing/2014/main" id="{63CDFC63-C906-43F0-8398-4309E94086F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830425" y="2987675"/>
          <a:ext cx="2162175" cy="7143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8</xdr:col>
      <xdr:colOff>9525</xdr:colOff>
      <xdr:row>4</xdr:row>
      <xdr:rowOff>276225</xdr:rowOff>
    </xdr:from>
    <xdr:to>
      <xdr:col>8</xdr:col>
      <xdr:colOff>2171700</xdr:colOff>
      <xdr:row>4</xdr:row>
      <xdr:rowOff>990600</xdr:rowOff>
    </xdr:to>
    <xdr:pic>
      <xdr:nvPicPr>
        <xdr:cNvPr id="286" name="Image 33" descr="Isa Électronique">
          <a:extLst>
            <a:ext uri="{FF2B5EF4-FFF2-40B4-BE49-F238E27FC236}">
              <a16:creationId xmlns:a16="http://schemas.microsoft.com/office/drawing/2014/main" id="{5055910C-33E9-4190-800B-FBBED460B77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830425" y="4244975"/>
          <a:ext cx="2162175" cy="7143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</xdr:col>
      <xdr:colOff>78469</xdr:colOff>
      <xdr:row>3</xdr:row>
      <xdr:rowOff>1259115</xdr:rowOff>
    </xdr:from>
    <xdr:to>
      <xdr:col>1</xdr:col>
      <xdr:colOff>1155246</xdr:colOff>
      <xdr:row>4</xdr:row>
      <xdr:rowOff>1240750</xdr:rowOff>
    </xdr:to>
    <xdr:pic>
      <xdr:nvPicPr>
        <xdr:cNvPr id="287" name="Image 35" descr="https://www.plc-battery.com/image/cache/data/plcs-500x500.jpg">
          <a:extLst>
            <a:ext uri="{FF2B5EF4-FFF2-40B4-BE49-F238E27FC236}">
              <a16:creationId xmlns:a16="http://schemas.microsoft.com/office/drawing/2014/main" id="{81DA8444-1914-4C42-9D9C-5944A4AAFCF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05255" y="3971472"/>
          <a:ext cx="1073602" cy="12425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10</xdr:col>
      <xdr:colOff>104775</xdr:colOff>
      <xdr:row>2</xdr:row>
      <xdr:rowOff>200025</xdr:rowOff>
    </xdr:from>
    <xdr:to>
      <xdr:col>10</xdr:col>
      <xdr:colOff>1541145</xdr:colOff>
      <xdr:row>2</xdr:row>
      <xdr:rowOff>1236345</xdr:rowOff>
    </xdr:to>
    <xdr:pic>
      <xdr:nvPicPr>
        <xdr:cNvPr id="288" name="Image 36" descr="Afficher l’image source">
          <a:extLst>
            <a:ext uri="{FF2B5EF4-FFF2-40B4-BE49-F238E27FC236}">
              <a16:creationId xmlns:a16="http://schemas.microsoft.com/office/drawing/2014/main" id="{B37AC450-50B4-4F58-9912-A35515D9624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8208625" y="1654175"/>
          <a:ext cx="1436370" cy="103632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oneCellAnchor>
    <xdr:from>
      <xdr:col>8</xdr:col>
      <xdr:colOff>86591</xdr:colOff>
      <xdr:row>6</xdr:row>
      <xdr:rowOff>103910</xdr:rowOff>
    </xdr:from>
    <xdr:ext cx="1031650" cy="1019175"/>
    <xdr:pic>
      <xdr:nvPicPr>
        <xdr:cNvPr id="289" name="Image 30">
          <a:extLst>
            <a:ext uri="{FF2B5EF4-FFF2-40B4-BE49-F238E27FC236}">
              <a16:creationId xmlns:a16="http://schemas.microsoft.com/office/drawing/2014/main" id="{8FDBE6A1-99BC-4C75-B97B-ED745B647B0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4907491" y="6587260"/>
          <a:ext cx="1031650" cy="1019175"/>
        </a:xfrm>
        <a:prstGeom prst="rect">
          <a:avLst/>
        </a:prstGeom>
      </xdr:spPr>
    </xdr:pic>
    <xdr:clientData/>
  </xdr:oneCellAnchor>
  <xdr:oneCellAnchor>
    <xdr:from>
      <xdr:col>1</xdr:col>
      <xdr:colOff>242454</xdr:colOff>
      <xdr:row>6</xdr:row>
      <xdr:rowOff>69273</xdr:rowOff>
    </xdr:from>
    <xdr:ext cx="740872" cy="1197909"/>
    <xdr:pic>
      <xdr:nvPicPr>
        <xdr:cNvPr id="290" name="Image 31">
          <a:extLst>
            <a:ext uri="{FF2B5EF4-FFF2-40B4-BE49-F238E27FC236}">
              <a16:creationId xmlns:a16="http://schemas.microsoft.com/office/drawing/2014/main" id="{F1B86257-C93A-4E54-B36A-2233EBC573F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490104" y="6552623"/>
          <a:ext cx="740872" cy="1197909"/>
        </a:xfrm>
        <a:prstGeom prst="rect">
          <a:avLst/>
        </a:prstGeom>
      </xdr:spPr>
    </xdr:pic>
    <xdr:clientData/>
  </xdr:oneCellAnchor>
  <xdr:twoCellAnchor editAs="oneCell">
    <xdr:from>
      <xdr:col>1</xdr:col>
      <xdr:colOff>110193</xdr:colOff>
      <xdr:row>8</xdr:row>
      <xdr:rowOff>46969</xdr:rowOff>
    </xdr:from>
    <xdr:to>
      <xdr:col>1</xdr:col>
      <xdr:colOff>1141664</xdr:colOff>
      <xdr:row>8</xdr:row>
      <xdr:rowOff>1187533</xdr:rowOff>
    </xdr:to>
    <xdr:pic>
      <xdr:nvPicPr>
        <xdr:cNvPr id="291" name="Image 4">
          <a:extLst>
            <a:ext uri="{FF2B5EF4-FFF2-40B4-BE49-F238E27FC236}">
              <a16:creationId xmlns:a16="http://schemas.microsoft.com/office/drawing/2014/main" id="{680D65E7-28AF-482D-A5F7-A3C3F540B8D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/>
        <a:stretch>
          <a:fillRect/>
        </a:stretch>
      </xdr:blipFill>
      <xdr:spPr>
        <a:xfrm>
          <a:off x="336979" y="9063969"/>
          <a:ext cx="1031471" cy="1140564"/>
        </a:xfrm>
        <a:prstGeom prst="rect">
          <a:avLst/>
        </a:prstGeom>
      </xdr:spPr>
    </xdr:pic>
    <xdr:clientData/>
  </xdr:twoCellAnchor>
  <xdr:twoCellAnchor editAs="oneCell">
    <xdr:from>
      <xdr:col>1</xdr:col>
      <xdr:colOff>0</xdr:colOff>
      <xdr:row>9</xdr:row>
      <xdr:rowOff>0</xdr:rowOff>
    </xdr:from>
    <xdr:to>
      <xdr:col>1</xdr:col>
      <xdr:colOff>1260417</xdr:colOff>
      <xdr:row>10</xdr:row>
      <xdr:rowOff>37679</xdr:rowOff>
    </xdr:to>
    <xdr:pic>
      <xdr:nvPicPr>
        <xdr:cNvPr id="292" name="Image 8">
          <a:extLst>
            <a:ext uri="{FF2B5EF4-FFF2-40B4-BE49-F238E27FC236}">
              <a16:creationId xmlns:a16="http://schemas.microsoft.com/office/drawing/2014/main" id="{DE11E85A-3972-4908-BB1C-A03C6FC3D34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247650" y="10255250"/>
          <a:ext cx="1260417" cy="1294979"/>
        </a:xfrm>
        <a:prstGeom prst="rect">
          <a:avLst/>
        </a:prstGeom>
      </xdr:spPr>
    </xdr:pic>
    <xdr:clientData/>
  </xdr:twoCellAnchor>
  <xdr:twoCellAnchor editAs="oneCell">
    <xdr:from>
      <xdr:col>0</xdr:col>
      <xdr:colOff>190500</xdr:colOff>
      <xdr:row>10</xdr:row>
      <xdr:rowOff>325235</xdr:rowOff>
    </xdr:from>
    <xdr:to>
      <xdr:col>2</xdr:col>
      <xdr:colOff>39653</xdr:colOff>
      <xdr:row>10</xdr:row>
      <xdr:rowOff>1007779</xdr:rowOff>
    </xdr:to>
    <xdr:pic>
      <xdr:nvPicPr>
        <xdr:cNvPr id="293" name="Image 9">
          <a:extLst>
            <a:ext uri="{FF2B5EF4-FFF2-40B4-BE49-F238E27FC236}">
              <a16:creationId xmlns:a16="http://schemas.microsoft.com/office/drawing/2014/main" id="{5E41E945-6A1B-4DAB-B6D3-F4B0CD39572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/>
        <a:stretch>
          <a:fillRect/>
        </a:stretch>
      </xdr:blipFill>
      <xdr:spPr>
        <a:xfrm>
          <a:off x="190500" y="11837785"/>
          <a:ext cx="1443003" cy="682544"/>
        </a:xfrm>
        <a:prstGeom prst="rect">
          <a:avLst/>
        </a:prstGeom>
      </xdr:spPr>
    </xdr:pic>
    <xdr:clientData/>
  </xdr:twoCellAnchor>
  <xdr:oneCellAnchor>
    <xdr:from>
      <xdr:col>9</xdr:col>
      <xdr:colOff>28575</xdr:colOff>
      <xdr:row>7</xdr:row>
      <xdr:rowOff>0</xdr:rowOff>
    </xdr:from>
    <xdr:ext cx="906780" cy="247650"/>
    <xdr:pic>
      <xdr:nvPicPr>
        <xdr:cNvPr id="294" name="Image 13" descr="saft">
          <a:extLst>
            <a:ext uri="{FF2B5EF4-FFF2-40B4-BE49-F238E27FC236}">
              <a16:creationId xmlns:a16="http://schemas.microsoft.com/office/drawing/2014/main" id="{D3B9C133-7140-40F8-8B06-DE0F5BE871A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7135475" y="7740650"/>
          <a:ext cx="90678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8</xdr:col>
      <xdr:colOff>86591</xdr:colOff>
      <xdr:row>7</xdr:row>
      <xdr:rowOff>0</xdr:rowOff>
    </xdr:from>
    <xdr:ext cx="1031650" cy="1019175"/>
    <xdr:pic>
      <xdr:nvPicPr>
        <xdr:cNvPr id="295" name="Image 17">
          <a:extLst>
            <a:ext uri="{FF2B5EF4-FFF2-40B4-BE49-F238E27FC236}">
              <a16:creationId xmlns:a16="http://schemas.microsoft.com/office/drawing/2014/main" id="{6723C6A6-561F-4AC1-B54A-3A50EE402AD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4907491" y="7740650"/>
          <a:ext cx="1031650" cy="1019175"/>
        </a:xfrm>
        <a:prstGeom prst="rect">
          <a:avLst/>
        </a:prstGeom>
      </xdr:spPr>
    </xdr:pic>
    <xdr:clientData/>
  </xdr:oneCellAnchor>
  <xdr:oneCellAnchor>
    <xdr:from>
      <xdr:col>1</xdr:col>
      <xdr:colOff>242454</xdr:colOff>
      <xdr:row>7</xdr:row>
      <xdr:rowOff>0</xdr:rowOff>
    </xdr:from>
    <xdr:ext cx="740872" cy="1197909"/>
    <xdr:pic>
      <xdr:nvPicPr>
        <xdr:cNvPr id="296" name="Image 18">
          <a:extLst>
            <a:ext uri="{FF2B5EF4-FFF2-40B4-BE49-F238E27FC236}">
              <a16:creationId xmlns:a16="http://schemas.microsoft.com/office/drawing/2014/main" id="{452A9285-9095-4E3B-8065-F13EDEA6F7A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490104" y="7740650"/>
          <a:ext cx="740872" cy="1197909"/>
        </a:xfrm>
        <a:prstGeom prst="rect">
          <a:avLst/>
        </a:prstGeom>
      </xdr:spPr>
    </xdr:pic>
    <xdr:clientData/>
  </xdr:oneCellAnchor>
  <xdr:twoCellAnchor editAs="oneCell">
    <xdr:from>
      <xdr:col>1</xdr:col>
      <xdr:colOff>21129</xdr:colOff>
      <xdr:row>11</xdr:row>
      <xdr:rowOff>266838</xdr:rowOff>
    </xdr:from>
    <xdr:to>
      <xdr:col>2</xdr:col>
      <xdr:colOff>1</xdr:colOff>
      <xdr:row>11</xdr:row>
      <xdr:rowOff>1066976</xdr:rowOff>
    </xdr:to>
    <xdr:pic>
      <xdr:nvPicPr>
        <xdr:cNvPr id="297" name="Image 5">
          <a:extLst>
            <a:ext uri="{FF2B5EF4-FFF2-40B4-BE49-F238E27FC236}">
              <a16:creationId xmlns:a16="http://schemas.microsoft.com/office/drawing/2014/main" id="{4112AFD3-96A2-44DD-A50C-391300B8B77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"/>
        <a:stretch>
          <a:fillRect/>
        </a:stretch>
      </xdr:blipFill>
      <xdr:spPr>
        <a:xfrm>
          <a:off x="268779" y="13036688"/>
          <a:ext cx="1325072" cy="800138"/>
        </a:xfrm>
        <a:prstGeom prst="rect">
          <a:avLst/>
        </a:prstGeom>
      </xdr:spPr>
    </xdr:pic>
    <xdr:clientData/>
  </xdr:twoCellAnchor>
  <xdr:oneCellAnchor>
    <xdr:from>
      <xdr:col>1</xdr:col>
      <xdr:colOff>242454</xdr:colOff>
      <xdr:row>7</xdr:row>
      <xdr:rowOff>0</xdr:rowOff>
    </xdr:from>
    <xdr:ext cx="740872" cy="1197909"/>
    <xdr:pic>
      <xdr:nvPicPr>
        <xdr:cNvPr id="298" name="Image 31">
          <a:extLst>
            <a:ext uri="{FF2B5EF4-FFF2-40B4-BE49-F238E27FC236}">
              <a16:creationId xmlns:a16="http://schemas.microsoft.com/office/drawing/2014/main" id="{02405B5E-924B-490E-8D46-5A8C0A7231F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490104" y="7740650"/>
          <a:ext cx="740872" cy="1197909"/>
        </a:xfrm>
        <a:prstGeom prst="rect">
          <a:avLst/>
        </a:prstGeom>
      </xdr:spPr>
    </xdr:pic>
    <xdr:clientData/>
  </xdr:oneCellAnchor>
  <xdr:oneCellAnchor>
    <xdr:from>
      <xdr:col>9</xdr:col>
      <xdr:colOff>28575</xdr:colOff>
      <xdr:row>7</xdr:row>
      <xdr:rowOff>0</xdr:rowOff>
    </xdr:from>
    <xdr:ext cx="906780" cy="247650"/>
    <xdr:pic>
      <xdr:nvPicPr>
        <xdr:cNvPr id="299" name="Image 13" descr="saft">
          <a:extLst>
            <a:ext uri="{FF2B5EF4-FFF2-40B4-BE49-F238E27FC236}">
              <a16:creationId xmlns:a16="http://schemas.microsoft.com/office/drawing/2014/main" id="{77079AC5-C7FC-47E1-8615-91F912E63A8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7135475" y="7740650"/>
          <a:ext cx="90678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8</xdr:col>
      <xdr:colOff>86591</xdr:colOff>
      <xdr:row>7</xdr:row>
      <xdr:rowOff>103910</xdr:rowOff>
    </xdr:from>
    <xdr:ext cx="1031650" cy="1019175"/>
    <xdr:pic>
      <xdr:nvPicPr>
        <xdr:cNvPr id="300" name="Image 28">
          <a:extLst>
            <a:ext uri="{FF2B5EF4-FFF2-40B4-BE49-F238E27FC236}">
              <a16:creationId xmlns:a16="http://schemas.microsoft.com/office/drawing/2014/main" id="{7592E6C3-511A-4F54-8BE9-0CF9327DA7F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4907491" y="7844560"/>
          <a:ext cx="1031650" cy="1019175"/>
        </a:xfrm>
        <a:prstGeom prst="rect">
          <a:avLst/>
        </a:prstGeom>
      </xdr:spPr>
    </xdr:pic>
    <xdr:clientData/>
  </xdr:oneCellAnchor>
  <xdr:oneCellAnchor>
    <xdr:from>
      <xdr:col>1</xdr:col>
      <xdr:colOff>242454</xdr:colOff>
      <xdr:row>7</xdr:row>
      <xdr:rowOff>69273</xdr:rowOff>
    </xdr:from>
    <xdr:ext cx="740872" cy="1197909"/>
    <xdr:pic>
      <xdr:nvPicPr>
        <xdr:cNvPr id="301" name="Image 29">
          <a:extLst>
            <a:ext uri="{FF2B5EF4-FFF2-40B4-BE49-F238E27FC236}">
              <a16:creationId xmlns:a16="http://schemas.microsoft.com/office/drawing/2014/main" id="{E4BC4680-BEEE-4239-91F7-4A6F37E07CC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490104" y="7809923"/>
          <a:ext cx="740872" cy="1197909"/>
        </a:xfrm>
        <a:prstGeom prst="rect">
          <a:avLst/>
        </a:prstGeom>
      </xdr:spPr>
    </xdr:pic>
    <xdr:clientData/>
  </xdr:oneCellAnchor>
  <xdr:twoCellAnchor editAs="oneCell">
    <xdr:from>
      <xdr:col>8</xdr:col>
      <xdr:colOff>190500</xdr:colOff>
      <xdr:row>8</xdr:row>
      <xdr:rowOff>381000</xdr:rowOff>
    </xdr:from>
    <xdr:to>
      <xdr:col>8</xdr:col>
      <xdr:colOff>2130136</xdr:colOff>
      <xdr:row>8</xdr:row>
      <xdr:rowOff>973925</xdr:rowOff>
    </xdr:to>
    <xdr:pic>
      <xdr:nvPicPr>
        <xdr:cNvPr id="302" name="Image 30">
          <a:extLst>
            <a:ext uri="{FF2B5EF4-FFF2-40B4-BE49-F238E27FC236}">
              <a16:creationId xmlns:a16="http://schemas.microsoft.com/office/drawing/2014/main" id="{B6828987-4288-40D1-B6CF-49B787AEDEA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15011400" y="9378950"/>
          <a:ext cx="1939636" cy="592925"/>
        </a:xfrm>
        <a:prstGeom prst="rect">
          <a:avLst/>
        </a:prstGeom>
      </xdr:spPr>
    </xdr:pic>
    <xdr:clientData/>
  </xdr:twoCellAnchor>
  <xdr:twoCellAnchor editAs="oneCell">
    <xdr:from>
      <xdr:col>8</xdr:col>
      <xdr:colOff>190500</xdr:colOff>
      <xdr:row>9</xdr:row>
      <xdr:rowOff>432954</xdr:rowOff>
    </xdr:from>
    <xdr:to>
      <xdr:col>8</xdr:col>
      <xdr:colOff>2130136</xdr:colOff>
      <xdr:row>9</xdr:row>
      <xdr:rowOff>1025879</xdr:rowOff>
    </xdr:to>
    <xdr:pic>
      <xdr:nvPicPr>
        <xdr:cNvPr id="303" name="Image 31">
          <a:extLst>
            <a:ext uri="{FF2B5EF4-FFF2-40B4-BE49-F238E27FC236}">
              <a16:creationId xmlns:a16="http://schemas.microsoft.com/office/drawing/2014/main" id="{27721F15-D2B6-4EC3-8271-23F2610B0FB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15011400" y="10688204"/>
          <a:ext cx="1939636" cy="592925"/>
        </a:xfrm>
        <a:prstGeom prst="rect">
          <a:avLst/>
        </a:prstGeom>
      </xdr:spPr>
    </xdr:pic>
    <xdr:clientData/>
  </xdr:twoCellAnchor>
  <xdr:twoCellAnchor editAs="oneCell">
    <xdr:from>
      <xdr:col>8</xdr:col>
      <xdr:colOff>155864</xdr:colOff>
      <xdr:row>10</xdr:row>
      <xdr:rowOff>294410</xdr:rowOff>
    </xdr:from>
    <xdr:to>
      <xdr:col>8</xdr:col>
      <xdr:colOff>2095500</xdr:colOff>
      <xdr:row>10</xdr:row>
      <xdr:rowOff>893050</xdr:rowOff>
    </xdr:to>
    <xdr:pic>
      <xdr:nvPicPr>
        <xdr:cNvPr id="304" name="Image 32">
          <a:extLst>
            <a:ext uri="{FF2B5EF4-FFF2-40B4-BE49-F238E27FC236}">
              <a16:creationId xmlns:a16="http://schemas.microsoft.com/office/drawing/2014/main" id="{47418816-9A72-44C9-96BA-E1716EA913A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14976764" y="11806960"/>
          <a:ext cx="1939636" cy="598640"/>
        </a:xfrm>
        <a:prstGeom prst="rect">
          <a:avLst/>
        </a:prstGeom>
      </xdr:spPr>
    </xdr:pic>
    <xdr:clientData/>
  </xdr:twoCellAnchor>
  <xdr:oneCellAnchor>
    <xdr:from>
      <xdr:col>1</xdr:col>
      <xdr:colOff>85889</xdr:colOff>
      <xdr:row>12</xdr:row>
      <xdr:rowOff>239659</xdr:rowOff>
    </xdr:from>
    <xdr:ext cx="1188036" cy="843767"/>
    <xdr:pic>
      <xdr:nvPicPr>
        <xdr:cNvPr id="305" name="Image 33">
          <a:extLst>
            <a:ext uri="{FF2B5EF4-FFF2-40B4-BE49-F238E27FC236}">
              <a16:creationId xmlns:a16="http://schemas.microsoft.com/office/drawing/2014/main" id="{82461544-48DE-4F06-BAB8-8E38626B11B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333539" y="14266809"/>
          <a:ext cx="1188036" cy="843767"/>
        </a:xfrm>
        <a:prstGeom prst="rect">
          <a:avLst/>
        </a:prstGeom>
      </xdr:spPr>
    </xdr:pic>
    <xdr:clientData/>
  </xdr:oneCellAnchor>
  <xdr:oneCellAnchor>
    <xdr:from>
      <xdr:col>8</xdr:col>
      <xdr:colOff>153958</xdr:colOff>
      <xdr:row>12</xdr:row>
      <xdr:rowOff>506038</xdr:rowOff>
    </xdr:from>
    <xdr:ext cx="1943446" cy="579590"/>
    <xdr:pic>
      <xdr:nvPicPr>
        <xdr:cNvPr id="306" name="Image 34">
          <a:extLst>
            <a:ext uri="{FF2B5EF4-FFF2-40B4-BE49-F238E27FC236}">
              <a16:creationId xmlns:a16="http://schemas.microsoft.com/office/drawing/2014/main" id="{89A8761B-30F7-4781-B4F3-99DED024EDA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14974858" y="14533188"/>
          <a:ext cx="1943446" cy="579590"/>
        </a:xfrm>
        <a:prstGeom prst="rect">
          <a:avLst/>
        </a:prstGeom>
      </xdr:spPr>
    </xdr:pic>
    <xdr:clientData/>
  </xdr:oneCellAnchor>
  <xdr:twoCellAnchor editAs="oneCell">
    <xdr:from>
      <xdr:col>8</xdr:col>
      <xdr:colOff>193964</xdr:colOff>
      <xdr:row>11</xdr:row>
      <xdr:rowOff>304800</xdr:rowOff>
    </xdr:from>
    <xdr:to>
      <xdr:col>8</xdr:col>
      <xdr:colOff>2133600</xdr:colOff>
      <xdr:row>11</xdr:row>
      <xdr:rowOff>909790</xdr:rowOff>
    </xdr:to>
    <xdr:pic>
      <xdr:nvPicPr>
        <xdr:cNvPr id="307" name="Image 7">
          <a:extLst>
            <a:ext uri="{FF2B5EF4-FFF2-40B4-BE49-F238E27FC236}">
              <a16:creationId xmlns:a16="http://schemas.microsoft.com/office/drawing/2014/main" id="{8CD6159C-B573-441F-AA56-B3269349D23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15014864" y="13074650"/>
          <a:ext cx="1939636" cy="598640"/>
        </a:xfrm>
        <a:prstGeom prst="rect">
          <a:avLst/>
        </a:prstGeom>
      </xdr:spPr>
    </xdr:pic>
    <xdr:clientData/>
  </xdr:twoCellAnchor>
  <xdr:oneCellAnchor>
    <xdr:from>
      <xdr:col>8</xdr:col>
      <xdr:colOff>564665</xdr:colOff>
      <xdr:row>20</xdr:row>
      <xdr:rowOff>161925</xdr:rowOff>
    </xdr:from>
    <xdr:ext cx="1018315" cy="1000125"/>
    <xdr:pic>
      <xdr:nvPicPr>
        <xdr:cNvPr id="363" name="Image 2">
          <a:extLst>
            <a:ext uri="{FF2B5EF4-FFF2-40B4-BE49-F238E27FC236}">
              <a16:creationId xmlns:a16="http://schemas.microsoft.com/office/drawing/2014/main" id="{5EB3D6DB-C578-469B-BEFE-161943D6E81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6439665" y="1622425"/>
          <a:ext cx="1018315" cy="1000125"/>
        </a:xfrm>
        <a:prstGeom prst="rect">
          <a:avLst/>
        </a:prstGeom>
      </xdr:spPr>
    </xdr:pic>
    <xdr:clientData/>
  </xdr:oneCellAnchor>
  <xdr:oneCellAnchor>
    <xdr:from>
      <xdr:col>1</xdr:col>
      <xdr:colOff>86590</xdr:colOff>
      <xdr:row>30</xdr:row>
      <xdr:rowOff>380992</xdr:rowOff>
    </xdr:from>
    <xdr:ext cx="1187335" cy="901283"/>
    <xdr:pic>
      <xdr:nvPicPr>
        <xdr:cNvPr id="368" name="Image 10">
          <a:extLst>
            <a:ext uri="{FF2B5EF4-FFF2-40B4-BE49-F238E27FC236}">
              <a16:creationId xmlns:a16="http://schemas.microsoft.com/office/drawing/2014/main" id="{EE6F84DA-4551-4EF5-A905-9FC385A31CD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/>
        <a:stretch>
          <a:fillRect/>
        </a:stretch>
      </xdr:blipFill>
      <xdr:spPr>
        <a:xfrm>
          <a:off x="334240" y="15062192"/>
          <a:ext cx="1187335" cy="901283"/>
        </a:xfrm>
        <a:prstGeom prst="rect">
          <a:avLst/>
        </a:prstGeom>
      </xdr:spPr>
    </xdr:pic>
    <xdr:clientData/>
  </xdr:oneCellAnchor>
  <xdr:oneCellAnchor>
    <xdr:from>
      <xdr:col>1</xdr:col>
      <xdr:colOff>86592</xdr:colOff>
      <xdr:row>24</xdr:row>
      <xdr:rowOff>294410</xdr:rowOff>
    </xdr:from>
    <xdr:ext cx="1185777" cy="694633"/>
    <xdr:pic>
      <xdr:nvPicPr>
        <xdr:cNvPr id="369" name="Image 12" descr="https://cdn.productimages.abb.com/9IBA224532_720x540.jpg">
          <a:extLst>
            <a:ext uri="{FF2B5EF4-FFF2-40B4-BE49-F238E27FC236}">
              <a16:creationId xmlns:a16="http://schemas.microsoft.com/office/drawing/2014/main" id="{208D66B3-6292-4B67-A5F9-99DA04805D0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34242" y="6784110"/>
          <a:ext cx="1185777" cy="69463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</xdr:col>
      <xdr:colOff>34636</xdr:colOff>
      <xdr:row>29</xdr:row>
      <xdr:rowOff>483004</xdr:rowOff>
    </xdr:from>
    <xdr:ext cx="1239289" cy="949126"/>
    <xdr:pic>
      <xdr:nvPicPr>
        <xdr:cNvPr id="379" name="Image 40">
          <a:extLst>
            <a:ext uri="{FF2B5EF4-FFF2-40B4-BE49-F238E27FC236}">
              <a16:creationId xmlns:a16="http://schemas.microsoft.com/office/drawing/2014/main" id="{1D8DF794-C1E7-4D55-9DF6-F7689920EB8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/>
        <a:stretch>
          <a:fillRect/>
        </a:stretch>
      </xdr:blipFill>
      <xdr:spPr>
        <a:xfrm>
          <a:off x="282286" y="13583054"/>
          <a:ext cx="1239289" cy="949126"/>
        </a:xfrm>
        <a:prstGeom prst="rect">
          <a:avLst/>
        </a:prstGeom>
      </xdr:spPr>
    </xdr:pic>
    <xdr:clientData/>
  </xdr:oneCellAnchor>
  <xdr:oneCellAnchor>
    <xdr:from>
      <xdr:col>8</xdr:col>
      <xdr:colOff>190501</xdr:colOff>
      <xdr:row>29</xdr:row>
      <xdr:rowOff>456073</xdr:rowOff>
    </xdr:from>
    <xdr:ext cx="1939636" cy="592925"/>
    <xdr:pic>
      <xdr:nvPicPr>
        <xdr:cNvPr id="380" name="Image 41">
          <a:extLst>
            <a:ext uri="{FF2B5EF4-FFF2-40B4-BE49-F238E27FC236}">
              <a16:creationId xmlns:a16="http://schemas.microsoft.com/office/drawing/2014/main" id="{9FB9B95E-BB0F-47C1-B126-EAC7E96ECB4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16065501" y="13556123"/>
          <a:ext cx="1939636" cy="592925"/>
        </a:xfrm>
        <a:prstGeom prst="rect">
          <a:avLst/>
        </a:prstGeom>
      </xdr:spPr>
    </xdr:pic>
    <xdr:clientData/>
  </xdr:oneCellAnchor>
  <xdr:oneCellAnchor>
    <xdr:from>
      <xdr:col>1</xdr:col>
      <xdr:colOff>73084</xdr:colOff>
      <xdr:row>37</xdr:row>
      <xdr:rowOff>375048</xdr:rowOff>
    </xdr:from>
    <xdr:ext cx="1173826" cy="957910"/>
    <xdr:pic>
      <xdr:nvPicPr>
        <xdr:cNvPr id="384" name="Image 11">
          <a:extLst>
            <a:ext uri="{FF2B5EF4-FFF2-40B4-BE49-F238E27FC236}">
              <a16:creationId xmlns:a16="http://schemas.microsoft.com/office/drawing/2014/main" id="{50A477DB-2BC1-45E1-8424-86B881C46CD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/>
        <a:stretch>
          <a:fillRect/>
        </a:stretch>
      </xdr:blipFill>
      <xdr:spPr>
        <a:xfrm>
          <a:off x="320734" y="25724248"/>
          <a:ext cx="1173826" cy="957910"/>
        </a:xfrm>
        <a:prstGeom prst="rect">
          <a:avLst/>
        </a:prstGeom>
      </xdr:spPr>
    </xdr:pic>
    <xdr:clientData/>
  </xdr:oneCellAnchor>
  <xdr:oneCellAnchor>
    <xdr:from>
      <xdr:col>8</xdr:col>
      <xdr:colOff>153958</xdr:colOff>
      <xdr:row>37</xdr:row>
      <xdr:rowOff>0</xdr:rowOff>
    </xdr:from>
    <xdr:ext cx="1943446" cy="579590"/>
    <xdr:pic>
      <xdr:nvPicPr>
        <xdr:cNvPr id="385" name="Image 30">
          <a:extLst>
            <a:ext uri="{FF2B5EF4-FFF2-40B4-BE49-F238E27FC236}">
              <a16:creationId xmlns:a16="http://schemas.microsoft.com/office/drawing/2014/main" id="{F7080718-FC7D-479F-9C6C-64593EBB2E6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16028958" y="25349200"/>
          <a:ext cx="1943446" cy="579590"/>
        </a:xfrm>
        <a:prstGeom prst="rect">
          <a:avLst/>
        </a:prstGeom>
      </xdr:spPr>
    </xdr:pic>
    <xdr:clientData/>
  </xdr:oneCellAnchor>
  <xdr:oneCellAnchor>
    <xdr:from>
      <xdr:col>1</xdr:col>
      <xdr:colOff>28576</xdr:colOff>
      <xdr:row>22</xdr:row>
      <xdr:rowOff>198035</xdr:rowOff>
    </xdr:from>
    <xdr:ext cx="1078229" cy="807540"/>
    <xdr:pic>
      <xdr:nvPicPr>
        <xdr:cNvPr id="386" name="Image 12">
          <a:extLst>
            <a:ext uri="{FF2B5EF4-FFF2-40B4-BE49-F238E27FC236}">
              <a16:creationId xmlns:a16="http://schemas.microsoft.com/office/drawing/2014/main" id="{3F750DF5-5202-472D-B7C1-9D3E44D1AB8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/>
        <a:stretch>
          <a:fillRect/>
        </a:stretch>
      </xdr:blipFill>
      <xdr:spPr>
        <a:xfrm>
          <a:off x="276226" y="4173135"/>
          <a:ext cx="1078229" cy="807540"/>
        </a:xfrm>
        <a:prstGeom prst="rect">
          <a:avLst/>
        </a:prstGeom>
      </xdr:spPr>
    </xdr:pic>
    <xdr:clientData/>
  </xdr:oneCellAnchor>
  <xdr:oneCellAnchor>
    <xdr:from>
      <xdr:col>8</xdr:col>
      <xdr:colOff>564665</xdr:colOff>
      <xdr:row>22</xdr:row>
      <xdr:rowOff>161925</xdr:rowOff>
    </xdr:from>
    <xdr:ext cx="1018315" cy="1000125"/>
    <xdr:pic>
      <xdr:nvPicPr>
        <xdr:cNvPr id="387" name="Image 14">
          <a:extLst>
            <a:ext uri="{FF2B5EF4-FFF2-40B4-BE49-F238E27FC236}">
              <a16:creationId xmlns:a16="http://schemas.microsoft.com/office/drawing/2014/main" id="{5D049CC4-A150-41C9-A505-BC39C90772A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6439665" y="4137025"/>
          <a:ext cx="1018315" cy="1000125"/>
        </a:xfrm>
        <a:prstGeom prst="rect">
          <a:avLst/>
        </a:prstGeom>
      </xdr:spPr>
    </xdr:pic>
    <xdr:clientData/>
  </xdr:oneCellAnchor>
  <xdr:oneCellAnchor>
    <xdr:from>
      <xdr:col>1</xdr:col>
      <xdr:colOff>28576</xdr:colOff>
      <xdr:row>21</xdr:row>
      <xdr:rowOff>198035</xdr:rowOff>
    </xdr:from>
    <xdr:ext cx="1078229" cy="807540"/>
    <xdr:pic>
      <xdr:nvPicPr>
        <xdr:cNvPr id="388" name="Image 22">
          <a:extLst>
            <a:ext uri="{FF2B5EF4-FFF2-40B4-BE49-F238E27FC236}">
              <a16:creationId xmlns:a16="http://schemas.microsoft.com/office/drawing/2014/main" id="{E9CF32C5-B2C7-4C38-A80C-93BC7049C1D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/>
        <a:stretch>
          <a:fillRect/>
        </a:stretch>
      </xdr:blipFill>
      <xdr:spPr>
        <a:xfrm>
          <a:off x="276226" y="2915835"/>
          <a:ext cx="1078229" cy="807540"/>
        </a:xfrm>
        <a:prstGeom prst="rect">
          <a:avLst/>
        </a:prstGeom>
      </xdr:spPr>
    </xdr:pic>
    <xdr:clientData/>
  </xdr:oneCellAnchor>
  <xdr:oneCellAnchor>
    <xdr:from>
      <xdr:col>8</xdr:col>
      <xdr:colOff>564665</xdr:colOff>
      <xdr:row>21</xdr:row>
      <xdr:rowOff>161925</xdr:rowOff>
    </xdr:from>
    <xdr:ext cx="1018315" cy="1000125"/>
    <xdr:pic>
      <xdr:nvPicPr>
        <xdr:cNvPr id="389" name="Image 26">
          <a:extLst>
            <a:ext uri="{FF2B5EF4-FFF2-40B4-BE49-F238E27FC236}">
              <a16:creationId xmlns:a16="http://schemas.microsoft.com/office/drawing/2014/main" id="{6EF610BF-D46C-48A0-9484-55975494600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6439665" y="2879725"/>
          <a:ext cx="1018315" cy="1000125"/>
        </a:xfrm>
        <a:prstGeom prst="rect">
          <a:avLst/>
        </a:prstGeom>
      </xdr:spPr>
    </xdr:pic>
    <xdr:clientData/>
  </xdr:oneCellAnchor>
  <xdr:twoCellAnchor editAs="oneCell">
    <xdr:from>
      <xdr:col>8</xdr:col>
      <xdr:colOff>9525</xdr:colOff>
      <xdr:row>25</xdr:row>
      <xdr:rowOff>276225</xdr:rowOff>
    </xdr:from>
    <xdr:to>
      <xdr:col>8</xdr:col>
      <xdr:colOff>2171700</xdr:colOff>
      <xdr:row>25</xdr:row>
      <xdr:rowOff>990600</xdr:rowOff>
    </xdr:to>
    <xdr:pic>
      <xdr:nvPicPr>
        <xdr:cNvPr id="390" name="Image 15" descr="Isa Électronique">
          <a:extLst>
            <a:ext uri="{FF2B5EF4-FFF2-40B4-BE49-F238E27FC236}">
              <a16:creationId xmlns:a16="http://schemas.microsoft.com/office/drawing/2014/main" id="{861D7F59-A47D-4424-A466-D33A5FE4752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5884525" y="8023225"/>
          <a:ext cx="2162175" cy="7143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10</xdr:col>
      <xdr:colOff>228600</xdr:colOff>
      <xdr:row>25</xdr:row>
      <xdr:rowOff>190500</xdr:rowOff>
    </xdr:from>
    <xdr:to>
      <xdr:col>10</xdr:col>
      <xdr:colOff>1428750</xdr:colOff>
      <xdr:row>25</xdr:row>
      <xdr:rowOff>1235800</xdr:rowOff>
    </xdr:to>
    <xdr:pic>
      <xdr:nvPicPr>
        <xdr:cNvPr id="391" name="Image 16" descr="https://cdn.productimages.abb.com/9IBA207807_720x540.jpg">
          <a:extLst>
            <a:ext uri="{FF2B5EF4-FFF2-40B4-BE49-F238E27FC236}">
              <a16:creationId xmlns:a16="http://schemas.microsoft.com/office/drawing/2014/main" id="{226E2368-3AF2-4584-9262-691BBF0CE55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9386550" y="7937500"/>
          <a:ext cx="1200150" cy="104394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</xdr:col>
      <xdr:colOff>85725</xdr:colOff>
      <xdr:row>25</xdr:row>
      <xdr:rowOff>19050</xdr:rowOff>
    </xdr:from>
    <xdr:to>
      <xdr:col>1</xdr:col>
      <xdr:colOff>1219200</xdr:colOff>
      <xdr:row>25</xdr:row>
      <xdr:rowOff>1238340</xdr:rowOff>
    </xdr:to>
    <xdr:pic>
      <xdr:nvPicPr>
        <xdr:cNvPr id="392" name="Image 17" descr="https://www.ricardovela.com/3129-thickbox_default/3hac-5393-2-battery-for-robots-abb-1500ah-216v-3hac5393-2.jpg">
          <a:extLst>
            <a:ext uri="{FF2B5EF4-FFF2-40B4-BE49-F238E27FC236}">
              <a16:creationId xmlns:a16="http://schemas.microsoft.com/office/drawing/2014/main" id="{F63D7123-E63C-4E8B-A837-15582BD1BC2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33375" y="7766050"/>
          <a:ext cx="1133475" cy="122110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9</xdr:col>
      <xdr:colOff>28575</xdr:colOff>
      <xdr:row>26</xdr:row>
      <xdr:rowOff>0</xdr:rowOff>
    </xdr:from>
    <xdr:to>
      <xdr:col>9</xdr:col>
      <xdr:colOff>933450</xdr:colOff>
      <xdr:row>26</xdr:row>
      <xdr:rowOff>247650</xdr:rowOff>
    </xdr:to>
    <xdr:pic>
      <xdr:nvPicPr>
        <xdr:cNvPr id="393" name="Image 13" descr="saft">
          <a:extLst>
            <a:ext uri="{FF2B5EF4-FFF2-40B4-BE49-F238E27FC236}">
              <a16:creationId xmlns:a16="http://schemas.microsoft.com/office/drawing/2014/main" id="{88526A90-6499-4332-8627-E9E0FF74786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8189575" y="9004300"/>
          <a:ext cx="904875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2114550</xdr:colOff>
      <xdr:row>26</xdr:row>
      <xdr:rowOff>47625</xdr:rowOff>
    </xdr:from>
    <xdr:to>
      <xdr:col>6</xdr:col>
      <xdr:colOff>3867150</xdr:colOff>
      <xdr:row>26</xdr:row>
      <xdr:rowOff>1235801</xdr:rowOff>
    </xdr:to>
    <xdr:pic>
      <xdr:nvPicPr>
        <xdr:cNvPr id="394" name="Image 23" descr="zoomed image">
          <a:extLst>
            <a:ext uri="{FF2B5EF4-FFF2-40B4-BE49-F238E27FC236}">
              <a16:creationId xmlns:a16="http://schemas.microsoft.com/office/drawing/2014/main" id="{482B9D53-D86F-4125-B5E6-3C0C8144060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201400" y="9051925"/>
          <a:ext cx="1752600" cy="118681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</xdr:col>
      <xdr:colOff>38100</xdr:colOff>
      <xdr:row>26</xdr:row>
      <xdr:rowOff>114300</xdr:rowOff>
    </xdr:from>
    <xdr:to>
      <xdr:col>1</xdr:col>
      <xdr:colOff>1276350</xdr:colOff>
      <xdr:row>26</xdr:row>
      <xdr:rowOff>1120140</xdr:rowOff>
    </xdr:to>
    <xdr:pic>
      <xdr:nvPicPr>
        <xdr:cNvPr id="395" name="Image 24" descr="zoomed image">
          <a:extLst>
            <a:ext uri="{FF2B5EF4-FFF2-40B4-BE49-F238E27FC236}">
              <a16:creationId xmlns:a16="http://schemas.microsoft.com/office/drawing/2014/main" id="{C42C198C-715A-4E26-8496-6EF16FC37FC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85750" y="9118600"/>
          <a:ext cx="1238250" cy="100584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9</xdr:col>
      <xdr:colOff>28575</xdr:colOff>
      <xdr:row>26</xdr:row>
      <xdr:rowOff>390525</xdr:rowOff>
    </xdr:from>
    <xdr:to>
      <xdr:col>9</xdr:col>
      <xdr:colOff>929640</xdr:colOff>
      <xdr:row>26</xdr:row>
      <xdr:rowOff>781050</xdr:rowOff>
    </xdr:to>
    <xdr:pic>
      <xdr:nvPicPr>
        <xdr:cNvPr id="396" name="Image 28" descr="Afficher l’image source">
          <a:extLst>
            <a:ext uri="{FF2B5EF4-FFF2-40B4-BE49-F238E27FC236}">
              <a16:creationId xmlns:a16="http://schemas.microsoft.com/office/drawing/2014/main" id="{AC59A446-04E4-4F0C-9AED-EDE1ACA8232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512" t="13573" r="1512" b="11569"/>
        <a:stretch>
          <a:fillRect/>
        </a:stretch>
      </xdr:blipFill>
      <xdr:spPr bwMode="auto">
        <a:xfrm>
          <a:off x="18189575" y="9394825"/>
          <a:ext cx="901065" cy="3905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9</xdr:col>
      <xdr:colOff>28575</xdr:colOff>
      <xdr:row>27</xdr:row>
      <xdr:rowOff>390525</xdr:rowOff>
    </xdr:from>
    <xdr:to>
      <xdr:col>9</xdr:col>
      <xdr:colOff>929640</xdr:colOff>
      <xdr:row>27</xdr:row>
      <xdr:rowOff>781050</xdr:rowOff>
    </xdr:to>
    <xdr:pic>
      <xdr:nvPicPr>
        <xdr:cNvPr id="397" name="Image 29" descr="Afficher l’image source">
          <a:extLst>
            <a:ext uri="{FF2B5EF4-FFF2-40B4-BE49-F238E27FC236}">
              <a16:creationId xmlns:a16="http://schemas.microsoft.com/office/drawing/2014/main" id="{829F7F82-7FBD-4F2D-B8CA-B3D85DC4913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512" t="13573" r="1512" b="11569"/>
        <a:stretch>
          <a:fillRect/>
        </a:stretch>
      </xdr:blipFill>
      <xdr:spPr bwMode="auto">
        <a:xfrm>
          <a:off x="18189575" y="10652125"/>
          <a:ext cx="901065" cy="3905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</xdr:col>
      <xdr:colOff>28575</xdr:colOff>
      <xdr:row>27</xdr:row>
      <xdr:rowOff>47625</xdr:rowOff>
    </xdr:from>
    <xdr:to>
      <xdr:col>1</xdr:col>
      <xdr:colOff>1257300</xdr:colOff>
      <xdr:row>27</xdr:row>
      <xdr:rowOff>1200241</xdr:rowOff>
    </xdr:to>
    <xdr:pic>
      <xdr:nvPicPr>
        <xdr:cNvPr id="398" name="Image 31" descr="https://5.imimg.com/data5/QS/MK/SF/ANDROID-40648375/product-jpeg-500x500.jpg">
          <a:extLst>
            <a:ext uri="{FF2B5EF4-FFF2-40B4-BE49-F238E27FC236}">
              <a16:creationId xmlns:a16="http://schemas.microsoft.com/office/drawing/2014/main" id="{15E526D0-FF7A-49C4-A17E-F2CF14B9E9A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76225" y="10309225"/>
          <a:ext cx="1228725" cy="115443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8</xdr:col>
      <xdr:colOff>9525</xdr:colOff>
      <xdr:row>26</xdr:row>
      <xdr:rowOff>0</xdr:rowOff>
    </xdr:from>
    <xdr:to>
      <xdr:col>8</xdr:col>
      <xdr:colOff>2171700</xdr:colOff>
      <xdr:row>26</xdr:row>
      <xdr:rowOff>706755</xdr:rowOff>
    </xdr:to>
    <xdr:pic>
      <xdr:nvPicPr>
        <xdr:cNvPr id="399" name="Image 34" descr="Isa Électronique">
          <a:extLst>
            <a:ext uri="{FF2B5EF4-FFF2-40B4-BE49-F238E27FC236}">
              <a16:creationId xmlns:a16="http://schemas.microsoft.com/office/drawing/2014/main" id="{D496D474-97E8-4F24-B18A-7150BFB5133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5884525" y="9004300"/>
          <a:ext cx="2162175" cy="70675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</xdr:col>
      <xdr:colOff>28576</xdr:colOff>
      <xdr:row>19</xdr:row>
      <xdr:rowOff>198035</xdr:rowOff>
    </xdr:from>
    <xdr:to>
      <xdr:col>1</xdr:col>
      <xdr:colOff>1104900</xdr:colOff>
      <xdr:row>19</xdr:row>
      <xdr:rowOff>1010201</xdr:rowOff>
    </xdr:to>
    <xdr:pic>
      <xdr:nvPicPr>
        <xdr:cNvPr id="400" name="Image 27">
          <a:extLst>
            <a:ext uri="{FF2B5EF4-FFF2-40B4-BE49-F238E27FC236}">
              <a16:creationId xmlns:a16="http://schemas.microsoft.com/office/drawing/2014/main" id="{25887D6F-956B-47CC-8EBC-182C016F442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/>
        <a:stretch>
          <a:fillRect/>
        </a:stretch>
      </xdr:blipFill>
      <xdr:spPr>
        <a:xfrm>
          <a:off x="276226" y="401235"/>
          <a:ext cx="1076324" cy="809445"/>
        </a:xfrm>
        <a:prstGeom prst="rect">
          <a:avLst/>
        </a:prstGeom>
      </xdr:spPr>
    </xdr:pic>
    <xdr:clientData/>
  </xdr:twoCellAnchor>
  <xdr:twoCellAnchor editAs="oneCell">
    <xdr:from>
      <xdr:col>8</xdr:col>
      <xdr:colOff>564665</xdr:colOff>
      <xdr:row>19</xdr:row>
      <xdr:rowOff>161925</xdr:rowOff>
    </xdr:from>
    <xdr:to>
      <xdr:col>8</xdr:col>
      <xdr:colOff>1581075</xdr:colOff>
      <xdr:row>19</xdr:row>
      <xdr:rowOff>1178923</xdr:rowOff>
    </xdr:to>
    <xdr:pic>
      <xdr:nvPicPr>
        <xdr:cNvPr id="401" name="Image 28">
          <a:extLst>
            <a:ext uri="{FF2B5EF4-FFF2-40B4-BE49-F238E27FC236}">
              <a16:creationId xmlns:a16="http://schemas.microsoft.com/office/drawing/2014/main" id="{6785C40F-FACD-4E86-A1EC-9F0E3625449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6439665" y="365125"/>
          <a:ext cx="1016410" cy="1002030"/>
        </a:xfrm>
        <a:prstGeom prst="rect">
          <a:avLst/>
        </a:prstGeom>
      </xdr:spPr>
    </xdr:pic>
    <xdr:clientData/>
  </xdr:twoCellAnchor>
  <xdr:twoCellAnchor editAs="oneCell">
    <xdr:from>
      <xdr:col>1</xdr:col>
      <xdr:colOff>86592</xdr:colOff>
      <xdr:row>23</xdr:row>
      <xdr:rowOff>294410</xdr:rowOff>
    </xdr:from>
    <xdr:to>
      <xdr:col>1</xdr:col>
      <xdr:colOff>1274274</xdr:colOff>
      <xdr:row>23</xdr:row>
      <xdr:rowOff>987138</xdr:rowOff>
    </xdr:to>
    <xdr:pic>
      <xdr:nvPicPr>
        <xdr:cNvPr id="402" name="Image 12" descr="https://cdn.productimages.abb.com/9IBA224532_720x540.jpg">
          <a:extLst>
            <a:ext uri="{FF2B5EF4-FFF2-40B4-BE49-F238E27FC236}">
              <a16:creationId xmlns:a16="http://schemas.microsoft.com/office/drawing/2014/main" id="{E7D98108-3A9C-4CBB-80B1-28EC21AE613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34242" y="5526810"/>
          <a:ext cx="1187682" cy="6927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oneCellAnchor>
    <xdr:from>
      <xdr:col>8</xdr:col>
      <xdr:colOff>564665</xdr:colOff>
      <xdr:row>20</xdr:row>
      <xdr:rowOff>161925</xdr:rowOff>
    </xdr:from>
    <xdr:ext cx="1018315" cy="1000125"/>
    <xdr:pic>
      <xdr:nvPicPr>
        <xdr:cNvPr id="404" name="Image 2">
          <a:extLst>
            <a:ext uri="{FF2B5EF4-FFF2-40B4-BE49-F238E27FC236}">
              <a16:creationId xmlns:a16="http://schemas.microsoft.com/office/drawing/2014/main" id="{DF22EBAA-8D1C-4C80-95D1-93AA7E64171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6439665" y="1622425"/>
          <a:ext cx="1018315" cy="1000125"/>
        </a:xfrm>
        <a:prstGeom prst="rect">
          <a:avLst/>
        </a:prstGeom>
      </xdr:spPr>
    </xdr:pic>
    <xdr:clientData/>
  </xdr:oneCellAnchor>
  <xdr:twoCellAnchor editAs="oneCell">
    <xdr:from>
      <xdr:col>1</xdr:col>
      <xdr:colOff>48949</xdr:colOff>
      <xdr:row>34</xdr:row>
      <xdr:rowOff>136340</xdr:rowOff>
    </xdr:from>
    <xdr:to>
      <xdr:col>2</xdr:col>
      <xdr:colOff>3462</xdr:colOff>
      <xdr:row>34</xdr:row>
      <xdr:rowOff>1198939</xdr:rowOff>
    </xdr:to>
    <xdr:pic>
      <xdr:nvPicPr>
        <xdr:cNvPr id="405" name="Image 3">
          <a:extLst>
            <a:ext uri="{FF2B5EF4-FFF2-40B4-BE49-F238E27FC236}">
              <a16:creationId xmlns:a16="http://schemas.microsoft.com/office/drawing/2014/main" id="{747BB08E-9CC6-4947-B4C6-C68C42899C4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9"/>
        <a:stretch>
          <a:fillRect/>
        </a:stretch>
      </xdr:blipFill>
      <xdr:spPr>
        <a:xfrm>
          <a:off x="296599" y="21142140"/>
          <a:ext cx="1300713" cy="1062599"/>
        </a:xfrm>
        <a:prstGeom prst="rect">
          <a:avLst/>
        </a:prstGeom>
      </xdr:spPr>
    </xdr:pic>
    <xdr:clientData/>
  </xdr:twoCellAnchor>
  <xdr:twoCellAnchor editAs="oneCell">
    <xdr:from>
      <xdr:col>1</xdr:col>
      <xdr:colOff>85889</xdr:colOff>
      <xdr:row>36</xdr:row>
      <xdr:rowOff>239659</xdr:rowOff>
    </xdr:from>
    <xdr:to>
      <xdr:col>1</xdr:col>
      <xdr:colOff>1275830</xdr:colOff>
      <xdr:row>36</xdr:row>
      <xdr:rowOff>1088052</xdr:rowOff>
    </xdr:to>
    <xdr:pic>
      <xdr:nvPicPr>
        <xdr:cNvPr id="406" name="Image 5">
          <a:extLst>
            <a:ext uri="{FF2B5EF4-FFF2-40B4-BE49-F238E27FC236}">
              <a16:creationId xmlns:a16="http://schemas.microsoft.com/office/drawing/2014/main" id="{C7B1C12B-C9D3-4249-A36A-BD4438E73E6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333539" y="24141059"/>
          <a:ext cx="1189941" cy="845672"/>
        </a:xfrm>
        <a:prstGeom prst="rect">
          <a:avLst/>
        </a:prstGeom>
      </xdr:spPr>
    </xdr:pic>
    <xdr:clientData/>
  </xdr:twoCellAnchor>
  <xdr:twoCellAnchor editAs="oneCell">
    <xdr:from>
      <xdr:col>1</xdr:col>
      <xdr:colOff>41921</xdr:colOff>
      <xdr:row>32</xdr:row>
      <xdr:rowOff>380993</xdr:rowOff>
    </xdr:from>
    <xdr:to>
      <xdr:col>1</xdr:col>
      <xdr:colOff>1277735</xdr:colOff>
      <xdr:row>32</xdr:row>
      <xdr:rowOff>1312373</xdr:rowOff>
    </xdr:to>
    <xdr:pic>
      <xdr:nvPicPr>
        <xdr:cNvPr id="407" name="Image 3">
          <a:extLst>
            <a:ext uri="{FF2B5EF4-FFF2-40B4-BE49-F238E27FC236}">
              <a16:creationId xmlns:a16="http://schemas.microsoft.com/office/drawing/2014/main" id="{FEDF7E93-AF40-4939-881D-F4C85D81E1E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/>
        <a:stretch>
          <a:fillRect/>
        </a:stretch>
      </xdr:blipFill>
      <xdr:spPr>
        <a:xfrm>
          <a:off x="289571" y="18224493"/>
          <a:ext cx="1235814" cy="931380"/>
        </a:xfrm>
        <a:prstGeom prst="rect">
          <a:avLst/>
        </a:prstGeom>
      </xdr:spPr>
    </xdr:pic>
    <xdr:clientData/>
  </xdr:twoCellAnchor>
  <xdr:twoCellAnchor editAs="oneCell">
    <xdr:from>
      <xdr:col>1</xdr:col>
      <xdr:colOff>34636</xdr:colOff>
      <xdr:row>28</xdr:row>
      <xdr:rowOff>483004</xdr:rowOff>
    </xdr:from>
    <xdr:to>
      <xdr:col>1</xdr:col>
      <xdr:colOff>1277735</xdr:colOff>
      <xdr:row>28</xdr:row>
      <xdr:rowOff>1432130</xdr:rowOff>
    </xdr:to>
    <xdr:pic>
      <xdr:nvPicPr>
        <xdr:cNvPr id="408" name="Image 6">
          <a:extLst>
            <a:ext uri="{FF2B5EF4-FFF2-40B4-BE49-F238E27FC236}">
              <a16:creationId xmlns:a16="http://schemas.microsoft.com/office/drawing/2014/main" id="{0E9C24E3-9D1A-4B55-B957-D22455F65A8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/>
        <a:stretch>
          <a:fillRect/>
        </a:stretch>
      </xdr:blipFill>
      <xdr:spPr>
        <a:xfrm>
          <a:off x="282286" y="12001904"/>
          <a:ext cx="1243099" cy="949126"/>
        </a:xfrm>
        <a:prstGeom prst="rect">
          <a:avLst/>
        </a:prstGeom>
      </xdr:spPr>
    </xdr:pic>
    <xdr:clientData/>
  </xdr:twoCellAnchor>
  <xdr:oneCellAnchor>
    <xdr:from>
      <xdr:col>1</xdr:col>
      <xdr:colOff>86590</xdr:colOff>
      <xdr:row>30</xdr:row>
      <xdr:rowOff>380992</xdr:rowOff>
    </xdr:from>
    <xdr:ext cx="1187335" cy="901283"/>
    <xdr:pic>
      <xdr:nvPicPr>
        <xdr:cNvPr id="409" name="Image 10">
          <a:extLst>
            <a:ext uri="{FF2B5EF4-FFF2-40B4-BE49-F238E27FC236}">
              <a16:creationId xmlns:a16="http://schemas.microsoft.com/office/drawing/2014/main" id="{BF7CBB36-9BBF-4097-A428-57556BDEE0E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/>
        <a:stretch>
          <a:fillRect/>
        </a:stretch>
      </xdr:blipFill>
      <xdr:spPr>
        <a:xfrm>
          <a:off x="334240" y="15062192"/>
          <a:ext cx="1187335" cy="901283"/>
        </a:xfrm>
        <a:prstGeom prst="rect">
          <a:avLst/>
        </a:prstGeom>
      </xdr:spPr>
    </xdr:pic>
    <xdr:clientData/>
  </xdr:oneCellAnchor>
  <xdr:oneCellAnchor>
    <xdr:from>
      <xdr:col>1</xdr:col>
      <xdr:colOff>86592</xdr:colOff>
      <xdr:row>24</xdr:row>
      <xdr:rowOff>294410</xdr:rowOff>
    </xdr:from>
    <xdr:ext cx="1185777" cy="694633"/>
    <xdr:pic>
      <xdr:nvPicPr>
        <xdr:cNvPr id="410" name="Image 12" descr="https://cdn.productimages.abb.com/9IBA224532_720x540.jpg">
          <a:extLst>
            <a:ext uri="{FF2B5EF4-FFF2-40B4-BE49-F238E27FC236}">
              <a16:creationId xmlns:a16="http://schemas.microsoft.com/office/drawing/2014/main" id="{CABACC70-8DE9-46DE-8524-3265A8446E8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34242" y="6784110"/>
          <a:ext cx="1185777" cy="69463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twoCellAnchor editAs="oneCell">
    <xdr:from>
      <xdr:col>8</xdr:col>
      <xdr:colOff>190501</xdr:colOff>
      <xdr:row>28</xdr:row>
      <xdr:rowOff>456073</xdr:rowOff>
    </xdr:from>
    <xdr:to>
      <xdr:col>8</xdr:col>
      <xdr:colOff>2130137</xdr:colOff>
      <xdr:row>28</xdr:row>
      <xdr:rowOff>1045188</xdr:rowOff>
    </xdr:to>
    <xdr:pic>
      <xdr:nvPicPr>
        <xdr:cNvPr id="411" name="Image 16">
          <a:extLst>
            <a:ext uri="{FF2B5EF4-FFF2-40B4-BE49-F238E27FC236}">
              <a16:creationId xmlns:a16="http://schemas.microsoft.com/office/drawing/2014/main" id="{03903564-A291-444D-90EF-E7536CDC847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16065501" y="11974973"/>
          <a:ext cx="1939636" cy="589115"/>
        </a:xfrm>
        <a:prstGeom prst="rect">
          <a:avLst/>
        </a:prstGeom>
      </xdr:spPr>
    </xdr:pic>
    <xdr:clientData/>
  </xdr:twoCellAnchor>
  <xdr:twoCellAnchor editAs="oneCell">
    <xdr:from>
      <xdr:col>8</xdr:col>
      <xdr:colOff>263582</xdr:colOff>
      <xdr:row>30</xdr:row>
      <xdr:rowOff>502227</xdr:rowOff>
    </xdr:from>
    <xdr:to>
      <xdr:col>9</xdr:col>
      <xdr:colOff>2943</xdr:colOff>
      <xdr:row>30</xdr:row>
      <xdr:rowOff>1089437</xdr:rowOff>
    </xdr:to>
    <xdr:pic>
      <xdr:nvPicPr>
        <xdr:cNvPr id="412" name="Image 23">
          <a:extLst>
            <a:ext uri="{FF2B5EF4-FFF2-40B4-BE49-F238E27FC236}">
              <a16:creationId xmlns:a16="http://schemas.microsoft.com/office/drawing/2014/main" id="{CE353FC1-334E-40DA-B5D2-0FB6205EA63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16138582" y="15183427"/>
          <a:ext cx="2025361" cy="587210"/>
        </a:xfrm>
        <a:prstGeom prst="rect">
          <a:avLst/>
        </a:prstGeom>
      </xdr:spPr>
    </xdr:pic>
    <xdr:clientData/>
  </xdr:twoCellAnchor>
  <xdr:twoCellAnchor editAs="oneCell">
    <xdr:from>
      <xdr:col>8</xdr:col>
      <xdr:colOff>211628</xdr:colOff>
      <xdr:row>32</xdr:row>
      <xdr:rowOff>519545</xdr:rowOff>
    </xdr:from>
    <xdr:to>
      <xdr:col>8</xdr:col>
      <xdr:colOff>2151264</xdr:colOff>
      <xdr:row>32</xdr:row>
      <xdr:rowOff>1104850</xdr:rowOff>
    </xdr:to>
    <xdr:pic>
      <xdr:nvPicPr>
        <xdr:cNvPr id="413" name="Image 25">
          <a:extLst>
            <a:ext uri="{FF2B5EF4-FFF2-40B4-BE49-F238E27FC236}">
              <a16:creationId xmlns:a16="http://schemas.microsoft.com/office/drawing/2014/main" id="{DE1F9268-2A7D-45A1-9577-04366BDA7C4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16086628" y="18363045"/>
          <a:ext cx="1939636" cy="585305"/>
        </a:xfrm>
        <a:prstGeom prst="rect">
          <a:avLst/>
        </a:prstGeom>
      </xdr:spPr>
    </xdr:pic>
    <xdr:clientData/>
  </xdr:twoCellAnchor>
  <xdr:twoCellAnchor editAs="oneCell">
    <xdr:from>
      <xdr:col>8</xdr:col>
      <xdr:colOff>153958</xdr:colOff>
      <xdr:row>36</xdr:row>
      <xdr:rowOff>506038</xdr:rowOff>
    </xdr:from>
    <xdr:to>
      <xdr:col>8</xdr:col>
      <xdr:colOff>2097404</xdr:colOff>
      <xdr:row>36</xdr:row>
      <xdr:rowOff>1090254</xdr:rowOff>
    </xdr:to>
    <xdr:pic>
      <xdr:nvPicPr>
        <xdr:cNvPr id="414" name="Image 29">
          <a:extLst>
            <a:ext uri="{FF2B5EF4-FFF2-40B4-BE49-F238E27FC236}">
              <a16:creationId xmlns:a16="http://schemas.microsoft.com/office/drawing/2014/main" id="{B034B688-41AD-4D22-B489-601F6487713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16028958" y="24407438"/>
          <a:ext cx="1943446" cy="581495"/>
        </a:xfrm>
        <a:prstGeom prst="rect">
          <a:avLst/>
        </a:prstGeom>
      </xdr:spPr>
    </xdr:pic>
    <xdr:clientData/>
  </xdr:twoCellAnchor>
  <xdr:twoCellAnchor editAs="oneCell">
    <xdr:from>
      <xdr:col>8</xdr:col>
      <xdr:colOff>294408</xdr:colOff>
      <xdr:row>35</xdr:row>
      <xdr:rowOff>329046</xdr:rowOff>
    </xdr:from>
    <xdr:to>
      <xdr:col>8</xdr:col>
      <xdr:colOff>1962980</xdr:colOff>
      <xdr:row>35</xdr:row>
      <xdr:rowOff>1045238</xdr:rowOff>
    </xdr:to>
    <xdr:pic>
      <xdr:nvPicPr>
        <xdr:cNvPr id="415" name="Image 31">
          <a:extLst>
            <a:ext uri="{FF2B5EF4-FFF2-40B4-BE49-F238E27FC236}">
              <a16:creationId xmlns:a16="http://schemas.microsoft.com/office/drawing/2014/main" id="{29641D66-110C-460E-9D6D-8352F2D017B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0"/>
        <a:stretch>
          <a:fillRect/>
        </a:stretch>
      </xdr:blipFill>
      <xdr:spPr>
        <a:xfrm>
          <a:off x="16169408" y="22782646"/>
          <a:ext cx="1668572" cy="716192"/>
        </a:xfrm>
        <a:prstGeom prst="rect">
          <a:avLst/>
        </a:prstGeom>
      </xdr:spPr>
    </xdr:pic>
    <xdr:clientData/>
  </xdr:twoCellAnchor>
  <xdr:twoCellAnchor editAs="oneCell">
    <xdr:from>
      <xdr:col>8</xdr:col>
      <xdr:colOff>311727</xdr:colOff>
      <xdr:row>31</xdr:row>
      <xdr:rowOff>398319</xdr:rowOff>
    </xdr:from>
    <xdr:to>
      <xdr:col>8</xdr:col>
      <xdr:colOff>1961249</xdr:colOff>
      <xdr:row>31</xdr:row>
      <xdr:rowOff>1106891</xdr:rowOff>
    </xdr:to>
    <xdr:pic>
      <xdr:nvPicPr>
        <xdr:cNvPr id="416" name="Image 34">
          <a:extLst>
            <a:ext uri="{FF2B5EF4-FFF2-40B4-BE49-F238E27FC236}">
              <a16:creationId xmlns:a16="http://schemas.microsoft.com/office/drawing/2014/main" id="{5D6036BA-FF37-4A98-9731-DDED243ED15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0"/>
        <a:stretch>
          <a:fillRect/>
        </a:stretch>
      </xdr:blipFill>
      <xdr:spPr>
        <a:xfrm>
          <a:off x="16186727" y="16660669"/>
          <a:ext cx="1649522" cy="708572"/>
        </a:xfrm>
        <a:prstGeom prst="rect">
          <a:avLst/>
        </a:prstGeom>
      </xdr:spPr>
    </xdr:pic>
    <xdr:clientData/>
  </xdr:twoCellAnchor>
  <xdr:twoCellAnchor editAs="oneCell">
    <xdr:from>
      <xdr:col>8</xdr:col>
      <xdr:colOff>277091</xdr:colOff>
      <xdr:row>33</xdr:row>
      <xdr:rowOff>519545</xdr:rowOff>
    </xdr:from>
    <xdr:to>
      <xdr:col>8</xdr:col>
      <xdr:colOff>1945663</xdr:colOff>
      <xdr:row>33</xdr:row>
      <xdr:rowOff>1241452</xdr:rowOff>
    </xdr:to>
    <xdr:pic>
      <xdr:nvPicPr>
        <xdr:cNvPr id="417" name="Image 37">
          <a:extLst>
            <a:ext uri="{FF2B5EF4-FFF2-40B4-BE49-F238E27FC236}">
              <a16:creationId xmlns:a16="http://schemas.microsoft.com/office/drawing/2014/main" id="{B0534451-36E3-4F95-B67D-AD999815E7E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0"/>
        <a:stretch>
          <a:fillRect/>
        </a:stretch>
      </xdr:blipFill>
      <xdr:spPr>
        <a:xfrm>
          <a:off x="16152091" y="19944195"/>
          <a:ext cx="1668572" cy="721907"/>
        </a:xfrm>
        <a:prstGeom prst="rect">
          <a:avLst/>
        </a:prstGeom>
      </xdr:spPr>
    </xdr:pic>
    <xdr:clientData/>
  </xdr:twoCellAnchor>
  <xdr:twoCellAnchor editAs="oneCell">
    <xdr:from>
      <xdr:col>1</xdr:col>
      <xdr:colOff>48949</xdr:colOff>
      <xdr:row>34</xdr:row>
      <xdr:rowOff>136340</xdr:rowOff>
    </xdr:from>
    <xdr:to>
      <xdr:col>1</xdr:col>
      <xdr:colOff>1273333</xdr:colOff>
      <xdr:row>34</xdr:row>
      <xdr:rowOff>1067720</xdr:rowOff>
    </xdr:to>
    <xdr:pic>
      <xdr:nvPicPr>
        <xdr:cNvPr id="418" name="Image 38">
          <a:extLst>
            <a:ext uri="{FF2B5EF4-FFF2-40B4-BE49-F238E27FC236}">
              <a16:creationId xmlns:a16="http://schemas.microsoft.com/office/drawing/2014/main" id="{6D4E65CE-1F45-4768-8367-51E4762B8F3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/>
        <a:stretch>
          <a:fillRect/>
        </a:stretch>
      </xdr:blipFill>
      <xdr:spPr>
        <a:xfrm>
          <a:off x="296599" y="21142140"/>
          <a:ext cx="1224384" cy="931380"/>
        </a:xfrm>
        <a:prstGeom prst="rect">
          <a:avLst/>
        </a:prstGeom>
      </xdr:spPr>
    </xdr:pic>
    <xdr:clientData/>
  </xdr:twoCellAnchor>
  <xdr:twoCellAnchor editAs="oneCell">
    <xdr:from>
      <xdr:col>8</xdr:col>
      <xdr:colOff>69273</xdr:colOff>
      <xdr:row>34</xdr:row>
      <xdr:rowOff>415636</xdr:rowOff>
    </xdr:from>
    <xdr:to>
      <xdr:col>8</xdr:col>
      <xdr:colOff>2018434</xdr:colOff>
      <xdr:row>34</xdr:row>
      <xdr:rowOff>1008561</xdr:rowOff>
    </xdr:to>
    <xdr:pic>
      <xdr:nvPicPr>
        <xdr:cNvPr id="419" name="Image 39">
          <a:extLst>
            <a:ext uri="{FF2B5EF4-FFF2-40B4-BE49-F238E27FC236}">
              <a16:creationId xmlns:a16="http://schemas.microsoft.com/office/drawing/2014/main" id="{343ED3D6-11C0-498E-A867-257CCAF3DFF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15944273" y="21421436"/>
          <a:ext cx="1949161" cy="592925"/>
        </a:xfrm>
        <a:prstGeom prst="rect">
          <a:avLst/>
        </a:prstGeom>
      </xdr:spPr>
    </xdr:pic>
    <xdr:clientData/>
  </xdr:twoCellAnchor>
  <xdr:oneCellAnchor>
    <xdr:from>
      <xdr:col>1</xdr:col>
      <xdr:colOff>34636</xdr:colOff>
      <xdr:row>29</xdr:row>
      <xdr:rowOff>483004</xdr:rowOff>
    </xdr:from>
    <xdr:ext cx="1239289" cy="949126"/>
    <xdr:pic>
      <xdr:nvPicPr>
        <xdr:cNvPr id="420" name="Image 40">
          <a:extLst>
            <a:ext uri="{FF2B5EF4-FFF2-40B4-BE49-F238E27FC236}">
              <a16:creationId xmlns:a16="http://schemas.microsoft.com/office/drawing/2014/main" id="{53E374BF-5646-4299-88EA-C6B17233EB1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/>
        <a:stretch>
          <a:fillRect/>
        </a:stretch>
      </xdr:blipFill>
      <xdr:spPr>
        <a:xfrm>
          <a:off x="282286" y="13583054"/>
          <a:ext cx="1239289" cy="949126"/>
        </a:xfrm>
        <a:prstGeom prst="rect">
          <a:avLst/>
        </a:prstGeom>
      </xdr:spPr>
    </xdr:pic>
    <xdr:clientData/>
  </xdr:oneCellAnchor>
  <xdr:oneCellAnchor>
    <xdr:from>
      <xdr:col>8</xdr:col>
      <xdr:colOff>190501</xdr:colOff>
      <xdr:row>29</xdr:row>
      <xdr:rowOff>456073</xdr:rowOff>
    </xdr:from>
    <xdr:ext cx="1939636" cy="592925"/>
    <xdr:pic>
      <xdr:nvPicPr>
        <xdr:cNvPr id="421" name="Image 41">
          <a:extLst>
            <a:ext uri="{FF2B5EF4-FFF2-40B4-BE49-F238E27FC236}">
              <a16:creationId xmlns:a16="http://schemas.microsoft.com/office/drawing/2014/main" id="{78406CC2-6DBD-472B-8826-AE626907EBF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16065501" y="13556123"/>
          <a:ext cx="1939636" cy="592925"/>
        </a:xfrm>
        <a:prstGeom prst="rect">
          <a:avLst/>
        </a:prstGeom>
      </xdr:spPr>
    </xdr:pic>
    <xdr:clientData/>
  </xdr:oneCellAnchor>
  <xdr:twoCellAnchor editAs="oneCell">
    <xdr:from>
      <xdr:col>1</xdr:col>
      <xdr:colOff>27492</xdr:colOff>
      <xdr:row>33</xdr:row>
      <xdr:rowOff>105266</xdr:rowOff>
    </xdr:from>
    <xdr:to>
      <xdr:col>2</xdr:col>
      <xdr:colOff>3464</xdr:colOff>
      <xdr:row>33</xdr:row>
      <xdr:rowOff>1312199</xdr:rowOff>
    </xdr:to>
    <xdr:pic>
      <xdr:nvPicPr>
        <xdr:cNvPr id="422" name="Image 42">
          <a:extLst>
            <a:ext uri="{FF2B5EF4-FFF2-40B4-BE49-F238E27FC236}">
              <a16:creationId xmlns:a16="http://schemas.microsoft.com/office/drawing/2014/main" id="{AF0A120B-5CF1-4D62-A3DD-EA7B9B10E8C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"/>
        <a:stretch>
          <a:fillRect/>
        </a:stretch>
      </xdr:blipFill>
      <xdr:spPr>
        <a:xfrm>
          <a:off x="275142" y="19529916"/>
          <a:ext cx="1322172" cy="1206933"/>
        </a:xfrm>
        <a:prstGeom prst="rect">
          <a:avLst/>
        </a:prstGeom>
      </xdr:spPr>
    </xdr:pic>
    <xdr:clientData/>
  </xdr:twoCellAnchor>
  <xdr:twoCellAnchor editAs="oneCell">
    <xdr:from>
      <xdr:col>1</xdr:col>
      <xdr:colOff>142701</xdr:colOff>
      <xdr:row>31</xdr:row>
      <xdr:rowOff>272969</xdr:rowOff>
    </xdr:from>
    <xdr:to>
      <xdr:col>1</xdr:col>
      <xdr:colOff>1277562</xdr:colOff>
      <xdr:row>31</xdr:row>
      <xdr:rowOff>1332591</xdr:rowOff>
    </xdr:to>
    <xdr:pic>
      <xdr:nvPicPr>
        <xdr:cNvPr id="423" name="Image 43">
          <a:extLst>
            <a:ext uri="{FF2B5EF4-FFF2-40B4-BE49-F238E27FC236}">
              <a16:creationId xmlns:a16="http://schemas.microsoft.com/office/drawing/2014/main" id="{6C784C09-2E74-4E9E-BD0C-0CA83E08EF4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"/>
        <a:stretch>
          <a:fillRect/>
        </a:stretch>
      </xdr:blipFill>
      <xdr:spPr>
        <a:xfrm>
          <a:off x="390351" y="16535319"/>
          <a:ext cx="1134861" cy="1059622"/>
        </a:xfrm>
        <a:prstGeom prst="rect">
          <a:avLst/>
        </a:prstGeom>
      </xdr:spPr>
    </xdr:pic>
    <xdr:clientData/>
  </xdr:twoCellAnchor>
  <xdr:twoCellAnchor editAs="oneCell">
    <xdr:from>
      <xdr:col>1</xdr:col>
      <xdr:colOff>57668</xdr:colOff>
      <xdr:row>35</xdr:row>
      <xdr:rowOff>303304</xdr:rowOff>
    </xdr:from>
    <xdr:to>
      <xdr:col>2</xdr:col>
      <xdr:colOff>0</xdr:colOff>
      <xdr:row>35</xdr:row>
      <xdr:rowOff>1273452</xdr:rowOff>
    </xdr:to>
    <xdr:pic>
      <xdr:nvPicPr>
        <xdr:cNvPr id="424" name="Image 44">
          <a:extLst>
            <a:ext uri="{FF2B5EF4-FFF2-40B4-BE49-F238E27FC236}">
              <a16:creationId xmlns:a16="http://schemas.microsoft.com/office/drawing/2014/main" id="{1BA1A3A6-46A2-4489-921D-2DA965930A8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2"/>
        <a:stretch>
          <a:fillRect/>
        </a:stretch>
      </xdr:blipFill>
      <xdr:spPr>
        <a:xfrm>
          <a:off x="305318" y="22756904"/>
          <a:ext cx="1288532" cy="970148"/>
        </a:xfrm>
        <a:prstGeom prst="rect">
          <a:avLst/>
        </a:prstGeom>
      </xdr:spPr>
    </xdr:pic>
    <xdr:clientData/>
  </xdr:twoCellAnchor>
  <xdr:oneCellAnchor>
    <xdr:from>
      <xdr:col>1</xdr:col>
      <xdr:colOff>73084</xdr:colOff>
      <xdr:row>37</xdr:row>
      <xdr:rowOff>375048</xdr:rowOff>
    </xdr:from>
    <xdr:ext cx="1173826" cy="957910"/>
    <xdr:pic>
      <xdr:nvPicPr>
        <xdr:cNvPr id="425" name="Image 11">
          <a:extLst>
            <a:ext uri="{FF2B5EF4-FFF2-40B4-BE49-F238E27FC236}">
              <a16:creationId xmlns:a16="http://schemas.microsoft.com/office/drawing/2014/main" id="{B66FA56A-5057-48AF-BCE5-70BA3C34CA2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/>
        <a:stretch>
          <a:fillRect/>
        </a:stretch>
      </xdr:blipFill>
      <xdr:spPr>
        <a:xfrm>
          <a:off x="320734" y="25724248"/>
          <a:ext cx="1173826" cy="957910"/>
        </a:xfrm>
        <a:prstGeom prst="rect">
          <a:avLst/>
        </a:prstGeom>
      </xdr:spPr>
    </xdr:pic>
    <xdr:clientData/>
  </xdr:oneCellAnchor>
  <xdr:oneCellAnchor>
    <xdr:from>
      <xdr:col>8</xdr:col>
      <xdr:colOff>153958</xdr:colOff>
      <xdr:row>37</xdr:row>
      <xdr:rowOff>0</xdr:rowOff>
    </xdr:from>
    <xdr:ext cx="1943446" cy="579590"/>
    <xdr:pic>
      <xdr:nvPicPr>
        <xdr:cNvPr id="426" name="Image 30">
          <a:extLst>
            <a:ext uri="{FF2B5EF4-FFF2-40B4-BE49-F238E27FC236}">
              <a16:creationId xmlns:a16="http://schemas.microsoft.com/office/drawing/2014/main" id="{3C1363EE-860B-4F80-A484-DDA179E15C1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16028958" y="25349200"/>
          <a:ext cx="1943446" cy="579590"/>
        </a:xfrm>
        <a:prstGeom prst="rect">
          <a:avLst/>
        </a:prstGeom>
      </xdr:spPr>
    </xdr:pic>
    <xdr:clientData/>
  </xdr:oneCellAnchor>
  <xdr:oneCellAnchor>
    <xdr:from>
      <xdr:col>8</xdr:col>
      <xdr:colOff>564665</xdr:colOff>
      <xdr:row>22</xdr:row>
      <xdr:rowOff>161925</xdr:rowOff>
    </xdr:from>
    <xdr:ext cx="1018315" cy="1000125"/>
    <xdr:pic>
      <xdr:nvPicPr>
        <xdr:cNvPr id="428" name="Image 14">
          <a:extLst>
            <a:ext uri="{FF2B5EF4-FFF2-40B4-BE49-F238E27FC236}">
              <a16:creationId xmlns:a16="http://schemas.microsoft.com/office/drawing/2014/main" id="{D98470E8-DE52-4DEA-B7F8-1731FC2CBF6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6439665" y="4137025"/>
          <a:ext cx="1018315" cy="1000125"/>
        </a:xfrm>
        <a:prstGeom prst="rect">
          <a:avLst/>
        </a:prstGeom>
      </xdr:spPr>
    </xdr:pic>
    <xdr:clientData/>
  </xdr:oneCellAnchor>
  <xdr:oneCellAnchor>
    <xdr:from>
      <xdr:col>1</xdr:col>
      <xdr:colOff>28576</xdr:colOff>
      <xdr:row>21</xdr:row>
      <xdr:rowOff>198035</xdr:rowOff>
    </xdr:from>
    <xdr:ext cx="1078229" cy="807540"/>
    <xdr:pic>
      <xdr:nvPicPr>
        <xdr:cNvPr id="429" name="Image 22">
          <a:extLst>
            <a:ext uri="{FF2B5EF4-FFF2-40B4-BE49-F238E27FC236}">
              <a16:creationId xmlns:a16="http://schemas.microsoft.com/office/drawing/2014/main" id="{BC5975F0-CDA5-4B1F-971A-06663567C1F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/>
        <a:stretch>
          <a:fillRect/>
        </a:stretch>
      </xdr:blipFill>
      <xdr:spPr>
        <a:xfrm>
          <a:off x="276226" y="2915835"/>
          <a:ext cx="1078229" cy="807540"/>
        </a:xfrm>
        <a:prstGeom prst="rect">
          <a:avLst/>
        </a:prstGeom>
      </xdr:spPr>
    </xdr:pic>
    <xdr:clientData/>
  </xdr:oneCellAnchor>
  <xdr:oneCellAnchor>
    <xdr:from>
      <xdr:col>8</xdr:col>
      <xdr:colOff>564665</xdr:colOff>
      <xdr:row>21</xdr:row>
      <xdr:rowOff>161925</xdr:rowOff>
    </xdr:from>
    <xdr:ext cx="1018315" cy="1000125"/>
    <xdr:pic>
      <xdr:nvPicPr>
        <xdr:cNvPr id="430" name="Image 26">
          <a:extLst>
            <a:ext uri="{FF2B5EF4-FFF2-40B4-BE49-F238E27FC236}">
              <a16:creationId xmlns:a16="http://schemas.microsoft.com/office/drawing/2014/main" id="{44D40C52-7033-4A5B-BA49-18FEBCB46DD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6439665" y="2879725"/>
          <a:ext cx="1018315" cy="1000125"/>
        </a:xfrm>
        <a:prstGeom prst="rect">
          <a:avLst/>
        </a:prstGeom>
      </xdr:spPr>
    </xdr:pic>
    <xdr:clientData/>
  </xdr:oneCellAnchor>
  <xdr:twoCellAnchor editAs="oneCell">
    <xdr:from>
      <xdr:col>1</xdr:col>
      <xdr:colOff>54429</xdr:colOff>
      <xdr:row>20</xdr:row>
      <xdr:rowOff>127000</xdr:rowOff>
    </xdr:from>
    <xdr:to>
      <xdr:col>1</xdr:col>
      <xdr:colOff>1140278</xdr:colOff>
      <xdr:row>20</xdr:row>
      <xdr:rowOff>948691</xdr:rowOff>
    </xdr:to>
    <xdr:pic>
      <xdr:nvPicPr>
        <xdr:cNvPr id="431" name="Image 27">
          <a:extLst>
            <a:ext uri="{FF2B5EF4-FFF2-40B4-BE49-F238E27FC236}">
              <a16:creationId xmlns:a16="http://schemas.microsoft.com/office/drawing/2014/main" id="{938F843B-295B-4E5B-8CD8-21B5A0BEA30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/>
        <a:stretch>
          <a:fillRect/>
        </a:stretch>
      </xdr:blipFill>
      <xdr:spPr>
        <a:xfrm>
          <a:off x="299358" y="21726071"/>
          <a:ext cx="1076324" cy="812166"/>
        </a:xfrm>
        <a:prstGeom prst="rect">
          <a:avLst/>
        </a:prstGeom>
      </xdr:spPr>
    </xdr:pic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37E65933-ADDC-43FF-8201-97C8E0D7D7AF}" name="Tabla2" displayName="Tabla2" ref="B4:Q16" totalsRowCount="1">
  <autoFilter ref="B4:Q15" xr:uid="{37E65933-ADDC-43FF-8201-97C8E0D7D7AF}"/>
  <tableColumns count="16">
    <tableColumn id="1" xr3:uid="{7BD972E5-90A0-4AE5-8BFA-DDCB73C42FE0}" name="ZTUKK1A13ZBO" dataDxfId="42"/>
    <tableColumn id="2" xr3:uid="{1B3E2727-CB24-4DD8-84A9-D437C2B89D51}" name="Tipo Mantenimiento"/>
    <tableColumn id="3" xr3:uid="{F712430C-D8C5-4E10-97EC-1BB70F5E1B8A}" name="QTY" totalsRowFunction="sum" dataDxfId="41" totalsRowDxfId="40"/>
    <tableColumn id="9" xr3:uid="{2058FE3B-A7E4-48FD-8190-5ACA023AAA5C}" name="Clonar SSD (X)" dataDxfId="39" totalsRowDxfId="38"/>
    <tableColumn id="14" xr3:uid="{2CDC0B7E-7B70-4CD9-8A61-D7A413E973BF}" name="Baterias (X)" dataDxfId="37" totalsRowDxfId="36"/>
    <tableColumn id="4" xr3:uid="{F97864DA-CC57-467F-A113-A1548CCE6AA9}" name="Horas" dataDxfId="35" totalsRowDxfId="34">
      <calculatedColumnFormula>IF(Tabla2[[#This Row],[ZTUKK1A13ZBO]]="","",VLOOKUP(Tabla2[[#This Row],[ZTUKK1A13ZBO]],'Datos Robots'!$B$4:$W$136,IF(Tabla2[[#This Row],[Tipo Mantenimiento]]="Nivel 1",3,IF(Tabla2[[#This Row],[Tipo Mantenimiento]]="Nivel 2 Inferior",7,IF(Tabla2[[#This Row],[Tipo Mantenimiento]]="Nivel 2 Superior",7,IF(Tabla2[[#This Row],[Tipo Mantenimiento]]="Nivel 3",17)))),FALSE)+IF(OR(Tabla2[[#This Row],[Baterias (X)]]="x",Tabla2[[#This Row],[Baterias (X)]]="X"),1,0)++IF(OR(Tabla2[[#This Row],[Clonar SSD (X)]]="x",Tabla2[[#This Row],[Clonar SSD (X)]]="X"),0.5,0))</calculatedColumnFormula>
    </tableColumn>
    <tableColumn id="5" xr3:uid="{E8183477-6447-4211-9559-23497D35F943}" name="TOTAL HORAS" totalsRowFunction="sum" dataDxfId="33" totalsRowDxfId="32">
      <calculatedColumnFormula>IF(OR(Tabla2[[#This Row],[QTY]]="",Tabla2[[#This Row],[Horas]]=""),"",Tabla2[[#This Row],[QTY]]*Tabla2[[#This Row],[Horas]])</calculatedColumnFormula>
    </tableColumn>
    <tableColumn id="18" xr3:uid="{1FAEFD59-DBD7-47CB-BF81-B55A8E404EBD}" name="SUBTOTAL UD." dataDxfId="31" totalsRowDxfId="30" dataCellStyle="Moneda">
      <calculatedColumnFormula>IF(Tabla2[[#This Row],[Horas]]="",0,Tabla2[[#This Row],[Horas]]*$C$23)</calculatedColumnFormula>
    </tableColumn>
    <tableColumn id="10" xr3:uid="{19E37B2F-D748-4B6F-B2CE-07150505CBED}" name="PRECIO UD. + RED" totalsRowFunction="sum" dataDxfId="29" totalsRowDxfId="28">
      <calculatedColumnFormula>IF(Tabla2[[#This Row],[Horas]]="",0,Tabla2[[#This Row],[SUBTOTAL UD.]]+((Tabla2[[#This Row],[Horas]]*((($C$56-$E$57)*$C$35)/Tabla2[[#Totals],[TOTAL HORAS]])))*$C$23)</calculatedColumnFormula>
    </tableColumn>
    <tableColumn id="11" xr3:uid="{849928C7-DD8D-459D-9A29-301E570F0944}" name="CONSUMIBLES UD." dataDxfId="27" totalsRowDxfId="26">
      <calculatedColumnFormula>IF(Tabla2[[#This Row],[ZTUKK1A13ZBO]]="",0,IF($C$33="",0,VLOOKUP(Tabla2[[#This Row],[ZTUKK1A13ZBO]],'Datos Robots'!$B$4:$W$136,IF(Tabla2[[#This Row],[Tipo Mantenimiento]]="Nivel 1",5,IF(Tabla2[[#This Row],[Tipo Mantenimiento]]="Nivel 2 Inferior",11,IF(Tabla2[[#This Row],[Tipo Mantenimiento]]="Nivel 2 Superior",11,IF(Tabla2[[#This Row],[Tipo Mantenimiento]]="Nivel 3",21)))),FALSE)+IF(OR(Tabla2[[#This Row],[Baterias (X)]]="x",Tabla2[[#This Row],[Baterias (X)]]="X"),75,0)+IF(OR(Tabla2[[#This Row],[Clonar SSD (X)]]="x",Tabla2[[#This Row],[Clonar SSD (X)]]="X"),150,0)))</calculatedColumnFormula>
    </tableColumn>
    <tableColumn id="12" xr3:uid="{9DBCFAF1-C9BB-4210-AC57-C9D6F5711B0B}" name="TOTAL UD." dataDxfId="25" totalsRowDxfId="24">
      <calculatedColumnFormula>IF(OR(Tabla2[[#This Row],[PRECIO UD. + RED]]="",Tabla2[[#This Row],[CONSUMIBLES UD.]]=""),0,Tabla2[[#This Row],[PRECIO UD. + RED]]+Tabla2[[#This Row],[CONSUMIBLES UD.]])</calculatedColumnFormula>
    </tableColumn>
    <tableColumn id="17" xr3:uid="{F360072E-F5E3-4A44-BF7E-C672EC7F3E69}" name="TOTAL UD. EXTRAS" totalsRowFunction="sum" dataDxfId="23" totalsRowDxfId="22">
      <calculatedColumnFormula>IF(Tabla2[[#This Row],[Horas]]&lt;&gt;"",Tabla2[[#This Row],[TOTAL UD.]]+(Tabla2[[#This Row],[Horas]]*(($G$49*$C$23)/Tabla2[[#Totals],[TOTAL HORAS]])),0)</calculatedColumnFormula>
    </tableColumn>
    <tableColumn id="6" xr3:uid="{05D6277E-EDFF-4693-B370-ABAE12F776C9}" name="TOTAL TRABAJO" totalsRowFunction="sum" dataDxfId="21" totalsRowDxfId="20">
      <calculatedColumnFormula>IF(Tabla2[[#This Row],[TOTAL HORAS]]="",0,(Tabla2[[#This Row],[TOTAL UD. EXTRAS]]*Tabla2[[#This Row],[QTY]]))</calculatedColumnFormula>
    </tableColumn>
    <tableColumn id="13" xr3:uid="{65325AC5-FF56-4AA3-B4C5-E8383B035A6F}" name="TOTAL CONSUMIBLES" totalsRowFunction="sum" dataDxfId="19" totalsRowDxfId="18" dataCellStyle="Moneda">
      <calculatedColumnFormula>IF(Tabla2[[#This Row],[QTY]]="",0,Tabla2[[#This Row],[QTY]]*Tabla2[[#This Row],[CONSUMIBLES UD.]])</calculatedColumnFormula>
    </tableColumn>
    <tableColumn id="7" xr3:uid="{B5E00F03-1E48-4A1B-B820-D8466DD1AA7D}" name=" ACEITE" dataDxfId="17">
      <calculatedColumnFormula>IF(Tabla2[[#This Row],[ZTUKK1A13ZBO]]="","",VLOOKUP(Tabla2[[#This Row],[ZTUKK1A13ZBO]],'Datos Robots'!$B$4:$W$136,2,FALSE))</calculatedColumnFormula>
    </tableColumn>
    <tableColumn id="8" xr3:uid="{C53731C3-0BB6-42BD-9E99-B55C64D8D41C}" name="Columna1" dataDxfId="16">
      <calculatedColumnFormula>IF(Tabla2[[#This Row],[Tipo Mantenimiento]]="Nivel 1",1,IF(Tabla2[[#This Row],[Tipo Mantenimiento]]="Nivel 2 Inferior",2,IF(Tabla2[[#This Row],[Tipo Mantenimiento]]="Nivel 2 Superior",3,IF(Tabla2[[#This Row],[Tipo Mantenimiento]]="Nivel 3",4,""))))</calculatedColumnFormula>
    </tableColumn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541B7B5A-8566-4DA0-90D1-EC13FFDAE374}" name="Tabla3" displayName="Tabla3" ref="B19:G20" totalsRowShown="0">
  <autoFilter ref="B19:G20" xr:uid="{541B7B5A-8566-4DA0-90D1-EC13FFDAE374}"/>
  <tableColumns count="6">
    <tableColumn id="1" xr3:uid="{8045E96C-6182-4AED-9647-F5CDADA83D71}" name="Cliente" dataDxfId="15"/>
    <tableColumn id="2" xr3:uid="{A9EF7C49-6C8A-4676-A0B9-597AE6CB7EAE}" name="Destino">
      <calculatedColumnFormula>IF(B20="","",VLOOKUP(B20,Tabla1[],2,FALSE))</calculatedColumnFormula>
    </tableColumn>
    <tableColumn id="3" xr3:uid="{D32EE258-2151-49DA-97EC-41C4302258B1}" name="HORAS TOTAL">
      <calculatedColumnFormula>IF(B20="","",VLOOKUP(B20,Tabla1[],3,FALSE))*(2*C32)*C31</calculatedColumnFormula>
    </tableColumn>
    <tableColumn id="4" xr3:uid="{3371CF57-CB51-47C8-AEE1-EA50B07E9320}" name="DIAS VIAJE">
      <calculatedColumnFormula>IF(B20="","",VLOOKUP(B20,Tabla1[],4,FALSE)*(2*C32))</calculatedColumnFormula>
    </tableColumn>
    <tableColumn id="5" xr3:uid="{E3C62735-804B-4753-922F-351B707A6C7C}" name="PEAJES">
      <calculatedColumnFormula>IF(B20="","",VLOOKUP(B20,Tabla1[],6,FALSE)*(2*C32))</calculatedColumnFormula>
    </tableColumn>
    <tableColumn id="6" xr3:uid="{915A9663-1584-4DC4-82CB-1EF62C45DE00}" name="TOTAL">
      <calculatedColumnFormula>D20*D23</calculatedColumnFormula>
    </tableColumn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2320A18D-C01A-4DF1-A6EB-F7847C3E43E2}" name="Tabla4" displayName="Tabla4" ref="S4:AD14" totalsRowShown="0" headerRowDxfId="14" tableBorderDxfId="13">
  <autoFilter ref="S4:AD14" xr:uid="{2320A18D-C01A-4DF1-A6EB-F7847C3E43E2}"/>
  <tableColumns count="12">
    <tableColumn id="1" xr3:uid="{1B39CB79-9B57-4B9C-AE32-7E5EEFB71359}" name="Type" dataDxfId="12">
      <calculatedColumnFormula>IF(OR(Tabla2[[#This Row],[Columna1]]=2,Tabla2[[#This Row],[Columna1]]=4),IF(Tabla2[[#This Row],[ ACEITE]]="","",VLOOKUP(Tabla2[[#This Row],[ ACEITE]],'Datos Aceites'!$A$5:$AJ$96,4,FALSE)),"")</calculatedColumnFormula>
    </tableColumn>
    <tableColumn id="2" xr3:uid="{65215C19-AF38-4005-92FB-8438D9DAE1DA}" name="Vol." dataDxfId="11">
      <calculatedColumnFormula>IF(OR(Tabla2[[#This Row],[Columna1]]=2,Tabla2[[#This Row],[Columna1]]=4),IF(Tabla2[[#This Row],[ ACEITE]]="","",VLOOKUP(Tabla2[[#This Row],[ ACEITE]],'Datos Aceites'!$A$5:$AJ$96,3,FALSE))*Tabla2[[#This Row],[QTY]],"")</calculatedColumnFormula>
    </tableColumn>
    <tableColumn id="3" xr3:uid="{F3156B00-D546-42D3-95CC-CF239FA6DB40}" name="Type2" dataDxfId="10">
      <calculatedColumnFormula>IF(OR(Tabla2[[#This Row],[Columna1]]=2,Tabla2[[#This Row],[Columna1]]=4),IF(Tabla2[[#This Row],[ ACEITE]]="","",VLOOKUP(Tabla2[[#This Row],[ ACEITE]],'Datos Aceites'!$A$5:$AJ$96,4,FALSE)),"")</calculatedColumnFormula>
    </tableColumn>
    <tableColumn id="4" xr3:uid="{0D6992EC-1E7C-4B54-8685-7D32DC074EF0}" name="Vol.3" dataDxfId="9">
      <calculatedColumnFormula>IF(OR(Tabla2[[#This Row],[Columna1]]=2,Tabla2[[#This Row],[Columna1]]=4),IF(Tabla2[[#This Row],[ ACEITE]]="","",VLOOKUP(Tabla2[[#This Row],[ ACEITE]],'Datos Aceites'!$A$5:$AJ$96,5,FALSE))*Tabla2[[#This Row],[QTY]],"")</calculatedColumnFormula>
    </tableColumn>
    <tableColumn id="5" xr3:uid="{7939D8BB-49BF-4B98-8DB1-AB86EF85556F}" name="Type4" dataDxfId="8">
      <calculatedColumnFormula>IF(OR(Tabla2[[#This Row],[Columna1]]=2,Tabla2[[#This Row],[Columna1]]=4),IF(Tabla2[[#This Row],[ ACEITE]]="","",VLOOKUP(Tabla2[[#This Row],[ ACEITE]],'Datos Aceites'!$A$5:$AJ$96,6,FALSE)),"")</calculatedColumnFormula>
    </tableColumn>
    <tableColumn id="6" xr3:uid="{02C9CBE8-56E1-485C-9EEB-15C016C2C5D6}" name="Vol.5" dataDxfId="7">
      <calculatedColumnFormula>IF(OR(Tabla2[[#This Row],[Columna1]]=2,Tabla2[[#This Row],[Columna1]]=4),IF(Tabla2[[#This Row],[ ACEITE]]="","",VLOOKUP(Tabla2[[#This Row],[ ACEITE]],'Datos Aceites'!$A$5:$AJ$96,7,FALSE))*Tabla2[[#This Row],[QTY]],"")</calculatedColumnFormula>
    </tableColumn>
    <tableColumn id="7" xr3:uid="{B53C0423-62FD-4479-A824-29FF806B375D}" name="Type6" dataDxfId="6">
      <calculatedColumnFormula>IF(OR(Tabla2[[#This Row],[Columna1]]=3,Tabla2[[#This Row],[Columna1]]=4,Tabla2[[#This Row],[Columna1]]=2),IF(Tabla2[[#This Row],[ ACEITE]]="","",VLOOKUP(Tabla2[[#This Row],[ ACEITE]],'Datos Aceites'!$A$5:$AJ$96,8,FALSE)),"")</calculatedColumnFormula>
    </tableColumn>
    <tableColumn id="8" xr3:uid="{CC5C7BB0-60C2-4B32-AEED-9356BEF599EA}" name="Vol.7" dataDxfId="5">
      <calculatedColumnFormula>IF(OR(Tabla2[[#This Row],[Columna1]]=3,Tabla2[[#This Row],[Columna1]]=4,Tabla2[[#This Row],[Columna1]]=2),IF(Tabla2[[#This Row],[ ACEITE]]="","",VLOOKUP(Tabla2[[#This Row],[ ACEITE]],'Datos Aceites'!$A$5:$AJ$96,9,FALSE))*Tabla2[[#This Row],[QTY]],"")</calculatedColumnFormula>
    </tableColumn>
    <tableColumn id="9" xr3:uid="{63AF49D4-7291-4414-8274-75B71D34F4E3}" name="Type8" dataDxfId="4">
      <calculatedColumnFormula>IF(OR(Tabla2[[#This Row],[Columna1]]=3,Tabla2[[#This Row],[Columna1]]=4),IF(Tabla2[[#This Row],[ ACEITE]]="","",VLOOKUP(Tabla2[[#This Row],[ ACEITE]],'Datos Aceites'!$A$5:$AJ$96,10,FALSE)),"")</calculatedColumnFormula>
    </tableColumn>
    <tableColumn id="10" xr3:uid="{51C8C204-819B-47A9-8C29-AAECDB411C31}" name="Vol.9" dataDxfId="3">
      <calculatedColumnFormula>IF(OR(Tabla2[[#This Row],[Columna1]]=3,Tabla2[[#This Row],[Columna1]]=4),IF(Tabla2[[#This Row],[ ACEITE]]="","",VLOOKUP(Tabla2[[#This Row],[ ACEITE]],'Datos Aceites'!$A$5:$AJ$96,11,FALSE))*Tabla2[[#This Row],[QTY]],"")</calculatedColumnFormula>
    </tableColumn>
    <tableColumn id="11" xr3:uid="{466B5E8E-C573-454F-8F8B-8F542B88A937}" name="Type10" dataDxfId="2">
      <calculatedColumnFormula>IF(OR(Tabla2[[#This Row],[Columna1]]=3,Tabla2[[#This Row],[Columna1]]=4),IF(Tabla2[[#This Row],[ ACEITE]]="","",VLOOKUP(Tabla2[[#This Row],[ ACEITE]],'Datos Aceites'!$A$5:$AJ$96,12,FALSE)),"")</calculatedColumnFormula>
    </tableColumn>
    <tableColumn id="12" xr3:uid="{C80A9D74-9912-40E7-9EE0-502BF0767D54}" name="Vol.11" dataDxfId="1">
      <calculatedColumnFormula>IF(OR(Tabla2[[#This Row],[Columna1]]=3,Tabla2[[#This Row],[Columna1]]=4),IF(Tabla2[[#This Row],[ ACEITE]]="","",VLOOKUP(Tabla2[[#This Row],[ ACEITE]],'Datos Aceites'!$A$5:$AJ$96,13,FALSE))*Tabla2[[#This Row],[QTY]],"")</calculatedColumnFormula>
    </tableColumn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D0C12F28-FAAA-40FC-B8FD-31AF5E324942}" name="Tabla1" displayName="Tabla1" ref="B1:K22" totalsRowShown="0">
  <autoFilter ref="B1:K22" xr:uid="{D0C12F28-FAAA-40FC-B8FD-31AF5E324942}"/>
  <tableColumns count="10">
    <tableColumn id="1" xr3:uid="{9805CB01-7CE2-4343-BE5B-2F593336D6A9}" name="Cliente"/>
    <tableColumn id="2" xr3:uid="{281E3C59-F5AA-40FE-BBE4-587663717944}" name="Sitio"/>
    <tableColumn id="3" xr3:uid="{6A343DD7-9B46-4E80-8B4C-CA61FB596AC0}" name="Horas Trayecto"/>
    <tableColumn id="6" xr3:uid="{F54A8A60-AE34-49AC-8482-8F0F80A12016}" name="Dias Viaje"/>
    <tableColumn id="4" xr3:uid="{52529F3C-0F8E-4CFE-848B-729B95AFBB50}" name="KM"/>
    <tableColumn id="5" xr3:uid="{8EC72B71-FA78-4CC0-AEBD-B7A80FE8BD3B}" name="Peajes" dataCellStyle="Moneda"/>
    <tableColumn id="7" xr3:uid="{8058F6C8-E94A-4ADE-AC20-EBDDCEBD7E87}" name="€ HORA TRABAJO"/>
    <tableColumn id="8" xr3:uid="{53065C9C-6D1A-4C9C-A5A7-3E508CC5A7C4}" name="€ HORA DESPLAZAMIENTO"/>
    <tableColumn id="9" xr3:uid="{D9C06412-1861-4F94-A50C-4EE5FC8FE393}" name="€ DIETA"/>
    <tableColumn id="10" xr3:uid="{5EC5C786-10D8-4837-826C-68AF31A4C279}" name="€ GESTION ACCESOS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2013 - Tema de 2022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table" Target="../tables/table3.xml"/><Relationship Id="rId4" Type="http://schemas.openxmlformats.org/officeDocument/2006/relationships/table" Target="../tables/table2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56ED154-AFF5-4E6B-B952-6E34C50E62A6}">
  <sheetPr codeName="Hoja1"/>
  <dimension ref="A1:AH192"/>
  <sheetViews>
    <sheetView tabSelected="1" topLeftCell="A25" zoomScaleNormal="100" workbookViewId="0">
      <selection activeCell="E27" sqref="E27"/>
    </sheetView>
  </sheetViews>
  <sheetFormatPr baseColWidth="10" defaultColWidth="10.7109375" defaultRowHeight="15" x14ac:dyDescent="0.25"/>
  <cols>
    <col min="2" max="2" width="39.140625" bestFit="1" customWidth="1"/>
    <col min="3" max="3" width="23.7109375" bestFit="1" customWidth="1"/>
    <col min="4" max="5" width="17.140625" customWidth="1"/>
    <col min="6" max="6" width="34" bestFit="1" customWidth="1"/>
    <col min="7" max="7" width="14.85546875" customWidth="1"/>
    <col min="8" max="8" width="17.7109375" bestFit="1" customWidth="1"/>
    <col min="9" max="9" width="17.7109375" customWidth="1"/>
    <col min="10" max="10" width="21.140625" bestFit="1" customWidth="1"/>
    <col min="11" max="11" width="22.28515625" bestFit="1" customWidth="1"/>
    <col min="12" max="12" width="14.85546875" bestFit="1" customWidth="1"/>
    <col min="13" max="13" width="22" bestFit="1" customWidth="1"/>
    <col min="14" max="14" width="17.28515625" bestFit="1" customWidth="1"/>
    <col min="15" max="15" width="22.28515625" bestFit="1" customWidth="1"/>
    <col min="16" max="16" width="17.7109375" hidden="1" customWidth="1"/>
    <col min="17" max="17" width="11.140625" hidden="1" customWidth="1"/>
    <col min="32" max="32" width="12.42578125" bestFit="1" customWidth="1"/>
    <col min="33" max="33" width="10.7109375" bestFit="1" customWidth="1"/>
  </cols>
  <sheetData>
    <row r="1" spans="1:34" x14ac:dyDescent="0.25">
      <c r="B1" s="107"/>
      <c r="C1" s="107"/>
      <c r="D1" s="107"/>
      <c r="E1" s="107"/>
      <c r="F1" s="107"/>
      <c r="G1" s="107"/>
      <c r="H1" s="107"/>
      <c r="I1" s="107"/>
      <c r="J1" s="107"/>
      <c r="K1" s="107"/>
      <c r="L1" s="107"/>
      <c r="M1" s="107"/>
      <c r="N1" s="107"/>
      <c r="O1" s="107"/>
      <c r="P1" s="107"/>
      <c r="Q1" s="107"/>
      <c r="R1" s="107"/>
    </row>
    <row r="3" spans="1:34" ht="19.5" thickBot="1" x14ac:dyDescent="0.35">
      <c r="B3" s="176" t="s">
        <v>0</v>
      </c>
      <c r="C3" s="175"/>
      <c r="D3" s="175"/>
      <c r="E3" s="175"/>
      <c r="F3" s="175"/>
      <c r="G3" s="175"/>
      <c r="H3" s="175"/>
      <c r="I3" s="175"/>
      <c r="J3" s="175"/>
      <c r="K3" s="175"/>
      <c r="L3" s="175"/>
      <c r="M3" s="175"/>
      <c r="N3" s="175"/>
      <c r="O3" s="175"/>
      <c r="P3" s="175"/>
      <c r="S3" s="253" t="s">
        <v>1</v>
      </c>
      <c r="T3" s="254"/>
      <c r="U3" s="253" t="s">
        <v>2</v>
      </c>
      <c r="V3" s="254"/>
      <c r="W3" s="253" t="s">
        <v>3</v>
      </c>
      <c r="X3" s="254"/>
      <c r="Y3" s="253" t="s">
        <v>4</v>
      </c>
      <c r="Z3" s="254"/>
      <c r="AA3" s="253" t="s">
        <v>5</v>
      </c>
      <c r="AB3" s="254"/>
      <c r="AC3" s="253" t="s">
        <v>6</v>
      </c>
      <c r="AD3" s="254"/>
      <c r="AF3" t="s">
        <v>7</v>
      </c>
      <c r="AG3" t="s">
        <v>8</v>
      </c>
      <c r="AH3" t="s">
        <v>9</v>
      </c>
    </row>
    <row r="4" spans="1:34" x14ac:dyDescent="0.25">
      <c r="B4" t="s">
        <v>10</v>
      </c>
      <c r="C4" t="s">
        <v>11</v>
      </c>
      <c r="D4" s="99" t="s">
        <v>12</v>
      </c>
      <c r="E4" s="99" t="s">
        <v>681</v>
      </c>
      <c r="F4" s="99" t="s">
        <v>13</v>
      </c>
      <c r="G4" s="99" t="s">
        <v>14</v>
      </c>
      <c r="H4" s="99" t="s">
        <v>665</v>
      </c>
      <c r="I4" s="99" t="s">
        <v>679</v>
      </c>
      <c r="J4" s="99" t="s">
        <v>680</v>
      </c>
      <c r="K4" s="99" t="s">
        <v>661</v>
      </c>
      <c r="L4" s="99" t="s">
        <v>662</v>
      </c>
      <c r="M4" s="99" t="s">
        <v>678</v>
      </c>
      <c r="N4" t="s">
        <v>663</v>
      </c>
      <c r="O4" t="s">
        <v>664</v>
      </c>
      <c r="P4" t="s">
        <v>16</v>
      </c>
      <c r="Q4" t="s">
        <v>17</v>
      </c>
      <c r="S4" s="109" t="s">
        <v>18</v>
      </c>
      <c r="T4" s="110" t="s">
        <v>19</v>
      </c>
      <c r="U4" s="111" t="s">
        <v>20</v>
      </c>
      <c r="V4" s="110" t="s">
        <v>21</v>
      </c>
      <c r="W4" s="111" t="s">
        <v>22</v>
      </c>
      <c r="X4" s="110" t="s">
        <v>23</v>
      </c>
      <c r="Y4" s="111" t="s">
        <v>24</v>
      </c>
      <c r="Z4" s="110" t="s">
        <v>25</v>
      </c>
      <c r="AA4" s="111" t="s">
        <v>26</v>
      </c>
      <c r="AB4" s="110" t="s">
        <v>27</v>
      </c>
      <c r="AC4" s="111" t="s">
        <v>28</v>
      </c>
      <c r="AD4" s="110" t="s">
        <v>29</v>
      </c>
    </row>
    <row r="5" spans="1:34" x14ac:dyDescent="0.25">
      <c r="A5" s="249" t="s">
        <v>30</v>
      </c>
      <c r="B5" s="250" t="s">
        <v>366</v>
      </c>
      <c r="C5" s="202" t="s">
        <v>32</v>
      </c>
      <c r="D5" s="203">
        <v>1</v>
      </c>
      <c r="E5" s="203"/>
      <c r="F5" s="204" t="s">
        <v>123</v>
      </c>
      <c r="G5" s="99">
        <f>IF(Tabla2[[#This Row],[ZTUKK1A13ZBO]]="","",VLOOKUP(Tabla2[[#This Row],[ZTUKK1A13ZBO]],'Datos Robots'!$B$4:$W$136,IF(Tabla2[[#This Row],[Tipo Mantenimiento]]="Nivel 1",3,IF(Tabla2[[#This Row],[Tipo Mantenimiento]]="Nivel 2 Inferior",7,IF(Tabla2[[#This Row],[Tipo Mantenimiento]]="Nivel 2 Superior",7,IF(Tabla2[[#This Row],[Tipo Mantenimiento]]="Nivel 3",17)))),FALSE)+IF(OR(Tabla2[[#This Row],[Baterias (X)]]="x",Tabla2[[#This Row],[Baterias (X)]]="X"),1,0)++IF(OR(Tabla2[[#This Row],[Clonar SSD (X)]]="x",Tabla2[[#This Row],[Clonar SSD (X)]]="X"),0.5,0))</f>
        <v>9</v>
      </c>
      <c r="H5" s="99">
        <f>IF(OR(Tabla2[[#This Row],[QTY]]="",Tabla2[[#This Row],[Horas]]=""),"",Tabla2[[#This Row],[QTY]]*Tabla2[[#This Row],[Horas]])</f>
        <v>9</v>
      </c>
      <c r="I5" s="251">
        <f>IF(Tabla2[[#This Row],[Horas]]="",0,Tabla2[[#This Row],[Horas]]*$C$23)</f>
        <v>630</v>
      </c>
      <c r="J5" s="227">
        <f>IF(Tabla2[[#This Row],[Horas]]="",0,Tabla2[[#This Row],[SUBTOTAL UD.]]+((Tabla2[[#This Row],[Horas]]*((($C$56-$E$57)*$C$35)/Tabla2[[#Totals],[TOTAL HORAS]])))*$C$23)</f>
        <v>630</v>
      </c>
      <c r="K5" s="227">
        <f>IF(Tabla2[[#This Row],[ZTUKK1A13ZBO]]="",0,IF($C$33="",0,VLOOKUP(Tabla2[[#This Row],[ZTUKK1A13ZBO]],'Datos Robots'!$B$4:$W$136,IF(Tabla2[[#This Row],[Tipo Mantenimiento]]="Nivel 1",5,IF(Tabla2[[#This Row],[Tipo Mantenimiento]]="Nivel 2 Inferior",11,IF(Tabla2[[#This Row],[Tipo Mantenimiento]]="Nivel 2 Superior",11,IF(Tabla2[[#This Row],[Tipo Mantenimiento]]="Nivel 3",21)))),FALSE)+IF(OR(Tabla2[[#This Row],[Baterias (X)]]="x",Tabla2[[#This Row],[Baterias (X)]]="X"),75,0)+IF(OR(Tabla2[[#This Row],[Clonar SSD (X)]]="x",Tabla2[[#This Row],[Clonar SSD (X)]]="X"),150,0)))</f>
        <v>716.19999999999993</v>
      </c>
      <c r="L5" s="227">
        <f>IF(OR(Tabla2[[#This Row],[PRECIO UD. + RED]]="",Tabla2[[#This Row],[CONSUMIBLES UD.]]=""),0,Tabla2[[#This Row],[PRECIO UD. + RED]]+Tabla2[[#This Row],[CONSUMIBLES UD.]])</f>
        <v>1346.1999999999998</v>
      </c>
      <c r="M5" s="227">
        <f>IF(Tabla2[[#This Row],[Horas]]&lt;&gt;"",Tabla2[[#This Row],[TOTAL UD.]]+(Tabla2[[#This Row],[Horas]]*(($G$49*$C$23)/Tabla2[[#Totals],[TOTAL HORAS]])),0)</f>
        <v>1363.6999999999998</v>
      </c>
      <c r="N5" s="105">
        <f>IF(Tabla2[[#This Row],[TOTAL HORAS]]="",0,(Tabla2[[#This Row],[TOTAL UD. EXTRAS]]*Tabla2[[#This Row],[QTY]]))</f>
        <v>1363.6999999999998</v>
      </c>
      <c r="O5" s="105">
        <f>IF(Tabla2[[#This Row],[QTY]]="",0,Tabla2[[#This Row],[QTY]]*Tabla2[[#This Row],[CONSUMIBLES UD.]])</f>
        <v>716.19999999999993</v>
      </c>
      <c r="P5" t="str">
        <f>IF(Tabla2[[#This Row],[ZTUKK1A13ZBO]]="","",VLOOKUP(Tabla2[[#This Row],[ZTUKK1A13ZBO]],'Datos Robots'!$B$4:$W$136,2,FALSE))</f>
        <v>KR150-2</v>
      </c>
      <c r="Q5">
        <f>IF(Tabla2[[#This Row],[Tipo Mantenimiento]]="Nivel 1",1,IF(Tabla2[[#This Row],[Tipo Mantenimiento]]="Nivel 2 Inferior",2,IF(Tabla2[[#This Row],[Tipo Mantenimiento]]="Nivel 2 Superior",3,IF(Tabla2[[#This Row],[Tipo Mantenimiento]]="Nivel 3",4,""))))</f>
        <v>4</v>
      </c>
      <c r="S5" t="str">
        <f>IF(OR(Tabla2[[#This Row],[Columna1]]=2,Tabla2[[#This Row],[Columna1]]=4),IF(Tabla2[[#This Row],[ ACEITE]]="","",VLOOKUP(Tabla2[[#This Row],[ ACEITE]],'Datos Aceites'!$A$5:$AJ$96,4,FALSE)),"")</f>
        <v>H</v>
      </c>
      <c r="T5">
        <f>IF(OR(Tabla2[[#This Row],[Columna1]]=2,Tabla2[[#This Row],[Columna1]]=4),IF(Tabla2[[#This Row],[ ACEITE]]="","",VLOOKUP(Tabla2[[#This Row],[ ACEITE]],'Datos Aceites'!$A$5:$AJ$96,3,FALSE))*Tabla2[[#This Row],[QTY]],"")</f>
        <v>7.1</v>
      </c>
      <c r="U5" t="str">
        <f>IF(OR(Tabla2[[#This Row],[Columna1]]=2,Tabla2[[#This Row],[Columna1]]=4),IF(Tabla2[[#This Row],[ ACEITE]]="","",VLOOKUP(Tabla2[[#This Row],[ ACEITE]],'Datos Aceites'!$A$5:$AJ$96,4,FALSE)),"")</f>
        <v>H</v>
      </c>
      <c r="V5">
        <f>IF(OR(Tabla2[[#This Row],[Columna1]]=2,Tabla2[[#This Row],[Columna1]]=4),IF(Tabla2[[#This Row],[ ACEITE]]="","",VLOOKUP(Tabla2[[#This Row],[ ACEITE]],'Datos Aceites'!$A$5:$AJ$96,5,FALSE))*Tabla2[[#This Row],[QTY]],"")</f>
        <v>3</v>
      </c>
      <c r="W5" t="str">
        <f>IF(OR(Tabla2[[#This Row],[Columna1]]=2,Tabla2[[#This Row],[Columna1]]=4),IF(Tabla2[[#This Row],[ ACEITE]]="","",VLOOKUP(Tabla2[[#This Row],[ ACEITE]],'Datos Aceites'!$A$5:$AJ$96,6,FALSE)),"")</f>
        <v>H</v>
      </c>
      <c r="X5">
        <f>IF(OR(Tabla2[[#This Row],[Columna1]]=2,Tabla2[[#This Row],[Columna1]]=4),IF(Tabla2[[#This Row],[ ACEITE]]="","",VLOOKUP(Tabla2[[#This Row],[ ACEITE]],'Datos Aceites'!$A$5:$AJ$96,7,FALSE))*Tabla2[[#This Row],[QTY]],"")</f>
        <v>1.9</v>
      </c>
      <c r="Y5" t="str">
        <f>IF(OR(Tabla2[[#This Row],[Columna1]]=3,Tabla2[[#This Row],[Columna1]]=4,Tabla2[[#This Row],[Columna1]]=2),IF(Tabla2[[#This Row],[ ACEITE]]="","",VLOOKUP(Tabla2[[#This Row],[ ACEITE]],'Datos Aceites'!$A$5:$AJ$96,8,FALSE)),"")</f>
        <v>H</v>
      </c>
      <c r="Z5">
        <f>IF(OR(Tabla2[[#This Row],[Columna1]]=3,Tabla2[[#This Row],[Columna1]]=4,Tabla2[[#This Row],[Columna1]]=2),IF(Tabla2[[#This Row],[ ACEITE]]="","",VLOOKUP(Tabla2[[#This Row],[ ACEITE]],'Datos Aceites'!$A$5:$AJ$96,9,FALSE))*Tabla2[[#This Row],[QTY]],"")</f>
        <v>2.8</v>
      </c>
      <c r="AA5" t="str">
        <f>IF(OR(Tabla2[[#This Row],[Columna1]]=3,Tabla2[[#This Row],[Columna1]]=4),IF(Tabla2[[#This Row],[ ACEITE]]="","",VLOOKUP(Tabla2[[#This Row],[ ACEITE]],'Datos Aceites'!$A$5:$AJ$96,10,FALSE)),"")</f>
        <v>H</v>
      </c>
      <c r="AB5">
        <f>IF(OR(Tabla2[[#This Row],[Columna1]]=3,Tabla2[[#This Row],[Columna1]]=4),IF(Tabla2[[#This Row],[ ACEITE]]="","",VLOOKUP(Tabla2[[#This Row],[ ACEITE]],'Datos Aceites'!$A$5:$AJ$96,11,FALSE))*Tabla2[[#This Row],[QTY]],"")</f>
        <v>1.8</v>
      </c>
      <c r="AC5" t="str">
        <f>IF(OR(Tabla2[[#This Row],[Columna1]]=3,Tabla2[[#This Row],[Columna1]]=4),IF(Tabla2[[#This Row],[ ACEITE]]="","",VLOOKUP(Tabla2[[#This Row],[ ACEITE]],'Datos Aceites'!$A$5:$AJ$96,12,FALSE)),"")</f>
        <v>H</v>
      </c>
      <c r="AD5">
        <f>IF(OR(Tabla2[[#This Row],[Columna1]]=3,Tabla2[[#This Row],[Columna1]]=4),IF(Tabla2[[#This Row],[ ACEITE]]="","",VLOOKUP(Tabla2[[#This Row],[ ACEITE]],'Datos Aceites'!$A$5:$AJ$96,13,FALSE))*Tabla2[[#This Row],[QTY]],"")</f>
        <v>3</v>
      </c>
    </row>
    <row r="6" spans="1:34" x14ac:dyDescent="0.25">
      <c r="A6" s="249" t="s">
        <v>30</v>
      </c>
      <c r="B6" s="205"/>
      <c r="C6" s="200"/>
      <c r="D6" s="206"/>
      <c r="E6" s="206"/>
      <c r="F6" s="207"/>
      <c r="G6" s="99" t="str">
        <f>IF(Tabla2[[#This Row],[ZTUKK1A13ZBO]]="","",VLOOKUP(Tabla2[[#This Row],[ZTUKK1A13ZBO]],'Datos Robots'!$B$4:$W$136,IF(Tabla2[[#This Row],[Tipo Mantenimiento]]="Nivel 1",3,IF(Tabla2[[#This Row],[Tipo Mantenimiento]]="Nivel 2 Inferior",7,IF(Tabla2[[#This Row],[Tipo Mantenimiento]]="Nivel 2 Superior",7,IF(Tabla2[[#This Row],[Tipo Mantenimiento]]="Nivel 3",17)))),FALSE)+IF(OR(Tabla2[[#This Row],[Baterias (X)]]="x",Tabla2[[#This Row],[Baterias (X)]]="X"),1,0)++IF(OR(Tabla2[[#This Row],[Clonar SSD (X)]]="x",Tabla2[[#This Row],[Clonar SSD (X)]]="X"),0.5,0))</f>
        <v/>
      </c>
      <c r="H6" s="99" t="str">
        <f>IF(OR(Tabla2[[#This Row],[QTY]]="",Tabla2[[#This Row],[Horas]]=""),"",Tabla2[[#This Row],[QTY]]*Tabla2[[#This Row],[Horas]])</f>
        <v/>
      </c>
      <c r="I6" s="251">
        <f>IF(Tabla2[[#This Row],[Horas]]="",0,Tabla2[[#This Row],[Horas]]*$C$23)</f>
        <v>0</v>
      </c>
      <c r="J6" s="227">
        <f>IF(Tabla2[[#This Row],[Horas]]="",0,Tabla2[[#This Row],[SUBTOTAL UD.]]+((Tabla2[[#This Row],[Horas]]*((($C$56-$E$57)*$C$35)/Tabla2[[#Totals],[TOTAL HORAS]])))*$C$23)</f>
        <v>0</v>
      </c>
      <c r="K6" s="227">
        <f>IF(Tabla2[[#This Row],[ZTUKK1A13ZBO]]="",0,IF($C$33="",0,VLOOKUP(Tabla2[[#This Row],[ZTUKK1A13ZBO]],'Datos Robots'!$B$4:$W$136,IF(Tabla2[[#This Row],[Tipo Mantenimiento]]="Nivel 1",5,IF(Tabla2[[#This Row],[Tipo Mantenimiento]]="Nivel 2 Inferior",11,IF(Tabla2[[#This Row],[Tipo Mantenimiento]]="Nivel 2 Superior",11,IF(Tabla2[[#This Row],[Tipo Mantenimiento]]="Nivel 3",21)))),FALSE)+IF(OR(Tabla2[[#This Row],[Baterias (X)]]="x",Tabla2[[#This Row],[Baterias (X)]]="X"),75,0)+IF(OR(Tabla2[[#This Row],[Clonar SSD (X)]]="x",Tabla2[[#This Row],[Clonar SSD (X)]]="X"),150,0)))</f>
        <v>0</v>
      </c>
      <c r="L6" s="227">
        <f>IF(OR(Tabla2[[#This Row],[PRECIO UD. + RED]]="",Tabla2[[#This Row],[CONSUMIBLES UD.]]=""),0,Tabla2[[#This Row],[PRECIO UD. + RED]]+Tabla2[[#This Row],[CONSUMIBLES UD.]])</f>
        <v>0</v>
      </c>
      <c r="M6" s="227">
        <f>IF(Tabla2[[#This Row],[Horas]]&lt;&gt;"",Tabla2[[#This Row],[TOTAL UD.]]+(Tabla2[[#This Row],[Horas]]*(($G$49*$C$23)/Tabla2[[#Totals],[TOTAL HORAS]])),0)</f>
        <v>0</v>
      </c>
      <c r="N6" s="105">
        <f>IF(Tabla2[[#This Row],[TOTAL HORAS]]="",0,(Tabla2[[#This Row],[TOTAL UD. EXTRAS]]*Tabla2[[#This Row],[QTY]]))</f>
        <v>0</v>
      </c>
      <c r="O6" s="105">
        <f>IF(Tabla2[[#This Row],[QTY]]="",0,Tabla2[[#This Row],[QTY]]*Tabla2[[#This Row],[CONSUMIBLES UD.]])</f>
        <v>0</v>
      </c>
      <c r="P6" t="str">
        <f>IF(Tabla2[[#This Row],[ZTUKK1A13ZBO]]="","",VLOOKUP(Tabla2[[#This Row],[ZTUKK1A13ZBO]],'Datos Robots'!$B$4:$W$136,2,FALSE))</f>
        <v/>
      </c>
      <c r="Q6" t="str">
        <f>IF(Tabla2[[#This Row],[Tipo Mantenimiento]]="Nivel 1",1,IF(Tabla2[[#This Row],[Tipo Mantenimiento]]="Nivel 2 Inferior",2,IF(Tabla2[[#This Row],[Tipo Mantenimiento]]="Nivel 2 Superior",3,IF(Tabla2[[#This Row],[Tipo Mantenimiento]]="Nivel 3",4,""))))</f>
        <v/>
      </c>
      <c r="S6" t="str">
        <f>IF(OR(Tabla2[[#This Row],[Columna1]]=2,Tabla2[[#This Row],[Columna1]]=4),IF(Tabla2[[#This Row],[ ACEITE]]="","",VLOOKUP(Tabla2[[#This Row],[ ACEITE]],'Datos Aceites'!$A$5:$AJ$96,4,FALSE)),"")</f>
        <v/>
      </c>
      <c r="T6" t="str">
        <f>IF(OR(Tabla2[[#This Row],[Columna1]]=2,Tabla2[[#This Row],[Columna1]]=4),IF(Tabla2[[#This Row],[ ACEITE]]="","",VLOOKUP(Tabla2[[#This Row],[ ACEITE]],'Datos Aceites'!$A$5:$AJ$96,3,FALSE))*Tabla2[[#This Row],[QTY]],"")</f>
        <v/>
      </c>
      <c r="U6" t="str">
        <f>IF(OR(Tabla2[[#This Row],[Columna1]]=2,Tabla2[[#This Row],[Columna1]]=4),IF(Tabla2[[#This Row],[ ACEITE]]="","",VLOOKUP(Tabla2[[#This Row],[ ACEITE]],'Datos Aceites'!$A$5:$AJ$96,4,FALSE)),"")</f>
        <v/>
      </c>
      <c r="V6" t="str">
        <f>IF(OR(Tabla2[[#This Row],[Columna1]]=2,Tabla2[[#This Row],[Columna1]]=4),IF(Tabla2[[#This Row],[ ACEITE]]="","",VLOOKUP(Tabla2[[#This Row],[ ACEITE]],'Datos Aceites'!$A$5:$AJ$96,5,FALSE))*Tabla2[[#This Row],[QTY]],"")</f>
        <v/>
      </c>
      <c r="W6" t="str">
        <f>IF(OR(Tabla2[[#This Row],[Columna1]]=2,Tabla2[[#This Row],[Columna1]]=4),IF(Tabla2[[#This Row],[ ACEITE]]="","",VLOOKUP(Tabla2[[#This Row],[ ACEITE]],'Datos Aceites'!$A$5:$AJ$96,6,FALSE)),"")</f>
        <v/>
      </c>
      <c r="X6" t="str">
        <f>IF(OR(Tabla2[[#This Row],[Columna1]]=2,Tabla2[[#This Row],[Columna1]]=4),IF(Tabla2[[#This Row],[ ACEITE]]="","",VLOOKUP(Tabla2[[#This Row],[ ACEITE]],'Datos Aceites'!$A$5:$AJ$96,7,FALSE))*Tabla2[[#This Row],[QTY]],"")</f>
        <v/>
      </c>
      <c r="Y6" t="str">
        <f>IF(OR(Tabla2[[#This Row],[Columna1]]=3,Tabla2[[#This Row],[Columna1]]=4,Tabla2[[#This Row],[Columna1]]=2),IF(Tabla2[[#This Row],[ ACEITE]]="","",VLOOKUP(Tabla2[[#This Row],[ ACEITE]],'Datos Aceites'!$A$5:$AJ$96,8,FALSE)),"")</f>
        <v/>
      </c>
      <c r="Z6" t="str">
        <f>IF(OR(Tabla2[[#This Row],[Columna1]]=3,Tabla2[[#This Row],[Columna1]]=4,Tabla2[[#This Row],[Columna1]]=2),IF(Tabla2[[#This Row],[ ACEITE]]="","",VLOOKUP(Tabla2[[#This Row],[ ACEITE]],'Datos Aceites'!$A$5:$AJ$96,9,FALSE))*Tabla2[[#This Row],[QTY]],"")</f>
        <v/>
      </c>
      <c r="AA6" t="str">
        <f>IF(OR(Tabla2[[#This Row],[Columna1]]=3,Tabla2[[#This Row],[Columna1]]=4),IF(Tabla2[[#This Row],[ ACEITE]]="","",VLOOKUP(Tabla2[[#This Row],[ ACEITE]],'Datos Aceites'!$A$5:$AJ$96,10,FALSE)),"")</f>
        <v/>
      </c>
      <c r="AB6" t="str">
        <f>IF(OR(Tabla2[[#This Row],[Columna1]]=3,Tabla2[[#This Row],[Columna1]]=4),IF(Tabla2[[#This Row],[ ACEITE]]="","",VLOOKUP(Tabla2[[#This Row],[ ACEITE]],'Datos Aceites'!$A$5:$AJ$96,11,FALSE))*Tabla2[[#This Row],[QTY]],"")</f>
        <v/>
      </c>
      <c r="AC6" t="str">
        <f>IF(OR(Tabla2[[#This Row],[Columna1]]=3,Tabla2[[#This Row],[Columna1]]=4),IF(Tabla2[[#This Row],[ ACEITE]]="","",VLOOKUP(Tabla2[[#This Row],[ ACEITE]],'Datos Aceites'!$A$5:$AJ$96,12,FALSE)),"")</f>
        <v/>
      </c>
      <c r="AD6" t="str">
        <f>IF(OR(Tabla2[[#This Row],[Columna1]]=3,Tabla2[[#This Row],[Columna1]]=4),IF(Tabla2[[#This Row],[ ACEITE]]="","",VLOOKUP(Tabla2[[#This Row],[ ACEITE]],'Datos Aceites'!$A$5:$AJ$96,13,FALSE))*Tabla2[[#This Row],[QTY]],"")</f>
        <v/>
      </c>
    </row>
    <row r="7" spans="1:34" x14ac:dyDescent="0.25">
      <c r="A7" s="249" t="s">
        <v>30</v>
      </c>
      <c r="B7" s="244"/>
      <c r="C7" s="245"/>
      <c r="D7" s="246"/>
      <c r="E7" s="99"/>
      <c r="F7" s="247"/>
      <c r="G7" s="99" t="str">
        <f>IF(Tabla2[[#This Row],[ZTUKK1A13ZBO]]="","",VLOOKUP(Tabla2[[#This Row],[ZTUKK1A13ZBO]],'Datos Robots'!$B$4:$W$136,IF(Tabla2[[#This Row],[Tipo Mantenimiento]]="Nivel 1",3,IF(Tabla2[[#This Row],[Tipo Mantenimiento]]="Nivel 2 Inferior",7,IF(Tabla2[[#This Row],[Tipo Mantenimiento]]="Nivel 2 Superior",7,IF(Tabla2[[#This Row],[Tipo Mantenimiento]]="Nivel 3",17)))),FALSE)+IF(OR(Tabla2[[#This Row],[Baterias (X)]]="x",Tabla2[[#This Row],[Baterias (X)]]="X"),1,0)++IF(OR(Tabla2[[#This Row],[Clonar SSD (X)]]="x",Tabla2[[#This Row],[Clonar SSD (X)]]="X"),0.5,0))</f>
        <v/>
      </c>
      <c r="H7" s="99" t="str">
        <f>IF(OR(Tabla2[[#This Row],[QTY]]="",Tabla2[[#This Row],[Horas]]=""),"",Tabla2[[#This Row],[QTY]]*Tabla2[[#This Row],[Horas]])</f>
        <v/>
      </c>
      <c r="I7" s="251">
        <f>IF(Tabla2[[#This Row],[Horas]]="",0,Tabla2[[#This Row],[Horas]]*$C$23)</f>
        <v>0</v>
      </c>
      <c r="J7" s="227">
        <f>IF(Tabla2[[#This Row],[Horas]]="",0,Tabla2[[#This Row],[SUBTOTAL UD.]]+((Tabla2[[#This Row],[Horas]]*((($C$56-$E$57)*$C$35)/Tabla2[[#Totals],[TOTAL HORAS]])))*$C$23)</f>
        <v>0</v>
      </c>
      <c r="K7" s="227">
        <f>IF(Tabla2[[#This Row],[ZTUKK1A13ZBO]]="",0,IF($C$33="",0,VLOOKUP(Tabla2[[#This Row],[ZTUKK1A13ZBO]],'Datos Robots'!$B$4:$W$136,IF(Tabla2[[#This Row],[Tipo Mantenimiento]]="Nivel 1",5,IF(Tabla2[[#This Row],[Tipo Mantenimiento]]="Nivel 2 Inferior",11,IF(Tabla2[[#This Row],[Tipo Mantenimiento]]="Nivel 2 Superior",11,IF(Tabla2[[#This Row],[Tipo Mantenimiento]]="Nivel 3",21)))),FALSE)+IF(OR(Tabla2[[#This Row],[Baterias (X)]]="x",Tabla2[[#This Row],[Baterias (X)]]="X"),75,0)+IF(OR(Tabla2[[#This Row],[Clonar SSD (X)]]="x",Tabla2[[#This Row],[Clonar SSD (X)]]="X"),150,0)))</f>
        <v>0</v>
      </c>
      <c r="L7" s="227">
        <f>IF(OR(Tabla2[[#This Row],[PRECIO UD. + RED]]="",Tabla2[[#This Row],[CONSUMIBLES UD.]]=""),0,Tabla2[[#This Row],[PRECIO UD. + RED]]+Tabla2[[#This Row],[CONSUMIBLES UD.]])</f>
        <v>0</v>
      </c>
      <c r="M7" s="227">
        <f>IF(Tabla2[[#This Row],[Horas]]&lt;&gt;"",Tabla2[[#This Row],[TOTAL UD.]]+(Tabla2[[#This Row],[Horas]]*(($G$49*$C$23)/Tabla2[[#Totals],[TOTAL HORAS]])),0)</f>
        <v>0</v>
      </c>
      <c r="N7" s="105">
        <f>IF(Tabla2[[#This Row],[TOTAL HORAS]]="",0,(Tabla2[[#This Row],[TOTAL UD. EXTRAS]]*Tabla2[[#This Row],[QTY]]))</f>
        <v>0</v>
      </c>
      <c r="O7" s="105">
        <f>IF(Tabla2[[#This Row],[QTY]]="",0,Tabla2[[#This Row],[QTY]]*Tabla2[[#This Row],[CONSUMIBLES UD.]])</f>
        <v>0</v>
      </c>
      <c r="P7" t="str">
        <f>IF(Tabla2[[#This Row],[ZTUKK1A13ZBO]]="","",VLOOKUP(Tabla2[[#This Row],[ZTUKK1A13ZBO]],'Datos Robots'!$B$4:$W$136,2,FALSE))</f>
        <v/>
      </c>
      <c r="Q7" t="str">
        <f>IF(Tabla2[[#This Row],[Tipo Mantenimiento]]="Nivel 1",1,IF(Tabla2[[#This Row],[Tipo Mantenimiento]]="Nivel 2 Inferior",2,IF(Tabla2[[#This Row],[Tipo Mantenimiento]]="Nivel 2 Superior",3,IF(Tabla2[[#This Row],[Tipo Mantenimiento]]="Nivel 3",4,""))))</f>
        <v/>
      </c>
      <c r="S7" t="str">
        <f>IF(OR(Tabla2[[#This Row],[Columna1]]=2,Tabla2[[#This Row],[Columna1]]=4),IF(Tabla2[[#This Row],[ ACEITE]]="","",VLOOKUP(Tabla2[[#This Row],[ ACEITE]],'Datos Aceites'!$A$5:$AJ$96,4,FALSE)),"")</f>
        <v/>
      </c>
      <c r="T7" t="str">
        <f>IF(OR(Tabla2[[#This Row],[Columna1]]=2,Tabla2[[#This Row],[Columna1]]=4),IF(Tabla2[[#This Row],[ ACEITE]]="","",VLOOKUP(Tabla2[[#This Row],[ ACEITE]],'Datos Aceites'!$A$5:$AJ$96,3,FALSE))*Tabla2[[#This Row],[QTY]],"")</f>
        <v/>
      </c>
      <c r="U7" t="str">
        <f>IF(OR(Tabla2[[#This Row],[Columna1]]=2,Tabla2[[#This Row],[Columna1]]=4),IF(Tabla2[[#This Row],[ ACEITE]]="","",VLOOKUP(Tabla2[[#This Row],[ ACEITE]],'Datos Aceites'!$A$5:$AJ$96,4,FALSE)),"")</f>
        <v/>
      </c>
      <c r="V7" t="str">
        <f>IF(OR(Tabla2[[#This Row],[Columna1]]=2,Tabla2[[#This Row],[Columna1]]=4),IF(Tabla2[[#This Row],[ ACEITE]]="","",VLOOKUP(Tabla2[[#This Row],[ ACEITE]],'Datos Aceites'!$A$5:$AJ$96,5,FALSE))*Tabla2[[#This Row],[QTY]],"")</f>
        <v/>
      </c>
      <c r="W7" t="str">
        <f>IF(OR(Tabla2[[#This Row],[Columna1]]=2,Tabla2[[#This Row],[Columna1]]=4),IF(Tabla2[[#This Row],[ ACEITE]]="","",VLOOKUP(Tabla2[[#This Row],[ ACEITE]],'Datos Aceites'!$A$5:$AJ$96,6,FALSE)),"")</f>
        <v/>
      </c>
      <c r="X7" t="str">
        <f>IF(OR(Tabla2[[#This Row],[Columna1]]=2,Tabla2[[#This Row],[Columna1]]=4),IF(Tabla2[[#This Row],[ ACEITE]]="","",VLOOKUP(Tabla2[[#This Row],[ ACEITE]],'Datos Aceites'!$A$5:$AJ$96,7,FALSE))*Tabla2[[#This Row],[QTY]],"")</f>
        <v/>
      </c>
      <c r="Y7" t="str">
        <f>IF(OR(Tabla2[[#This Row],[Columna1]]=3,Tabla2[[#This Row],[Columna1]]=4,Tabla2[[#This Row],[Columna1]]=2),IF(Tabla2[[#This Row],[ ACEITE]]="","",VLOOKUP(Tabla2[[#This Row],[ ACEITE]],'Datos Aceites'!$A$5:$AJ$96,8,FALSE)),"")</f>
        <v/>
      </c>
      <c r="Z7" t="str">
        <f>IF(OR(Tabla2[[#This Row],[Columna1]]=3,Tabla2[[#This Row],[Columna1]]=4,Tabla2[[#This Row],[Columna1]]=2),IF(Tabla2[[#This Row],[ ACEITE]]="","",VLOOKUP(Tabla2[[#This Row],[ ACEITE]],'Datos Aceites'!$A$5:$AJ$96,9,FALSE))*Tabla2[[#This Row],[QTY]],"")</f>
        <v/>
      </c>
      <c r="AA7" t="str">
        <f>IF(OR(Tabla2[[#This Row],[Columna1]]=3,Tabla2[[#This Row],[Columna1]]=4),IF(Tabla2[[#This Row],[ ACEITE]]="","",VLOOKUP(Tabla2[[#This Row],[ ACEITE]],'Datos Aceites'!$A$5:$AJ$96,10,FALSE)),"")</f>
        <v/>
      </c>
      <c r="AB7" t="str">
        <f>IF(OR(Tabla2[[#This Row],[Columna1]]=3,Tabla2[[#This Row],[Columna1]]=4),IF(Tabla2[[#This Row],[ ACEITE]]="","",VLOOKUP(Tabla2[[#This Row],[ ACEITE]],'Datos Aceites'!$A$5:$AJ$96,11,FALSE))*Tabla2[[#This Row],[QTY]],"")</f>
        <v/>
      </c>
      <c r="AC7" t="str">
        <f>IF(OR(Tabla2[[#This Row],[Columna1]]=3,Tabla2[[#This Row],[Columna1]]=4),IF(Tabla2[[#This Row],[ ACEITE]]="","",VLOOKUP(Tabla2[[#This Row],[ ACEITE]],'Datos Aceites'!$A$5:$AJ$96,12,FALSE)),"")</f>
        <v/>
      </c>
      <c r="AD7" t="str">
        <f>IF(OR(Tabla2[[#This Row],[Columna1]]=3,Tabla2[[#This Row],[Columna1]]=4),IF(Tabla2[[#This Row],[ ACEITE]]="","",VLOOKUP(Tabla2[[#This Row],[ ACEITE]],'Datos Aceites'!$A$5:$AJ$96,13,FALSE))*Tabla2[[#This Row],[QTY]],"")</f>
        <v/>
      </c>
    </row>
    <row r="8" spans="1:34" x14ac:dyDescent="0.25">
      <c r="A8" s="249" t="s">
        <v>33</v>
      </c>
      <c r="B8" s="120"/>
      <c r="D8" s="99"/>
      <c r="E8" s="99"/>
      <c r="F8" s="121"/>
      <c r="G8" s="99" t="str">
        <f>IF(Tabla2[[#This Row],[ZTUKK1A13ZBO]]="","",VLOOKUP(Tabla2[[#This Row],[ZTUKK1A13ZBO]],'Datos Robots'!$B$4:$W$136,IF(Tabla2[[#This Row],[Tipo Mantenimiento]]="Nivel 1",3,IF(Tabla2[[#This Row],[Tipo Mantenimiento]]="Nivel 2 Inferior",7,IF(Tabla2[[#This Row],[Tipo Mantenimiento]]="Nivel 2 Superior",7,IF(Tabla2[[#This Row],[Tipo Mantenimiento]]="Nivel 3",17)))),FALSE)+IF(OR(Tabla2[[#This Row],[Baterias (X)]]="x",Tabla2[[#This Row],[Baterias (X)]]="X"),1,0)++IF(OR(Tabla2[[#This Row],[Clonar SSD (X)]]="x",Tabla2[[#This Row],[Clonar SSD (X)]]="X"),0.5,0))</f>
        <v/>
      </c>
      <c r="H8" s="99" t="str">
        <f>IF(OR(Tabla2[[#This Row],[QTY]]="",Tabla2[[#This Row],[Horas]]=""),"",Tabla2[[#This Row],[QTY]]*Tabla2[[#This Row],[Horas]])</f>
        <v/>
      </c>
      <c r="I8" s="251">
        <f>IF(Tabla2[[#This Row],[Horas]]="",0,Tabla2[[#This Row],[Horas]]*$C$23)</f>
        <v>0</v>
      </c>
      <c r="J8" s="227">
        <f>IF(Tabla2[[#This Row],[Horas]]="",0,Tabla2[[#This Row],[SUBTOTAL UD.]]+((Tabla2[[#This Row],[Horas]]*((($C$56-$E$57)*$C$35)/Tabla2[[#Totals],[TOTAL HORAS]])))*$C$23)</f>
        <v>0</v>
      </c>
      <c r="K8" s="227">
        <f>IF(Tabla2[[#This Row],[ZTUKK1A13ZBO]]="",0,IF($C$33="",0,VLOOKUP(Tabla2[[#This Row],[ZTUKK1A13ZBO]],'Datos Robots'!$B$4:$W$136,IF(Tabla2[[#This Row],[Tipo Mantenimiento]]="Nivel 1",5,IF(Tabla2[[#This Row],[Tipo Mantenimiento]]="Nivel 2 Inferior",11,IF(Tabla2[[#This Row],[Tipo Mantenimiento]]="Nivel 2 Superior",11,IF(Tabla2[[#This Row],[Tipo Mantenimiento]]="Nivel 3",21)))),FALSE)+IF(OR(Tabla2[[#This Row],[Baterias (X)]]="x",Tabla2[[#This Row],[Baterias (X)]]="X"),75,0)+IF(OR(Tabla2[[#This Row],[Clonar SSD (X)]]="x",Tabla2[[#This Row],[Clonar SSD (X)]]="X"),150,0)))</f>
        <v>0</v>
      </c>
      <c r="L8" s="227">
        <f>IF(OR(Tabla2[[#This Row],[PRECIO UD. + RED]]="",Tabla2[[#This Row],[CONSUMIBLES UD.]]=""),0,Tabla2[[#This Row],[PRECIO UD. + RED]]+Tabla2[[#This Row],[CONSUMIBLES UD.]])</f>
        <v>0</v>
      </c>
      <c r="M8" s="227">
        <f>IF(Tabla2[[#This Row],[Horas]]&lt;&gt;"",Tabla2[[#This Row],[TOTAL UD.]]+(Tabla2[[#This Row],[Horas]]*(($G$49*$C$23)/Tabla2[[#Totals],[TOTAL HORAS]])),0)</f>
        <v>0</v>
      </c>
      <c r="N8" s="105">
        <f>IF(Tabla2[[#This Row],[TOTAL HORAS]]="",0,(Tabla2[[#This Row],[TOTAL UD. EXTRAS]]*Tabla2[[#This Row],[QTY]]))</f>
        <v>0</v>
      </c>
      <c r="O8" s="105">
        <f>IF(Tabla2[[#This Row],[QTY]]="",0,Tabla2[[#This Row],[QTY]]*Tabla2[[#This Row],[CONSUMIBLES UD.]])</f>
        <v>0</v>
      </c>
      <c r="P8" t="str">
        <f>IF(Tabla2[[#This Row],[ZTUKK1A13ZBO]]="","",VLOOKUP(Tabla2[[#This Row],[ZTUKK1A13ZBO]],'Datos Robots'!$B$4:$W$136,2,FALSE))</f>
        <v/>
      </c>
      <c r="Q8" t="str">
        <f>IF(Tabla2[[#This Row],[Tipo Mantenimiento]]="Nivel 1",1,IF(Tabla2[[#This Row],[Tipo Mantenimiento]]="Nivel 2 Inferior",2,IF(Tabla2[[#This Row],[Tipo Mantenimiento]]="Nivel 2 Superior",3,IF(Tabla2[[#This Row],[Tipo Mantenimiento]]="Nivel 3",4,""))))</f>
        <v/>
      </c>
      <c r="S8" t="str">
        <f>IF(OR(Tabla2[[#This Row],[Columna1]]=2,Tabla2[[#This Row],[Columna1]]=4),IF(Tabla2[[#This Row],[ ACEITE]]="","",VLOOKUP(Tabla2[[#This Row],[ ACEITE]],'Datos Aceites'!$A$5:$AJ$96,4,FALSE)),"")</f>
        <v/>
      </c>
      <c r="T8" t="str">
        <f>IF(OR(Tabla2[[#This Row],[Columna1]]=2,Tabla2[[#This Row],[Columna1]]=4),IF(Tabla2[[#This Row],[ ACEITE]]="","",VLOOKUP(Tabla2[[#This Row],[ ACEITE]],'Datos Aceites'!$A$5:$AJ$96,3,FALSE))*Tabla2[[#This Row],[QTY]],"")</f>
        <v/>
      </c>
      <c r="U8" t="str">
        <f>IF(OR(Tabla2[[#This Row],[Columna1]]=2,Tabla2[[#This Row],[Columna1]]=4),IF(Tabla2[[#This Row],[ ACEITE]]="","",VLOOKUP(Tabla2[[#This Row],[ ACEITE]],'Datos Aceites'!$A$5:$AJ$96,4,FALSE)),"")</f>
        <v/>
      </c>
      <c r="V8" t="str">
        <f>IF(OR(Tabla2[[#This Row],[Columna1]]=2,Tabla2[[#This Row],[Columna1]]=4),IF(Tabla2[[#This Row],[ ACEITE]]="","",VLOOKUP(Tabla2[[#This Row],[ ACEITE]],'Datos Aceites'!$A$5:$AJ$96,5,FALSE))*Tabla2[[#This Row],[QTY]],"")</f>
        <v/>
      </c>
      <c r="W8" t="str">
        <f>IF(OR(Tabla2[[#This Row],[Columna1]]=2,Tabla2[[#This Row],[Columna1]]=4),IF(Tabla2[[#This Row],[ ACEITE]]="","",VLOOKUP(Tabla2[[#This Row],[ ACEITE]],'Datos Aceites'!$A$5:$AJ$96,6,FALSE)),"")</f>
        <v/>
      </c>
      <c r="X8" t="str">
        <f>IF(OR(Tabla2[[#This Row],[Columna1]]=2,Tabla2[[#This Row],[Columna1]]=4),IF(Tabla2[[#This Row],[ ACEITE]]="","",VLOOKUP(Tabla2[[#This Row],[ ACEITE]],'Datos Aceites'!$A$5:$AJ$96,7,FALSE))*Tabla2[[#This Row],[QTY]],"")</f>
        <v/>
      </c>
      <c r="Y8" t="str">
        <f>IF(OR(Tabla2[[#This Row],[Columna1]]=3,Tabla2[[#This Row],[Columna1]]=4,Tabla2[[#This Row],[Columna1]]=2),IF(Tabla2[[#This Row],[ ACEITE]]="","",VLOOKUP(Tabla2[[#This Row],[ ACEITE]],'Datos Aceites'!$A$5:$AJ$96,8,FALSE)),"")</f>
        <v/>
      </c>
      <c r="Z8" t="str">
        <f>IF(OR(Tabla2[[#This Row],[Columna1]]=3,Tabla2[[#This Row],[Columna1]]=4,Tabla2[[#This Row],[Columna1]]=2),IF(Tabla2[[#This Row],[ ACEITE]]="","",VLOOKUP(Tabla2[[#This Row],[ ACEITE]],'Datos Aceites'!$A$5:$AJ$96,9,FALSE))*Tabla2[[#This Row],[QTY]],"")</f>
        <v/>
      </c>
      <c r="AA8" t="str">
        <f>IF(OR(Tabla2[[#This Row],[Columna1]]=3,Tabla2[[#This Row],[Columna1]]=4),IF(Tabla2[[#This Row],[ ACEITE]]="","",VLOOKUP(Tabla2[[#This Row],[ ACEITE]],'Datos Aceites'!$A$5:$AJ$96,10,FALSE)),"")</f>
        <v/>
      </c>
      <c r="AB8" t="str">
        <f>IF(OR(Tabla2[[#This Row],[Columna1]]=3,Tabla2[[#This Row],[Columna1]]=4),IF(Tabla2[[#This Row],[ ACEITE]]="","",VLOOKUP(Tabla2[[#This Row],[ ACEITE]],'Datos Aceites'!$A$5:$AJ$96,11,FALSE))*Tabla2[[#This Row],[QTY]],"")</f>
        <v/>
      </c>
      <c r="AC8" t="str">
        <f>IF(OR(Tabla2[[#This Row],[Columna1]]=3,Tabla2[[#This Row],[Columna1]]=4),IF(Tabla2[[#This Row],[ ACEITE]]="","",VLOOKUP(Tabla2[[#This Row],[ ACEITE]],'Datos Aceites'!$A$5:$AJ$96,12,FALSE)),"")</f>
        <v/>
      </c>
      <c r="AD8" t="str">
        <f>IF(OR(Tabla2[[#This Row],[Columna1]]=3,Tabla2[[#This Row],[Columna1]]=4),IF(Tabla2[[#This Row],[ ACEITE]]="","",VLOOKUP(Tabla2[[#This Row],[ ACEITE]],'Datos Aceites'!$A$5:$AJ$96,13,FALSE))*Tabla2[[#This Row],[QTY]],"")</f>
        <v/>
      </c>
    </row>
    <row r="9" spans="1:34" x14ac:dyDescent="0.25">
      <c r="A9" s="249"/>
      <c r="B9" s="244"/>
      <c r="C9" s="245"/>
      <c r="D9" s="246"/>
      <c r="E9" s="246"/>
      <c r="F9" s="247"/>
      <c r="G9" s="99" t="str">
        <f>IF(Tabla2[[#This Row],[ZTUKK1A13ZBO]]="","",VLOOKUP(Tabla2[[#This Row],[ZTUKK1A13ZBO]],'Datos Robots'!$B$4:$W$136,IF(Tabla2[[#This Row],[Tipo Mantenimiento]]="Nivel 1",3,IF(Tabla2[[#This Row],[Tipo Mantenimiento]]="Nivel 2 Inferior",7,IF(Tabla2[[#This Row],[Tipo Mantenimiento]]="Nivel 2 Superior",7,IF(Tabla2[[#This Row],[Tipo Mantenimiento]]="Nivel 3",17)))),FALSE)+IF(OR(Tabla2[[#This Row],[Baterias (X)]]="x",Tabla2[[#This Row],[Baterias (X)]]="X"),1,0)++IF(OR(Tabla2[[#This Row],[Clonar SSD (X)]]="x",Tabla2[[#This Row],[Clonar SSD (X)]]="X"),0.5,0))</f>
        <v/>
      </c>
      <c r="H9" s="99" t="str">
        <f>IF(OR(Tabla2[[#This Row],[QTY]]="",Tabla2[[#This Row],[Horas]]=""),"",Tabla2[[#This Row],[QTY]]*Tabla2[[#This Row],[Horas]])</f>
        <v/>
      </c>
      <c r="I9" s="251">
        <f>IF(Tabla2[[#This Row],[Horas]]="",0,Tabla2[[#This Row],[Horas]]*$C$23)</f>
        <v>0</v>
      </c>
      <c r="J9" s="227">
        <f>IF(Tabla2[[#This Row],[Horas]]="",0,Tabla2[[#This Row],[SUBTOTAL UD.]]+((Tabla2[[#This Row],[Horas]]*((($C$56-$E$57)*$C$35)/Tabla2[[#Totals],[TOTAL HORAS]])))*$C$23)</f>
        <v>0</v>
      </c>
      <c r="K9" s="227">
        <f>IF(Tabla2[[#This Row],[ZTUKK1A13ZBO]]="",0,IF($C$33="",0,VLOOKUP(Tabla2[[#This Row],[ZTUKK1A13ZBO]],'Datos Robots'!$B$4:$W$136,IF(Tabla2[[#This Row],[Tipo Mantenimiento]]="Nivel 1",5,IF(Tabla2[[#This Row],[Tipo Mantenimiento]]="Nivel 2 Inferior",11,IF(Tabla2[[#This Row],[Tipo Mantenimiento]]="Nivel 2 Superior",11,IF(Tabla2[[#This Row],[Tipo Mantenimiento]]="Nivel 3",21)))),FALSE)+IF(OR(Tabla2[[#This Row],[Baterias (X)]]="x",Tabla2[[#This Row],[Baterias (X)]]="X"),75,0)+IF(OR(Tabla2[[#This Row],[Clonar SSD (X)]]="x",Tabla2[[#This Row],[Clonar SSD (X)]]="X"),150,0)))</f>
        <v>0</v>
      </c>
      <c r="L9" s="227">
        <f>IF(OR(Tabla2[[#This Row],[PRECIO UD. + RED]]="",Tabla2[[#This Row],[CONSUMIBLES UD.]]=""),0,Tabla2[[#This Row],[PRECIO UD. + RED]]+Tabla2[[#This Row],[CONSUMIBLES UD.]])</f>
        <v>0</v>
      </c>
      <c r="M9" s="227">
        <f>IF(Tabla2[[#This Row],[Horas]]&lt;&gt;"",Tabla2[[#This Row],[TOTAL UD.]]+(Tabla2[[#This Row],[Horas]]*(($G$49*$C$23)/Tabla2[[#Totals],[TOTAL HORAS]])),0)</f>
        <v>0</v>
      </c>
      <c r="N9" s="105">
        <f>IF(Tabla2[[#This Row],[TOTAL HORAS]]="",0,(Tabla2[[#This Row],[TOTAL UD. EXTRAS]]*Tabla2[[#This Row],[QTY]]))</f>
        <v>0</v>
      </c>
      <c r="O9" s="105">
        <f>IF(Tabla2[[#This Row],[QTY]]="",0,Tabla2[[#This Row],[QTY]]*Tabla2[[#This Row],[CONSUMIBLES UD.]])</f>
        <v>0</v>
      </c>
      <c r="P9" t="str">
        <f>IF(Tabla2[[#This Row],[ZTUKK1A13ZBO]]="","",VLOOKUP(Tabla2[[#This Row],[ZTUKK1A13ZBO]],'Datos Robots'!$B$4:$W$136,2,FALSE))</f>
        <v/>
      </c>
      <c r="Q9" t="str">
        <f>IF(Tabla2[[#This Row],[Tipo Mantenimiento]]="Nivel 1",1,IF(Tabla2[[#This Row],[Tipo Mantenimiento]]="Nivel 2 Inferior",2,IF(Tabla2[[#This Row],[Tipo Mantenimiento]]="Nivel 2 Superior",3,IF(Tabla2[[#This Row],[Tipo Mantenimiento]]="Nivel 3",4,""))))</f>
        <v/>
      </c>
      <c r="S9" t="str">
        <f>IF(OR(Tabla2[[#This Row],[Columna1]]=2,Tabla2[[#This Row],[Columna1]]=4),IF(Tabla2[[#This Row],[ ACEITE]]="","",VLOOKUP(Tabla2[[#This Row],[ ACEITE]],'Datos Aceites'!$A$5:$AJ$96,4,FALSE)),"")</f>
        <v/>
      </c>
      <c r="T9" t="str">
        <f>IF(OR(Tabla2[[#This Row],[Columna1]]=2,Tabla2[[#This Row],[Columna1]]=4),IF(Tabla2[[#This Row],[ ACEITE]]="","",VLOOKUP(Tabla2[[#This Row],[ ACEITE]],'Datos Aceites'!$A$5:$AJ$96,3,FALSE))*Tabla2[[#This Row],[QTY]],"")</f>
        <v/>
      </c>
      <c r="U9" t="str">
        <f>IF(OR(Tabla2[[#This Row],[Columna1]]=2,Tabla2[[#This Row],[Columna1]]=4),IF(Tabla2[[#This Row],[ ACEITE]]="","",VLOOKUP(Tabla2[[#This Row],[ ACEITE]],'Datos Aceites'!$A$5:$AJ$96,4,FALSE)),"")</f>
        <v/>
      </c>
      <c r="V9" t="str">
        <f>IF(OR(Tabla2[[#This Row],[Columna1]]=2,Tabla2[[#This Row],[Columna1]]=4),IF(Tabla2[[#This Row],[ ACEITE]]="","",VLOOKUP(Tabla2[[#This Row],[ ACEITE]],'Datos Aceites'!$A$5:$AJ$96,5,FALSE))*Tabla2[[#This Row],[QTY]],"")</f>
        <v/>
      </c>
      <c r="W9" t="str">
        <f>IF(OR(Tabla2[[#This Row],[Columna1]]=2,Tabla2[[#This Row],[Columna1]]=4),IF(Tabla2[[#This Row],[ ACEITE]]="","",VLOOKUP(Tabla2[[#This Row],[ ACEITE]],'Datos Aceites'!$A$5:$AJ$96,6,FALSE)),"")</f>
        <v/>
      </c>
      <c r="X9" t="str">
        <f>IF(OR(Tabla2[[#This Row],[Columna1]]=2,Tabla2[[#This Row],[Columna1]]=4),IF(Tabla2[[#This Row],[ ACEITE]]="","",VLOOKUP(Tabla2[[#This Row],[ ACEITE]],'Datos Aceites'!$A$5:$AJ$96,7,FALSE))*Tabla2[[#This Row],[QTY]],"")</f>
        <v/>
      </c>
      <c r="Y9" t="str">
        <f>IF(OR(Tabla2[[#This Row],[Columna1]]=3,Tabla2[[#This Row],[Columna1]]=4,Tabla2[[#This Row],[Columna1]]=2),IF(Tabla2[[#This Row],[ ACEITE]]="","",VLOOKUP(Tabla2[[#This Row],[ ACEITE]],'Datos Aceites'!$A$5:$AJ$96,8,FALSE)),"")</f>
        <v/>
      </c>
      <c r="Z9" t="str">
        <f>IF(OR(Tabla2[[#This Row],[Columna1]]=3,Tabla2[[#This Row],[Columna1]]=4,Tabla2[[#This Row],[Columna1]]=2),IF(Tabla2[[#This Row],[ ACEITE]]="","",VLOOKUP(Tabla2[[#This Row],[ ACEITE]],'Datos Aceites'!$A$5:$AJ$96,9,FALSE))*Tabla2[[#This Row],[QTY]],"")</f>
        <v/>
      </c>
      <c r="AA9" t="str">
        <f>IF(OR(Tabla2[[#This Row],[Columna1]]=3,Tabla2[[#This Row],[Columna1]]=4),IF(Tabla2[[#This Row],[ ACEITE]]="","",VLOOKUP(Tabla2[[#This Row],[ ACEITE]],'Datos Aceites'!$A$5:$AJ$96,10,FALSE)),"")</f>
        <v/>
      </c>
      <c r="AB9" t="str">
        <f>IF(OR(Tabla2[[#This Row],[Columna1]]=3,Tabla2[[#This Row],[Columna1]]=4),IF(Tabla2[[#This Row],[ ACEITE]]="","",VLOOKUP(Tabla2[[#This Row],[ ACEITE]],'Datos Aceites'!$A$5:$AJ$96,11,FALSE))*Tabla2[[#This Row],[QTY]],"")</f>
        <v/>
      </c>
      <c r="AC9" t="str">
        <f>IF(OR(Tabla2[[#This Row],[Columna1]]=3,Tabla2[[#This Row],[Columna1]]=4),IF(Tabla2[[#This Row],[ ACEITE]]="","",VLOOKUP(Tabla2[[#This Row],[ ACEITE]],'Datos Aceites'!$A$5:$AJ$96,12,FALSE)),"")</f>
        <v/>
      </c>
      <c r="AD9" t="str">
        <f>IF(OR(Tabla2[[#This Row],[Columna1]]=3,Tabla2[[#This Row],[Columna1]]=4),IF(Tabla2[[#This Row],[ ACEITE]]="","",VLOOKUP(Tabla2[[#This Row],[ ACEITE]],'Datos Aceites'!$A$5:$AJ$96,13,FALSE))*Tabla2[[#This Row],[QTY]],"")</f>
        <v/>
      </c>
    </row>
    <row r="10" spans="1:34" x14ac:dyDescent="0.25">
      <c r="A10" s="249"/>
      <c r="B10" s="120"/>
      <c r="D10" s="99"/>
      <c r="E10" s="99"/>
      <c r="F10" s="121"/>
      <c r="G10" s="99" t="str">
        <f>IF(Tabla2[[#This Row],[ZTUKK1A13ZBO]]="","",VLOOKUP(Tabla2[[#This Row],[ZTUKK1A13ZBO]],'Datos Robots'!$B$4:$W$136,IF(Tabla2[[#This Row],[Tipo Mantenimiento]]="Nivel 1",3,IF(Tabla2[[#This Row],[Tipo Mantenimiento]]="Nivel 2 Inferior",7,IF(Tabla2[[#This Row],[Tipo Mantenimiento]]="Nivel 2 Superior",7,IF(Tabla2[[#This Row],[Tipo Mantenimiento]]="Nivel 3",17)))),FALSE)+IF(OR(Tabla2[[#This Row],[Baterias (X)]]="x",Tabla2[[#This Row],[Baterias (X)]]="X"),1,0)++IF(OR(Tabla2[[#This Row],[Clonar SSD (X)]]="x",Tabla2[[#This Row],[Clonar SSD (X)]]="X"),0.5,0))</f>
        <v/>
      </c>
      <c r="H10" s="99" t="str">
        <f>IF(OR(Tabla2[[#This Row],[QTY]]="",Tabla2[[#This Row],[Horas]]=""),"",Tabla2[[#This Row],[QTY]]*Tabla2[[#This Row],[Horas]])</f>
        <v/>
      </c>
      <c r="I10" s="251">
        <f>IF(Tabla2[[#This Row],[Horas]]="",0,Tabla2[[#This Row],[Horas]]*$C$23)</f>
        <v>0</v>
      </c>
      <c r="J10" s="227">
        <f>IF(Tabla2[[#This Row],[Horas]]="",0,Tabla2[[#This Row],[SUBTOTAL UD.]]+((Tabla2[[#This Row],[Horas]]*((($C$56-$E$57)*$C$35)/Tabla2[[#Totals],[TOTAL HORAS]])))*$C$23)</f>
        <v>0</v>
      </c>
      <c r="K10" s="227">
        <f>IF(Tabla2[[#This Row],[ZTUKK1A13ZBO]]="",0,IF($C$33="",0,VLOOKUP(Tabla2[[#This Row],[ZTUKK1A13ZBO]],'Datos Robots'!$B$4:$W$136,IF(Tabla2[[#This Row],[Tipo Mantenimiento]]="Nivel 1",5,IF(Tabla2[[#This Row],[Tipo Mantenimiento]]="Nivel 2 Inferior",11,IF(Tabla2[[#This Row],[Tipo Mantenimiento]]="Nivel 2 Superior",11,IF(Tabla2[[#This Row],[Tipo Mantenimiento]]="Nivel 3",21)))),FALSE)+IF(OR(Tabla2[[#This Row],[Baterias (X)]]="x",Tabla2[[#This Row],[Baterias (X)]]="X"),75,0)+IF(OR(Tabla2[[#This Row],[Clonar SSD (X)]]="x",Tabla2[[#This Row],[Clonar SSD (X)]]="X"),150,0)))</f>
        <v>0</v>
      </c>
      <c r="L10" s="227">
        <f>IF(OR(Tabla2[[#This Row],[PRECIO UD. + RED]]="",Tabla2[[#This Row],[CONSUMIBLES UD.]]=""),0,Tabla2[[#This Row],[PRECIO UD. + RED]]+Tabla2[[#This Row],[CONSUMIBLES UD.]])</f>
        <v>0</v>
      </c>
      <c r="M10" s="227">
        <f>IF(Tabla2[[#This Row],[Horas]]&lt;&gt;"",Tabla2[[#This Row],[TOTAL UD.]]+(Tabla2[[#This Row],[Horas]]*(($G$49*$C$23)/Tabla2[[#Totals],[TOTAL HORAS]])),0)</f>
        <v>0</v>
      </c>
      <c r="N10" s="105">
        <f>IF(Tabla2[[#This Row],[TOTAL HORAS]]="",0,(Tabla2[[#This Row],[TOTAL UD. EXTRAS]]*Tabla2[[#This Row],[QTY]]))</f>
        <v>0</v>
      </c>
      <c r="O10" s="105">
        <f>IF(Tabla2[[#This Row],[QTY]]="",0,Tabla2[[#This Row],[QTY]]*Tabla2[[#This Row],[CONSUMIBLES UD.]])</f>
        <v>0</v>
      </c>
      <c r="P10" t="str">
        <f>IF(Tabla2[[#This Row],[ZTUKK1A13ZBO]]="","",VLOOKUP(Tabla2[[#This Row],[ZTUKK1A13ZBO]],'Datos Robots'!$B$4:$W$136,2,FALSE))</f>
        <v/>
      </c>
      <c r="Q10" t="str">
        <f>IF(Tabla2[[#This Row],[Tipo Mantenimiento]]="Nivel 1",1,IF(Tabla2[[#This Row],[Tipo Mantenimiento]]="Nivel 2 Inferior",2,IF(Tabla2[[#This Row],[Tipo Mantenimiento]]="Nivel 2 Superior",3,IF(Tabla2[[#This Row],[Tipo Mantenimiento]]="Nivel 3",4,""))))</f>
        <v/>
      </c>
      <c r="S10" t="str">
        <f>IF(OR(Tabla2[[#This Row],[Columna1]]=2,Tabla2[[#This Row],[Columna1]]=4),IF(Tabla2[[#This Row],[ ACEITE]]="","",VLOOKUP(Tabla2[[#This Row],[ ACEITE]],'Datos Aceites'!$A$5:$AJ$96,4,FALSE)),"")</f>
        <v/>
      </c>
      <c r="T10" t="str">
        <f>IF(OR(Tabla2[[#This Row],[Columna1]]=2,Tabla2[[#This Row],[Columna1]]=4),IF(Tabla2[[#This Row],[ ACEITE]]="","",VLOOKUP(Tabla2[[#This Row],[ ACEITE]],'Datos Aceites'!$A$5:$AJ$96,3,FALSE))*Tabla2[[#This Row],[QTY]],"")</f>
        <v/>
      </c>
      <c r="U10" t="str">
        <f>IF(OR(Tabla2[[#This Row],[Columna1]]=2,Tabla2[[#This Row],[Columna1]]=4),IF(Tabla2[[#This Row],[ ACEITE]]="","",VLOOKUP(Tabla2[[#This Row],[ ACEITE]],'Datos Aceites'!$A$5:$AJ$96,4,FALSE)),"")</f>
        <v/>
      </c>
      <c r="V10" t="str">
        <f>IF(OR(Tabla2[[#This Row],[Columna1]]=2,Tabla2[[#This Row],[Columna1]]=4),IF(Tabla2[[#This Row],[ ACEITE]]="","",VLOOKUP(Tabla2[[#This Row],[ ACEITE]],'Datos Aceites'!$A$5:$AJ$96,5,FALSE))*Tabla2[[#This Row],[QTY]],"")</f>
        <v/>
      </c>
      <c r="W10" t="str">
        <f>IF(OR(Tabla2[[#This Row],[Columna1]]=2,Tabla2[[#This Row],[Columna1]]=4),IF(Tabla2[[#This Row],[ ACEITE]]="","",VLOOKUP(Tabla2[[#This Row],[ ACEITE]],'Datos Aceites'!$A$5:$AJ$96,6,FALSE)),"")</f>
        <v/>
      </c>
      <c r="X10" t="str">
        <f>IF(OR(Tabla2[[#This Row],[Columna1]]=2,Tabla2[[#This Row],[Columna1]]=4),IF(Tabla2[[#This Row],[ ACEITE]]="","",VLOOKUP(Tabla2[[#This Row],[ ACEITE]],'Datos Aceites'!$A$5:$AJ$96,7,FALSE))*Tabla2[[#This Row],[QTY]],"")</f>
        <v/>
      </c>
      <c r="Y10" t="str">
        <f>IF(OR(Tabla2[[#This Row],[Columna1]]=3,Tabla2[[#This Row],[Columna1]]=4,Tabla2[[#This Row],[Columna1]]=2),IF(Tabla2[[#This Row],[ ACEITE]]="","",VLOOKUP(Tabla2[[#This Row],[ ACEITE]],'Datos Aceites'!$A$5:$AJ$96,8,FALSE)),"")</f>
        <v/>
      </c>
      <c r="Z10" t="str">
        <f>IF(OR(Tabla2[[#This Row],[Columna1]]=3,Tabla2[[#This Row],[Columna1]]=4,Tabla2[[#This Row],[Columna1]]=2),IF(Tabla2[[#This Row],[ ACEITE]]="","",VLOOKUP(Tabla2[[#This Row],[ ACEITE]],'Datos Aceites'!$A$5:$AJ$96,9,FALSE))*Tabla2[[#This Row],[QTY]],"")</f>
        <v/>
      </c>
      <c r="AA10" t="str">
        <f>IF(OR(Tabla2[[#This Row],[Columna1]]=3,Tabla2[[#This Row],[Columna1]]=4),IF(Tabla2[[#This Row],[ ACEITE]]="","",VLOOKUP(Tabla2[[#This Row],[ ACEITE]],'Datos Aceites'!$A$5:$AJ$96,10,FALSE)),"")</f>
        <v/>
      </c>
      <c r="AB10" t="str">
        <f>IF(OR(Tabla2[[#This Row],[Columna1]]=3,Tabla2[[#This Row],[Columna1]]=4),IF(Tabla2[[#This Row],[ ACEITE]]="","",VLOOKUP(Tabla2[[#This Row],[ ACEITE]],'Datos Aceites'!$A$5:$AJ$96,11,FALSE))*Tabla2[[#This Row],[QTY]],"")</f>
        <v/>
      </c>
      <c r="AC10" t="str">
        <f>IF(OR(Tabla2[[#This Row],[Columna1]]=3,Tabla2[[#This Row],[Columna1]]=4),IF(Tabla2[[#This Row],[ ACEITE]]="","",VLOOKUP(Tabla2[[#This Row],[ ACEITE]],'Datos Aceites'!$A$5:$AJ$96,12,FALSE)),"")</f>
        <v/>
      </c>
      <c r="AD10" t="str">
        <f>IF(OR(Tabla2[[#This Row],[Columna1]]=3,Tabla2[[#This Row],[Columna1]]=4),IF(Tabla2[[#This Row],[ ACEITE]]="","",VLOOKUP(Tabla2[[#This Row],[ ACEITE]],'Datos Aceites'!$A$5:$AJ$96,13,FALSE))*Tabla2[[#This Row],[QTY]],"")</f>
        <v/>
      </c>
    </row>
    <row r="11" spans="1:34" x14ac:dyDescent="0.25">
      <c r="A11" s="249"/>
      <c r="B11" s="120"/>
      <c r="D11" s="99"/>
      <c r="E11" s="99"/>
      <c r="F11" s="121"/>
      <c r="G11" s="99" t="str">
        <f>IF(Tabla2[[#This Row],[ZTUKK1A13ZBO]]="","",VLOOKUP(Tabla2[[#This Row],[ZTUKK1A13ZBO]],'Datos Robots'!$B$4:$W$136,IF(Tabla2[[#This Row],[Tipo Mantenimiento]]="Nivel 1",3,IF(Tabla2[[#This Row],[Tipo Mantenimiento]]="Nivel 2 Inferior",7,IF(Tabla2[[#This Row],[Tipo Mantenimiento]]="Nivel 2 Superior",7,IF(Tabla2[[#This Row],[Tipo Mantenimiento]]="Nivel 3",17)))),FALSE)+IF(OR(Tabla2[[#This Row],[Baterias (X)]]="x",Tabla2[[#This Row],[Baterias (X)]]="X"),1,0)++IF(OR(Tabla2[[#This Row],[Clonar SSD (X)]]="x",Tabla2[[#This Row],[Clonar SSD (X)]]="X"),0.5,0))</f>
        <v/>
      </c>
      <c r="H11" s="99" t="str">
        <f>IF(OR(Tabla2[[#This Row],[QTY]]="",Tabla2[[#This Row],[Horas]]=""),"",Tabla2[[#This Row],[QTY]]*Tabla2[[#This Row],[Horas]])</f>
        <v/>
      </c>
      <c r="I11" s="251">
        <f>IF(Tabla2[[#This Row],[Horas]]="",0,Tabla2[[#This Row],[Horas]]*$C$23)</f>
        <v>0</v>
      </c>
      <c r="J11" s="227">
        <f>IF(Tabla2[[#This Row],[Horas]]="",0,Tabla2[[#This Row],[SUBTOTAL UD.]]+((Tabla2[[#This Row],[Horas]]*((($C$56-$E$57)*$C$35)/Tabla2[[#Totals],[TOTAL HORAS]])))*$C$23)</f>
        <v>0</v>
      </c>
      <c r="K11" s="227">
        <f>IF(Tabla2[[#This Row],[ZTUKK1A13ZBO]]="",0,IF($C$33="",0,VLOOKUP(Tabla2[[#This Row],[ZTUKK1A13ZBO]],'Datos Robots'!$B$4:$W$136,IF(Tabla2[[#This Row],[Tipo Mantenimiento]]="Nivel 1",5,IF(Tabla2[[#This Row],[Tipo Mantenimiento]]="Nivel 2 Inferior",11,IF(Tabla2[[#This Row],[Tipo Mantenimiento]]="Nivel 2 Superior",11,IF(Tabla2[[#This Row],[Tipo Mantenimiento]]="Nivel 3",21)))),FALSE)+IF(OR(Tabla2[[#This Row],[Baterias (X)]]="x",Tabla2[[#This Row],[Baterias (X)]]="X"),75,0)+IF(OR(Tabla2[[#This Row],[Clonar SSD (X)]]="x",Tabla2[[#This Row],[Clonar SSD (X)]]="X"),150,0)))</f>
        <v>0</v>
      </c>
      <c r="L11" s="227">
        <f>IF(OR(Tabla2[[#This Row],[PRECIO UD. + RED]]="",Tabla2[[#This Row],[CONSUMIBLES UD.]]=""),0,Tabla2[[#This Row],[PRECIO UD. + RED]]+Tabla2[[#This Row],[CONSUMIBLES UD.]])</f>
        <v>0</v>
      </c>
      <c r="M11" s="227">
        <f>IF(Tabla2[[#This Row],[Horas]]&lt;&gt;"",Tabla2[[#This Row],[TOTAL UD.]]+(Tabla2[[#This Row],[Horas]]*(($G$49*$C$23)/Tabla2[[#Totals],[TOTAL HORAS]])),0)</f>
        <v>0</v>
      </c>
      <c r="N11" s="105">
        <f>IF(Tabla2[[#This Row],[TOTAL HORAS]]="",0,(Tabla2[[#This Row],[TOTAL UD. EXTRAS]]*Tabla2[[#This Row],[QTY]]))</f>
        <v>0</v>
      </c>
      <c r="O11" s="105">
        <f>IF(Tabla2[[#This Row],[QTY]]="",0,Tabla2[[#This Row],[QTY]]*Tabla2[[#This Row],[CONSUMIBLES UD.]])</f>
        <v>0</v>
      </c>
      <c r="P11" t="str">
        <f>IF(Tabla2[[#This Row],[ZTUKK1A13ZBO]]="","",VLOOKUP(Tabla2[[#This Row],[ZTUKK1A13ZBO]],'Datos Robots'!$B$4:$W$136,2,FALSE))</f>
        <v/>
      </c>
      <c r="Q11" t="str">
        <f>IF(Tabla2[[#This Row],[Tipo Mantenimiento]]="Nivel 1",1,IF(Tabla2[[#This Row],[Tipo Mantenimiento]]="Nivel 2 Inferior",2,IF(Tabla2[[#This Row],[Tipo Mantenimiento]]="Nivel 2 Superior",3,IF(Tabla2[[#This Row],[Tipo Mantenimiento]]="Nivel 3",4,""))))</f>
        <v/>
      </c>
      <c r="S11" t="str">
        <f>IF(OR(Tabla2[[#This Row],[Columna1]]=2,Tabla2[[#This Row],[Columna1]]=4),IF(Tabla2[[#This Row],[ ACEITE]]="","",VLOOKUP(Tabla2[[#This Row],[ ACEITE]],'Datos Aceites'!$A$5:$AJ$96,4,FALSE)),"")</f>
        <v/>
      </c>
      <c r="T11" t="str">
        <f>IF(OR(Tabla2[[#This Row],[Columna1]]=2,Tabla2[[#This Row],[Columna1]]=4),IF(Tabla2[[#This Row],[ ACEITE]]="","",VLOOKUP(Tabla2[[#This Row],[ ACEITE]],'Datos Aceites'!$A$5:$AJ$96,3,FALSE))*Tabla2[[#This Row],[QTY]],"")</f>
        <v/>
      </c>
      <c r="U11" t="str">
        <f>IF(OR(Tabla2[[#This Row],[Columna1]]=2,Tabla2[[#This Row],[Columna1]]=4),IF(Tabla2[[#This Row],[ ACEITE]]="","",VLOOKUP(Tabla2[[#This Row],[ ACEITE]],'Datos Aceites'!$A$5:$AJ$96,4,FALSE)),"")</f>
        <v/>
      </c>
      <c r="V11" t="str">
        <f>IF(OR(Tabla2[[#This Row],[Columna1]]=2,Tabla2[[#This Row],[Columna1]]=4),IF(Tabla2[[#This Row],[ ACEITE]]="","",VLOOKUP(Tabla2[[#This Row],[ ACEITE]],'Datos Aceites'!$A$5:$AJ$96,5,FALSE))*Tabla2[[#This Row],[QTY]],"")</f>
        <v/>
      </c>
      <c r="W11" t="str">
        <f>IF(OR(Tabla2[[#This Row],[Columna1]]=2,Tabla2[[#This Row],[Columna1]]=4),IF(Tabla2[[#This Row],[ ACEITE]]="","",VLOOKUP(Tabla2[[#This Row],[ ACEITE]],'Datos Aceites'!$A$5:$AJ$96,6,FALSE)),"")</f>
        <v/>
      </c>
      <c r="X11" t="str">
        <f>IF(OR(Tabla2[[#This Row],[Columna1]]=2,Tabla2[[#This Row],[Columna1]]=4),IF(Tabla2[[#This Row],[ ACEITE]]="","",VLOOKUP(Tabla2[[#This Row],[ ACEITE]],'Datos Aceites'!$A$5:$AJ$96,7,FALSE))*Tabla2[[#This Row],[QTY]],"")</f>
        <v/>
      </c>
      <c r="Y11" t="str">
        <f>IF(OR(Tabla2[[#This Row],[Columna1]]=3,Tabla2[[#This Row],[Columna1]]=4,Tabla2[[#This Row],[Columna1]]=2),IF(Tabla2[[#This Row],[ ACEITE]]="","",VLOOKUP(Tabla2[[#This Row],[ ACEITE]],'Datos Aceites'!$A$5:$AJ$96,8,FALSE)),"")</f>
        <v/>
      </c>
      <c r="Z11" t="str">
        <f>IF(OR(Tabla2[[#This Row],[Columna1]]=3,Tabla2[[#This Row],[Columna1]]=4,Tabla2[[#This Row],[Columna1]]=2),IF(Tabla2[[#This Row],[ ACEITE]]="","",VLOOKUP(Tabla2[[#This Row],[ ACEITE]],'Datos Aceites'!$A$5:$AJ$96,9,FALSE))*Tabla2[[#This Row],[QTY]],"")</f>
        <v/>
      </c>
      <c r="AA11" t="str">
        <f>IF(OR(Tabla2[[#This Row],[Columna1]]=3,Tabla2[[#This Row],[Columna1]]=4),IF(Tabla2[[#This Row],[ ACEITE]]="","",VLOOKUP(Tabla2[[#This Row],[ ACEITE]],'Datos Aceites'!$A$5:$AJ$96,10,FALSE)),"")</f>
        <v/>
      </c>
      <c r="AB11" t="str">
        <f>IF(OR(Tabla2[[#This Row],[Columna1]]=3,Tabla2[[#This Row],[Columna1]]=4),IF(Tabla2[[#This Row],[ ACEITE]]="","",VLOOKUP(Tabla2[[#This Row],[ ACEITE]],'Datos Aceites'!$A$5:$AJ$96,11,FALSE))*Tabla2[[#This Row],[QTY]],"")</f>
        <v/>
      </c>
      <c r="AC11" t="str">
        <f>IF(OR(Tabla2[[#This Row],[Columna1]]=3,Tabla2[[#This Row],[Columna1]]=4),IF(Tabla2[[#This Row],[ ACEITE]]="","",VLOOKUP(Tabla2[[#This Row],[ ACEITE]],'Datos Aceites'!$A$5:$AJ$96,12,FALSE)),"")</f>
        <v/>
      </c>
      <c r="AD11" t="str">
        <f>IF(OR(Tabla2[[#This Row],[Columna1]]=3,Tabla2[[#This Row],[Columna1]]=4),IF(Tabla2[[#This Row],[ ACEITE]]="","",VLOOKUP(Tabla2[[#This Row],[ ACEITE]],'Datos Aceites'!$A$5:$AJ$96,13,FALSE))*Tabla2[[#This Row],[QTY]],"")</f>
        <v/>
      </c>
    </row>
    <row r="12" spans="1:34" x14ac:dyDescent="0.25">
      <c r="A12" s="249"/>
      <c r="B12" s="120"/>
      <c r="D12" s="99"/>
      <c r="E12" s="99"/>
      <c r="F12" s="121"/>
      <c r="G12" s="99" t="str">
        <f>IF(Tabla2[[#This Row],[ZTUKK1A13ZBO]]="","",VLOOKUP(Tabla2[[#This Row],[ZTUKK1A13ZBO]],'Datos Robots'!$B$4:$W$136,IF(Tabla2[[#This Row],[Tipo Mantenimiento]]="Nivel 1",3,IF(Tabla2[[#This Row],[Tipo Mantenimiento]]="Nivel 2 Inferior",7,IF(Tabla2[[#This Row],[Tipo Mantenimiento]]="Nivel 2 Superior",7,IF(Tabla2[[#This Row],[Tipo Mantenimiento]]="Nivel 3",17)))),FALSE)+IF(OR(Tabla2[[#This Row],[Baterias (X)]]="x",Tabla2[[#This Row],[Baterias (X)]]="X"),1,0)++IF(OR(Tabla2[[#This Row],[Clonar SSD (X)]]="x",Tabla2[[#This Row],[Clonar SSD (X)]]="X"),0.5,0))</f>
        <v/>
      </c>
      <c r="H12" s="99" t="str">
        <f>IF(OR(Tabla2[[#This Row],[QTY]]="",Tabla2[[#This Row],[Horas]]=""),"",Tabla2[[#This Row],[QTY]]*Tabla2[[#This Row],[Horas]])</f>
        <v/>
      </c>
      <c r="I12" s="251">
        <f>IF(Tabla2[[#This Row],[Horas]]="",0,Tabla2[[#This Row],[Horas]]*$C$23)</f>
        <v>0</v>
      </c>
      <c r="J12" s="227">
        <f>IF(Tabla2[[#This Row],[Horas]]="",0,Tabla2[[#This Row],[SUBTOTAL UD.]]+((Tabla2[[#This Row],[Horas]]*((($C$56-$E$57)*$C$35)/Tabla2[[#Totals],[TOTAL HORAS]])))*$C$23)</f>
        <v>0</v>
      </c>
      <c r="K12" s="227">
        <f>IF(Tabla2[[#This Row],[ZTUKK1A13ZBO]]="",0,IF($C$33="",0,VLOOKUP(Tabla2[[#This Row],[ZTUKK1A13ZBO]],'Datos Robots'!$B$4:$W$136,IF(Tabla2[[#This Row],[Tipo Mantenimiento]]="Nivel 1",5,IF(Tabla2[[#This Row],[Tipo Mantenimiento]]="Nivel 2 Inferior",11,IF(Tabla2[[#This Row],[Tipo Mantenimiento]]="Nivel 2 Superior",11,IF(Tabla2[[#This Row],[Tipo Mantenimiento]]="Nivel 3",21)))),FALSE)+IF(OR(Tabla2[[#This Row],[Baterias (X)]]="x",Tabla2[[#This Row],[Baterias (X)]]="X"),75,0)+IF(OR(Tabla2[[#This Row],[Clonar SSD (X)]]="x",Tabla2[[#This Row],[Clonar SSD (X)]]="X"),150,0)))</f>
        <v>0</v>
      </c>
      <c r="L12" s="227">
        <f>IF(OR(Tabla2[[#This Row],[PRECIO UD. + RED]]="",Tabla2[[#This Row],[CONSUMIBLES UD.]]=""),0,Tabla2[[#This Row],[PRECIO UD. + RED]]+Tabla2[[#This Row],[CONSUMIBLES UD.]])</f>
        <v>0</v>
      </c>
      <c r="M12" s="227">
        <f>IF(Tabla2[[#This Row],[Horas]]&lt;&gt;"",Tabla2[[#This Row],[TOTAL UD.]]+(Tabla2[[#This Row],[Horas]]*(($G$49*$C$23)/Tabla2[[#Totals],[TOTAL HORAS]])),0)</f>
        <v>0</v>
      </c>
      <c r="N12" s="105">
        <f>IF(Tabla2[[#This Row],[TOTAL HORAS]]="",0,(Tabla2[[#This Row],[TOTAL UD. EXTRAS]]*Tabla2[[#This Row],[QTY]]))</f>
        <v>0</v>
      </c>
      <c r="O12" s="105">
        <f>IF(Tabla2[[#This Row],[QTY]]="",0,Tabla2[[#This Row],[QTY]]*Tabla2[[#This Row],[CONSUMIBLES UD.]])</f>
        <v>0</v>
      </c>
      <c r="P12" t="str">
        <f>IF(Tabla2[[#This Row],[ZTUKK1A13ZBO]]="","",VLOOKUP(Tabla2[[#This Row],[ZTUKK1A13ZBO]],'Datos Robots'!$B$4:$W$136,2,FALSE))</f>
        <v/>
      </c>
      <c r="Q12" t="str">
        <f>IF(Tabla2[[#This Row],[Tipo Mantenimiento]]="Nivel 1",1,IF(Tabla2[[#This Row],[Tipo Mantenimiento]]="Nivel 2 Inferior",2,IF(Tabla2[[#This Row],[Tipo Mantenimiento]]="Nivel 2 Superior",3,IF(Tabla2[[#This Row],[Tipo Mantenimiento]]="Nivel 3",4,""))))</f>
        <v/>
      </c>
      <c r="S12" t="str">
        <f>IF(OR(Tabla2[[#This Row],[Columna1]]=2,Tabla2[[#This Row],[Columna1]]=4),IF(Tabla2[[#This Row],[ ACEITE]]="","",VLOOKUP(Tabla2[[#This Row],[ ACEITE]],'Datos Aceites'!$A$5:$AJ$96,4,FALSE)),"")</f>
        <v/>
      </c>
      <c r="T12" t="str">
        <f>IF(OR(Tabla2[[#This Row],[Columna1]]=2,Tabla2[[#This Row],[Columna1]]=4),IF(Tabla2[[#This Row],[ ACEITE]]="","",VLOOKUP(Tabla2[[#This Row],[ ACEITE]],'Datos Aceites'!$A$5:$AJ$96,3,FALSE))*Tabla2[[#This Row],[QTY]],"")</f>
        <v/>
      </c>
      <c r="U12" t="str">
        <f>IF(OR(Tabla2[[#This Row],[Columna1]]=2,Tabla2[[#This Row],[Columna1]]=4),IF(Tabla2[[#This Row],[ ACEITE]]="","",VLOOKUP(Tabla2[[#This Row],[ ACEITE]],'Datos Aceites'!$A$5:$AJ$96,4,FALSE)),"")</f>
        <v/>
      </c>
      <c r="V12" t="str">
        <f>IF(OR(Tabla2[[#This Row],[Columna1]]=2,Tabla2[[#This Row],[Columna1]]=4),IF(Tabla2[[#This Row],[ ACEITE]]="","",VLOOKUP(Tabla2[[#This Row],[ ACEITE]],'Datos Aceites'!$A$5:$AJ$96,5,FALSE))*Tabla2[[#This Row],[QTY]],"")</f>
        <v/>
      </c>
      <c r="W12" t="str">
        <f>IF(OR(Tabla2[[#This Row],[Columna1]]=2,Tabla2[[#This Row],[Columna1]]=4),IF(Tabla2[[#This Row],[ ACEITE]]="","",VLOOKUP(Tabla2[[#This Row],[ ACEITE]],'Datos Aceites'!$A$5:$AJ$96,6,FALSE)),"")</f>
        <v/>
      </c>
      <c r="X12" t="str">
        <f>IF(OR(Tabla2[[#This Row],[Columna1]]=2,Tabla2[[#This Row],[Columna1]]=4),IF(Tabla2[[#This Row],[ ACEITE]]="","",VLOOKUP(Tabla2[[#This Row],[ ACEITE]],'Datos Aceites'!$A$5:$AJ$96,7,FALSE))*Tabla2[[#This Row],[QTY]],"")</f>
        <v/>
      </c>
      <c r="Y12" t="str">
        <f>IF(OR(Tabla2[[#This Row],[Columna1]]=3,Tabla2[[#This Row],[Columna1]]=4,Tabla2[[#This Row],[Columna1]]=2),IF(Tabla2[[#This Row],[ ACEITE]]="","",VLOOKUP(Tabla2[[#This Row],[ ACEITE]],'Datos Aceites'!$A$5:$AJ$96,8,FALSE)),"")</f>
        <v/>
      </c>
      <c r="Z12" t="str">
        <f>IF(OR(Tabla2[[#This Row],[Columna1]]=3,Tabla2[[#This Row],[Columna1]]=4,Tabla2[[#This Row],[Columna1]]=2),IF(Tabla2[[#This Row],[ ACEITE]]="","",VLOOKUP(Tabla2[[#This Row],[ ACEITE]],'Datos Aceites'!$A$5:$AJ$96,9,FALSE))*Tabla2[[#This Row],[QTY]],"")</f>
        <v/>
      </c>
      <c r="AA12" t="str">
        <f>IF(OR(Tabla2[[#This Row],[Columna1]]=3,Tabla2[[#This Row],[Columna1]]=4),IF(Tabla2[[#This Row],[ ACEITE]]="","",VLOOKUP(Tabla2[[#This Row],[ ACEITE]],'Datos Aceites'!$A$5:$AJ$96,10,FALSE)),"")</f>
        <v/>
      </c>
      <c r="AB12" t="str">
        <f>IF(OR(Tabla2[[#This Row],[Columna1]]=3,Tabla2[[#This Row],[Columna1]]=4),IF(Tabla2[[#This Row],[ ACEITE]]="","",VLOOKUP(Tabla2[[#This Row],[ ACEITE]],'Datos Aceites'!$A$5:$AJ$96,11,FALSE))*Tabla2[[#This Row],[QTY]],"")</f>
        <v/>
      </c>
      <c r="AC12" t="str">
        <f>IF(OR(Tabla2[[#This Row],[Columna1]]=3,Tabla2[[#This Row],[Columna1]]=4),IF(Tabla2[[#This Row],[ ACEITE]]="","",VLOOKUP(Tabla2[[#This Row],[ ACEITE]],'Datos Aceites'!$A$5:$AJ$96,12,FALSE)),"")</f>
        <v/>
      </c>
      <c r="AD12" t="str">
        <f>IF(OR(Tabla2[[#This Row],[Columna1]]=3,Tabla2[[#This Row],[Columna1]]=4),IF(Tabla2[[#This Row],[ ACEITE]]="","",VLOOKUP(Tabla2[[#This Row],[ ACEITE]],'Datos Aceites'!$A$5:$AJ$96,13,FALSE))*Tabla2[[#This Row],[QTY]],"")</f>
        <v/>
      </c>
    </row>
    <row r="13" spans="1:34" x14ac:dyDescent="0.25">
      <c r="A13" s="249"/>
      <c r="B13" s="120"/>
      <c r="D13" s="99"/>
      <c r="E13" s="99"/>
      <c r="F13" s="121"/>
      <c r="G13" s="99" t="str">
        <f>IF(Tabla2[[#This Row],[ZTUKK1A13ZBO]]="","",VLOOKUP(Tabla2[[#This Row],[ZTUKK1A13ZBO]],'Datos Robots'!$B$4:$W$136,IF(Tabla2[[#This Row],[Tipo Mantenimiento]]="Nivel 1",3,IF(Tabla2[[#This Row],[Tipo Mantenimiento]]="Nivel 2 Inferior",7,IF(Tabla2[[#This Row],[Tipo Mantenimiento]]="Nivel 2 Superior",7,IF(Tabla2[[#This Row],[Tipo Mantenimiento]]="Nivel 3",17)))),FALSE)+IF(OR(Tabla2[[#This Row],[Baterias (X)]]="x",Tabla2[[#This Row],[Baterias (X)]]="X"),1,0)++IF(OR(Tabla2[[#This Row],[Clonar SSD (X)]]="x",Tabla2[[#This Row],[Clonar SSD (X)]]="X"),0.5,0))</f>
        <v/>
      </c>
      <c r="H13" s="99" t="str">
        <f>IF(OR(Tabla2[[#This Row],[QTY]]="",Tabla2[[#This Row],[Horas]]=""),"",Tabla2[[#This Row],[QTY]]*Tabla2[[#This Row],[Horas]])</f>
        <v/>
      </c>
      <c r="I13" s="251">
        <f>IF(Tabla2[[#This Row],[Horas]]="",0,Tabla2[[#This Row],[Horas]]*$C$23)</f>
        <v>0</v>
      </c>
      <c r="J13" s="227">
        <f>IF(Tabla2[[#This Row],[Horas]]="",0,Tabla2[[#This Row],[SUBTOTAL UD.]]+((Tabla2[[#This Row],[Horas]]*((($C$56-$E$57)*$C$35)/Tabla2[[#Totals],[TOTAL HORAS]])))*$C$23)</f>
        <v>0</v>
      </c>
      <c r="K13" s="227">
        <f>IF(Tabla2[[#This Row],[ZTUKK1A13ZBO]]="",0,IF($C$33="",0,VLOOKUP(Tabla2[[#This Row],[ZTUKK1A13ZBO]],'Datos Robots'!$B$4:$W$136,IF(Tabla2[[#This Row],[Tipo Mantenimiento]]="Nivel 1",5,IF(Tabla2[[#This Row],[Tipo Mantenimiento]]="Nivel 2 Inferior",11,IF(Tabla2[[#This Row],[Tipo Mantenimiento]]="Nivel 2 Superior",11,IF(Tabla2[[#This Row],[Tipo Mantenimiento]]="Nivel 3",21)))),FALSE)+IF(OR(Tabla2[[#This Row],[Baterias (X)]]="x",Tabla2[[#This Row],[Baterias (X)]]="X"),75,0)+IF(OR(Tabla2[[#This Row],[Clonar SSD (X)]]="x",Tabla2[[#This Row],[Clonar SSD (X)]]="X"),150,0)))</f>
        <v>0</v>
      </c>
      <c r="L13" s="227">
        <f>IF(OR(Tabla2[[#This Row],[PRECIO UD. + RED]]="",Tabla2[[#This Row],[CONSUMIBLES UD.]]=""),0,Tabla2[[#This Row],[PRECIO UD. + RED]]+Tabla2[[#This Row],[CONSUMIBLES UD.]])</f>
        <v>0</v>
      </c>
      <c r="M13" s="227">
        <f>IF(Tabla2[[#This Row],[Horas]]&lt;&gt;"",Tabla2[[#This Row],[TOTAL UD.]]+(Tabla2[[#This Row],[Horas]]*(($G$49*$C$23)/Tabla2[[#Totals],[TOTAL HORAS]])),0)</f>
        <v>0</v>
      </c>
      <c r="N13" s="105">
        <f>IF(Tabla2[[#This Row],[TOTAL HORAS]]="",0,(Tabla2[[#This Row],[TOTAL UD. EXTRAS]]*Tabla2[[#This Row],[QTY]]))</f>
        <v>0</v>
      </c>
      <c r="O13" s="105">
        <f>IF(Tabla2[[#This Row],[QTY]]="",0,Tabla2[[#This Row],[QTY]]*Tabla2[[#This Row],[CONSUMIBLES UD.]])</f>
        <v>0</v>
      </c>
      <c r="P13" t="str">
        <f>IF(Tabla2[[#This Row],[ZTUKK1A13ZBO]]="","",VLOOKUP(Tabla2[[#This Row],[ZTUKK1A13ZBO]],'Datos Robots'!$B$4:$W$136,2,FALSE))</f>
        <v/>
      </c>
      <c r="Q13" t="str">
        <f>IF(Tabla2[[#This Row],[Tipo Mantenimiento]]="Nivel 1",1,IF(Tabla2[[#This Row],[Tipo Mantenimiento]]="Nivel 2 Inferior",2,IF(Tabla2[[#This Row],[Tipo Mantenimiento]]="Nivel 2 Superior",3,IF(Tabla2[[#This Row],[Tipo Mantenimiento]]="Nivel 3",4,""))))</f>
        <v/>
      </c>
      <c r="S13" t="str">
        <f>IF(OR(Tabla2[[#This Row],[Columna1]]=2,Tabla2[[#This Row],[Columna1]]=4),IF(Tabla2[[#This Row],[ ACEITE]]="","",VLOOKUP(Tabla2[[#This Row],[ ACEITE]],'Datos Aceites'!$A$5:$AJ$96,4,FALSE)),"")</f>
        <v/>
      </c>
      <c r="T13" t="str">
        <f>IF(OR(Tabla2[[#This Row],[Columna1]]=2,Tabla2[[#This Row],[Columna1]]=4),IF(Tabla2[[#This Row],[ ACEITE]]="","",VLOOKUP(Tabla2[[#This Row],[ ACEITE]],'Datos Aceites'!$A$5:$AJ$96,3,FALSE))*Tabla2[[#This Row],[QTY]],"")</f>
        <v/>
      </c>
      <c r="U13" t="str">
        <f>IF(OR(Tabla2[[#This Row],[Columna1]]=2,Tabla2[[#This Row],[Columna1]]=4),IF(Tabla2[[#This Row],[ ACEITE]]="","",VLOOKUP(Tabla2[[#This Row],[ ACEITE]],'Datos Aceites'!$A$5:$AJ$96,4,FALSE)),"")</f>
        <v/>
      </c>
      <c r="V13" t="str">
        <f>IF(OR(Tabla2[[#This Row],[Columna1]]=2,Tabla2[[#This Row],[Columna1]]=4),IF(Tabla2[[#This Row],[ ACEITE]]="","",VLOOKUP(Tabla2[[#This Row],[ ACEITE]],'Datos Aceites'!$A$5:$AJ$96,5,FALSE))*Tabla2[[#This Row],[QTY]],"")</f>
        <v/>
      </c>
      <c r="W13" t="str">
        <f>IF(OR(Tabla2[[#This Row],[Columna1]]=2,Tabla2[[#This Row],[Columna1]]=4),IF(Tabla2[[#This Row],[ ACEITE]]="","",VLOOKUP(Tabla2[[#This Row],[ ACEITE]],'Datos Aceites'!$A$5:$AJ$96,6,FALSE)),"")</f>
        <v/>
      </c>
      <c r="X13" t="str">
        <f>IF(OR(Tabla2[[#This Row],[Columna1]]=2,Tabla2[[#This Row],[Columna1]]=4),IF(Tabla2[[#This Row],[ ACEITE]]="","",VLOOKUP(Tabla2[[#This Row],[ ACEITE]],'Datos Aceites'!$A$5:$AJ$96,7,FALSE))*Tabla2[[#This Row],[QTY]],"")</f>
        <v/>
      </c>
      <c r="Y13" t="str">
        <f>IF(OR(Tabla2[[#This Row],[Columna1]]=3,Tabla2[[#This Row],[Columna1]]=4,Tabla2[[#This Row],[Columna1]]=2),IF(Tabla2[[#This Row],[ ACEITE]]="","",VLOOKUP(Tabla2[[#This Row],[ ACEITE]],'Datos Aceites'!$A$5:$AJ$96,8,FALSE)),"")</f>
        <v/>
      </c>
      <c r="Z13" t="str">
        <f>IF(OR(Tabla2[[#This Row],[Columna1]]=3,Tabla2[[#This Row],[Columna1]]=4,Tabla2[[#This Row],[Columna1]]=2),IF(Tabla2[[#This Row],[ ACEITE]]="","",VLOOKUP(Tabla2[[#This Row],[ ACEITE]],'Datos Aceites'!$A$5:$AJ$96,9,FALSE))*Tabla2[[#This Row],[QTY]],"")</f>
        <v/>
      </c>
      <c r="AA13" t="str">
        <f>IF(OR(Tabla2[[#This Row],[Columna1]]=3,Tabla2[[#This Row],[Columna1]]=4),IF(Tabla2[[#This Row],[ ACEITE]]="","",VLOOKUP(Tabla2[[#This Row],[ ACEITE]],'Datos Aceites'!$A$5:$AJ$96,10,FALSE)),"")</f>
        <v/>
      </c>
      <c r="AB13" t="str">
        <f>IF(OR(Tabla2[[#This Row],[Columna1]]=3,Tabla2[[#This Row],[Columna1]]=4),IF(Tabla2[[#This Row],[ ACEITE]]="","",VLOOKUP(Tabla2[[#This Row],[ ACEITE]],'Datos Aceites'!$A$5:$AJ$96,11,FALSE))*Tabla2[[#This Row],[QTY]],"")</f>
        <v/>
      </c>
      <c r="AC13" t="str">
        <f>IF(OR(Tabla2[[#This Row],[Columna1]]=3,Tabla2[[#This Row],[Columna1]]=4),IF(Tabla2[[#This Row],[ ACEITE]]="","",VLOOKUP(Tabla2[[#This Row],[ ACEITE]],'Datos Aceites'!$A$5:$AJ$96,12,FALSE)),"")</f>
        <v/>
      </c>
      <c r="AD13" t="str">
        <f>IF(OR(Tabla2[[#This Row],[Columna1]]=3,Tabla2[[#This Row],[Columna1]]=4),IF(Tabla2[[#This Row],[ ACEITE]]="","",VLOOKUP(Tabla2[[#This Row],[ ACEITE]],'Datos Aceites'!$A$5:$AJ$96,13,FALSE))*Tabla2[[#This Row],[QTY]],"")</f>
        <v/>
      </c>
    </row>
    <row r="14" spans="1:34" x14ac:dyDescent="0.25">
      <c r="A14" s="249"/>
      <c r="B14" s="120"/>
      <c r="D14" s="99"/>
      <c r="E14" s="99"/>
      <c r="F14" s="121"/>
      <c r="G14" s="99" t="str">
        <f>IF(Tabla2[[#This Row],[ZTUKK1A13ZBO]]="","",VLOOKUP(Tabla2[[#This Row],[ZTUKK1A13ZBO]],'Datos Robots'!$B$4:$W$136,IF(Tabla2[[#This Row],[Tipo Mantenimiento]]="Nivel 1",3,IF(Tabla2[[#This Row],[Tipo Mantenimiento]]="Nivel 2 Inferior",7,IF(Tabla2[[#This Row],[Tipo Mantenimiento]]="Nivel 2 Superior",7,IF(Tabla2[[#This Row],[Tipo Mantenimiento]]="Nivel 3",17)))),FALSE)+IF(OR(Tabla2[[#This Row],[Baterias (X)]]="x",Tabla2[[#This Row],[Baterias (X)]]="X"),1,0)++IF(OR(Tabla2[[#This Row],[Clonar SSD (X)]]="x",Tabla2[[#This Row],[Clonar SSD (X)]]="X"),0.5,0))</f>
        <v/>
      </c>
      <c r="H14" s="99" t="str">
        <f>IF(OR(Tabla2[[#This Row],[QTY]]="",Tabla2[[#This Row],[Horas]]=""),"",Tabla2[[#This Row],[QTY]]*Tabla2[[#This Row],[Horas]])</f>
        <v/>
      </c>
      <c r="I14" s="251">
        <f>IF(Tabla2[[#This Row],[Horas]]="",0,Tabla2[[#This Row],[Horas]]*$C$23)</f>
        <v>0</v>
      </c>
      <c r="J14" s="227">
        <f>IF(Tabla2[[#This Row],[Horas]]="",0,Tabla2[[#This Row],[SUBTOTAL UD.]]+((Tabla2[[#This Row],[Horas]]*((($C$56-$E$57)*$C$35)/Tabla2[[#Totals],[TOTAL HORAS]])))*$C$23)</f>
        <v>0</v>
      </c>
      <c r="K14" s="227">
        <f>IF(Tabla2[[#This Row],[ZTUKK1A13ZBO]]="",0,IF($C$33="",0,VLOOKUP(Tabla2[[#This Row],[ZTUKK1A13ZBO]],'Datos Robots'!$B$4:$W$136,IF(Tabla2[[#This Row],[Tipo Mantenimiento]]="Nivel 1",5,IF(Tabla2[[#This Row],[Tipo Mantenimiento]]="Nivel 2 Inferior",11,IF(Tabla2[[#This Row],[Tipo Mantenimiento]]="Nivel 2 Superior",11,IF(Tabla2[[#This Row],[Tipo Mantenimiento]]="Nivel 3",21)))),FALSE)+IF(OR(Tabla2[[#This Row],[Baterias (X)]]="x",Tabla2[[#This Row],[Baterias (X)]]="X"),75,0)+IF(OR(Tabla2[[#This Row],[Clonar SSD (X)]]="x",Tabla2[[#This Row],[Clonar SSD (X)]]="X"),150,0)))</f>
        <v>0</v>
      </c>
      <c r="L14" s="227">
        <f>IF(OR(Tabla2[[#This Row],[PRECIO UD. + RED]]="",Tabla2[[#This Row],[CONSUMIBLES UD.]]=""),0,Tabla2[[#This Row],[PRECIO UD. + RED]]+Tabla2[[#This Row],[CONSUMIBLES UD.]])</f>
        <v>0</v>
      </c>
      <c r="M14" s="227">
        <f>IF(Tabla2[[#This Row],[Horas]]&lt;&gt;"",Tabla2[[#This Row],[TOTAL UD.]]+(Tabla2[[#This Row],[Horas]]*(($G$49*$C$23)/Tabla2[[#Totals],[TOTAL HORAS]])),0)</f>
        <v>0</v>
      </c>
      <c r="N14" s="105">
        <f>IF(Tabla2[[#This Row],[TOTAL HORAS]]="",0,(Tabla2[[#This Row],[TOTAL UD. EXTRAS]]*Tabla2[[#This Row],[QTY]]))</f>
        <v>0</v>
      </c>
      <c r="O14" s="105">
        <f>IF(Tabla2[[#This Row],[QTY]]="",0,Tabla2[[#This Row],[QTY]]*Tabla2[[#This Row],[CONSUMIBLES UD.]])</f>
        <v>0</v>
      </c>
      <c r="P14" t="str">
        <f>IF(Tabla2[[#This Row],[ZTUKK1A13ZBO]]="","",VLOOKUP(Tabla2[[#This Row],[ZTUKK1A13ZBO]],'Datos Robots'!$B$4:$W$136,2,FALSE))</f>
        <v/>
      </c>
      <c r="Q14" t="str">
        <f>IF(Tabla2[[#This Row],[Tipo Mantenimiento]]="Nivel 1",1,IF(Tabla2[[#This Row],[Tipo Mantenimiento]]="Nivel 2 Inferior",2,IF(Tabla2[[#This Row],[Tipo Mantenimiento]]="Nivel 2 Superior",3,IF(Tabla2[[#This Row],[Tipo Mantenimiento]]="Nivel 3",4,""))))</f>
        <v/>
      </c>
      <c r="S14" t="str">
        <f>IF(OR(Tabla2[[#This Row],[Columna1]]=2,Tabla2[[#This Row],[Columna1]]=4),IF(Tabla2[[#This Row],[ ACEITE]]="","",VLOOKUP(Tabla2[[#This Row],[ ACEITE]],'Datos Aceites'!$A$5:$AJ$96,4,FALSE)),"")</f>
        <v/>
      </c>
      <c r="T14" t="str">
        <f>IF(OR(Tabla2[[#This Row],[Columna1]]=2,Tabla2[[#This Row],[Columna1]]=4),IF(Tabla2[[#This Row],[ ACEITE]]="","",VLOOKUP(Tabla2[[#This Row],[ ACEITE]],'Datos Aceites'!$A$5:$AJ$96,3,FALSE))*Tabla2[[#This Row],[QTY]],"")</f>
        <v/>
      </c>
      <c r="U14" t="str">
        <f>IF(OR(Tabla2[[#This Row],[Columna1]]=2,Tabla2[[#This Row],[Columna1]]=4),IF(Tabla2[[#This Row],[ ACEITE]]="","",VLOOKUP(Tabla2[[#This Row],[ ACEITE]],'Datos Aceites'!$A$5:$AJ$96,4,FALSE)),"")</f>
        <v/>
      </c>
      <c r="V14" t="str">
        <f>IF(OR(Tabla2[[#This Row],[Columna1]]=2,Tabla2[[#This Row],[Columna1]]=4),IF(Tabla2[[#This Row],[ ACEITE]]="","",VLOOKUP(Tabla2[[#This Row],[ ACEITE]],'Datos Aceites'!$A$5:$AJ$96,5,FALSE))*Tabla2[[#This Row],[QTY]],"")</f>
        <v/>
      </c>
      <c r="W14" t="str">
        <f>IF(OR(Tabla2[[#This Row],[Columna1]]=2,Tabla2[[#This Row],[Columna1]]=4),IF(Tabla2[[#This Row],[ ACEITE]]="","",VLOOKUP(Tabla2[[#This Row],[ ACEITE]],'Datos Aceites'!$A$5:$AJ$96,6,FALSE)),"")</f>
        <v/>
      </c>
      <c r="X14" t="str">
        <f>IF(OR(Tabla2[[#This Row],[Columna1]]=2,Tabla2[[#This Row],[Columna1]]=4),IF(Tabla2[[#This Row],[ ACEITE]]="","",VLOOKUP(Tabla2[[#This Row],[ ACEITE]],'Datos Aceites'!$A$5:$AJ$96,7,FALSE))*Tabla2[[#This Row],[QTY]],"")</f>
        <v/>
      </c>
      <c r="Y14" t="str">
        <f>IF(OR(Tabla2[[#This Row],[Columna1]]=3,Tabla2[[#This Row],[Columna1]]=4,Tabla2[[#This Row],[Columna1]]=2),IF(Tabla2[[#This Row],[ ACEITE]]="","",VLOOKUP(Tabla2[[#This Row],[ ACEITE]],'Datos Aceites'!$A$5:$AJ$96,8,FALSE)),"")</f>
        <v/>
      </c>
      <c r="Z14" t="str">
        <f>IF(OR(Tabla2[[#This Row],[Columna1]]=3,Tabla2[[#This Row],[Columna1]]=4,Tabla2[[#This Row],[Columna1]]=2),IF(Tabla2[[#This Row],[ ACEITE]]="","",VLOOKUP(Tabla2[[#This Row],[ ACEITE]],'Datos Aceites'!$A$5:$AJ$96,9,FALSE))*Tabla2[[#This Row],[QTY]],"")</f>
        <v/>
      </c>
      <c r="AA14" t="str">
        <f>IF(OR(Tabla2[[#This Row],[Columna1]]=3,Tabla2[[#This Row],[Columna1]]=4),IF(Tabla2[[#This Row],[ ACEITE]]="","",VLOOKUP(Tabla2[[#This Row],[ ACEITE]],'Datos Aceites'!$A$5:$AJ$96,10,FALSE)),"")</f>
        <v/>
      </c>
      <c r="AB14" t="str">
        <f>IF(OR(Tabla2[[#This Row],[Columna1]]=3,Tabla2[[#This Row],[Columna1]]=4),IF(Tabla2[[#This Row],[ ACEITE]]="","",VLOOKUP(Tabla2[[#This Row],[ ACEITE]],'Datos Aceites'!$A$5:$AJ$96,11,FALSE))*Tabla2[[#This Row],[QTY]],"")</f>
        <v/>
      </c>
      <c r="AC14" t="str">
        <f>IF(OR(Tabla2[[#This Row],[Columna1]]=3,Tabla2[[#This Row],[Columna1]]=4),IF(Tabla2[[#This Row],[ ACEITE]]="","",VLOOKUP(Tabla2[[#This Row],[ ACEITE]],'Datos Aceites'!$A$5:$AJ$96,12,FALSE)),"")</f>
        <v/>
      </c>
      <c r="AD14" t="str">
        <f>IF(OR(Tabla2[[#This Row],[Columna1]]=3,Tabla2[[#This Row],[Columna1]]=4),IF(Tabla2[[#This Row],[ ACEITE]]="","",VLOOKUP(Tabla2[[#This Row],[ ACEITE]],'Datos Aceites'!$A$5:$AJ$96,13,FALSE))*Tabla2[[#This Row],[QTY]],"")</f>
        <v/>
      </c>
    </row>
    <row r="15" spans="1:34" x14ac:dyDescent="0.25">
      <c r="A15" s="249"/>
      <c r="B15" s="248"/>
      <c r="C15" s="122"/>
      <c r="D15" s="132"/>
      <c r="E15" s="132"/>
      <c r="F15" s="131"/>
      <c r="G15" s="99" t="str">
        <f>IF(Tabla2[[#This Row],[ZTUKK1A13ZBO]]="","",VLOOKUP(Tabla2[[#This Row],[ZTUKK1A13ZBO]],'Datos Robots'!$B$4:$W$136,IF(Tabla2[[#This Row],[Tipo Mantenimiento]]="Nivel 1",3,IF(Tabla2[[#This Row],[Tipo Mantenimiento]]="Nivel 2 Inferior",7,IF(Tabla2[[#This Row],[Tipo Mantenimiento]]="Nivel 2 Superior",7,IF(Tabla2[[#This Row],[Tipo Mantenimiento]]="Nivel 3",17)))),FALSE)+IF(OR(Tabla2[[#This Row],[Baterias (X)]]="x",Tabla2[[#This Row],[Baterias (X)]]="X"),1,0)++IF(OR(Tabla2[[#This Row],[Clonar SSD (X)]]="x",Tabla2[[#This Row],[Clonar SSD (X)]]="X"),0.5,0))</f>
        <v/>
      </c>
      <c r="H15" s="99" t="str">
        <f>IF(OR(Tabla2[[#This Row],[QTY]]="",Tabla2[[#This Row],[Horas]]=""),"",Tabla2[[#This Row],[QTY]]*Tabla2[[#This Row],[Horas]])</f>
        <v/>
      </c>
      <c r="I15" s="251">
        <f>IF(Tabla2[[#This Row],[Horas]]="",0,Tabla2[[#This Row],[Horas]]*$C$23)</f>
        <v>0</v>
      </c>
      <c r="J15" s="227">
        <f>IF(Tabla2[[#This Row],[Horas]]="",0,Tabla2[[#This Row],[SUBTOTAL UD.]]+((Tabla2[[#This Row],[Horas]]*((($C$56-$E$57)*$C$35)/Tabla2[[#Totals],[TOTAL HORAS]])))*$C$23)</f>
        <v>0</v>
      </c>
      <c r="K15" s="227">
        <f>IF(Tabla2[[#This Row],[ZTUKK1A13ZBO]]="",0,IF($C$33="",0,VLOOKUP(Tabla2[[#This Row],[ZTUKK1A13ZBO]],'Datos Robots'!$B$4:$W$136,IF(Tabla2[[#This Row],[Tipo Mantenimiento]]="Nivel 1",5,IF(Tabla2[[#This Row],[Tipo Mantenimiento]]="Nivel 2 Inferior",11,IF(Tabla2[[#This Row],[Tipo Mantenimiento]]="Nivel 2 Superior",11,IF(Tabla2[[#This Row],[Tipo Mantenimiento]]="Nivel 3",21)))),FALSE)+IF(OR(Tabla2[[#This Row],[Baterias (X)]]="x",Tabla2[[#This Row],[Baterias (X)]]="X"),75,0)+IF(OR(Tabla2[[#This Row],[Clonar SSD (X)]]="x",Tabla2[[#This Row],[Clonar SSD (X)]]="X"),150,0)))</f>
        <v>0</v>
      </c>
      <c r="L15" s="227">
        <f>IF(OR(Tabla2[[#This Row],[PRECIO UD. + RED]]="",Tabla2[[#This Row],[CONSUMIBLES UD.]]=""),0,Tabla2[[#This Row],[PRECIO UD. + RED]]+Tabla2[[#This Row],[CONSUMIBLES UD.]])</f>
        <v>0</v>
      </c>
      <c r="M15" s="227">
        <f>IF(Tabla2[[#This Row],[Horas]]&lt;&gt;"",Tabla2[[#This Row],[TOTAL UD.]]+(Tabla2[[#This Row],[Horas]]*(($G$49*$C$23)/Tabla2[[#Totals],[TOTAL HORAS]])),0)</f>
        <v>0</v>
      </c>
      <c r="N15" s="105">
        <f>IF(Tabla2[[#This Row],[TOTAL HORAS]]="",0,(Tabla2[[#This Row],[TOTAL UD. EXTRAS]]*Tabla2[[#This Row],[QTY]]))</f>
        <v>0</v>
      </c>
      <c r="O15" s="105">
        <f>IF(Tabla2[[#This Row],[QTY]]="",0,Tabla2[[#This Row],[QTY]]*Tabla2[[#This Row],[CONSUMIBLES UD.]])</f>
        <v>0</v>
      </c>
      <c r="P15" t="str">
        <f>IF(Tabla2[[#This Row],[ZTUKK1A13ZBO]]="","",VLOOKUP(Tabla2[[#This Row],[ZTUKK1A13ZBO]],'Datos Robots'!$B$4:$W$136,2,FALSE))</f>
        <v/>
      </c>
      <c r="Q15" t="str">
        <f>IF(Tabla2[[#This Row],[Tipo Mantenimiento]]="Nivel 1",1,IF(Tabla2[[#This Row],[Tipo Mantenimiento]]="Nivel 2 Inferior",2,IF(Tabla2[[#This Row],[Tipo Mantenimiento]]="Nivel 2 Superior",3,IF(Tabla2[[#This Row],[Tipo Mantenimiento]]="Nivel 3",4,""))))</f>
        <v/>
      </c>
    </row>
    <row r="16" spans="1:34" x14ac:dyDescent="0.25">
      <c r="D16" s="99">
        <f>SUBTOTAL(109,Tabla2[QTY])</f>
        <v>1</v>
      </c>
      <c r="E16" s="99"/>
      <c r="F16" s="99"/>
      <c r="G16" s="99"/>
      <c r="H16" s="99">
        <f>SUBTOTAL(109,Tabla2[TOTAL HORAS])</f>
        <v>9</v>
      </c>
      <c r="I16" s="99"/>
      <c r="J16" s="227">
        <f>SUBTOTAL(109,Tabla2[PRECIO UD. + RED])</f>
        <v>630</v>
      </c>
      <c r="K16" s="99"/>
      <c r="L16" s="99"/>
      <c r="M16" s="227">
        <f>SUBTOTAL(109,Tabla2[TOTAL UD. EXTRAS])</f>
        <v>1363.6999999999998</v>
      </c>
      <c r="N16" s="127">
        <f>SUBTOTAL(109,Tabla2[TOTAL TRABAJO])</f>
        <v>1363.6999999999998</v>
      </c>
      <c r="O16" s="127">
        <f>SUBTOTAL(109,Tabla2[TOTAL CONSUMIBLES])</f>
        <v>716.19999999999993</v>
      </c>
    </row>
    <row r="18" spans="2:29" ht="19.5" thickBot="1" x14ac:dyDescent="0.35">
      <c r="B18" s="176" t="s">
        <v>34</v>
      </c>
      <c r="C18" s="175"/>
      <c r="D18" s="175"/>
      <c r="E18" s="175"/>
      <c r="F18" s="175"/>
      <c r="G18" s="175"/>
      <c r="S18" s="118" t="s">
        <v>35</v>
      </c>
      <c r="T18" s="255" t="s">
        <v>36</v>
      </c>
      <c r="U18" s="256"/>
      <c r="V18" s="256"/>
      <c r="W18" s="256"/>
      <c r="X18" s="117" t="s">
        <v>37</v>
      </c>
      <c r="Y18" s="117" t="s">
        <v>151</v>
      </c>
      <c r="Z18" s="117" t="s">
        <v>151</v>
      </c>
    </row>
    <row r="19" spans="2:29" x14ac:dyDescent="0.25">
      <c r="B19" t="s">
        <v>38</v>
      </c>
      <c r="C19" t="s">
        <v>39</v>
      </c>
      <c r="D19" t="s">
        <v>40</v>
      </c>
      <c r="E19" t="s">
        <v>41</v>
      </c>
      <c r="F19" t="s">
        <v>42</v>
      </c>
      <c r="G19" t="s">
        <v>15</v>
      </c>
      <c r="S19" s="112" t="s">
        <v>43</v>
      </c>
      <c r="T19" s="258" t="s">
        <v>44</v>
      </c>
      <c r="U19" s="258"/>
      <c r="V19" s="258"/>
      <c r="W19" s="258"/>
      <c r="X19" s="113">
        <f>SUMIF(Tabla4[Type],S19,Tabla4[Vol.])+SUMIF(Tabla4[Type2],S19,Tabla4[Vol.3])+SUMIF(Tabla4[Type4],S19,Tabla4[Vol.5])+SUMIF(Tabla4[Type6],S19,Tabla4[Vol.7])+SUMIF(Tabla4[Type8],S19,Tabla4[Vol.9])+SUMIF(Tabla4[Type10],S19,Tabla4[Vol.11])</f>
        <v>0</v>
      </c>
      <c r="Y19" s="221">
        <f>X19*'Datos Aceites'!AN4</f>
        <v>0</v>
      </c>
      <c r="Z19" s="221">
        <f>Y19*$AC$19</f>
        <v>0</v>
      </c>
      <c r="AB19" t="s">
        <v>651</v>
      </c>
      <c r="AC19">
        <v>2.5</v>
      </c>
    </row>
    <row r="20" spans="2:29" x14ac:dyDescent="0.25">
      <c r="B20" s="123" t="s">
        <v>685</v>
      </c>
      <c r="C20" t="str">
        <f>IF(B20="","",VLOOKUP(B20,Tabla1[],2,FALSE))</f>
        <v>Sant Vicenç dels Horts</v>
      </c>
      <c r="D20">
        <f>IF(B20="","",VLOOKUP(B20,Tabla1[],3,FALSE))*(2*C32)*C31</f>
        <v>4</v>
      </c>
      <c r="E20">
        <f>IF(B20="","",VLOOKUP(B20,Tabla1[],4,FALSE)*(2*C32))</f>
        <v>0.5</v>
      </c>
      <c r="F20">
        <f>IF(B20="","",VLOOKUP(B20,Tabla1[],6,FALSE)*(2*C32))</f>
        <v>0</v>
      </c>
      <c r="G20" s="127">
        <f>D20*D23</f>
        <v>200</v>
      </c>
      <c r="S20" s="112" t="s">
        <v>46</v>
      </c>
      <c r="T20" s="258" t="s">
        <v>47</v>
      </c>
      <c r="U20" s="258"/>
      <c r="V20" s="258"/>
      <c r="W20" s="258"/>
      <c r="X20" s="113">
        <f>SUMIF(Tabla4[Type],S20,Tabla4[Vol.])+SUMIF(Tabla4[Type2],S20,Tabla4[Vol.3])+SUMIF(Tabla4[Type4],S20,Tabla4[Vol.5])+SUMIF(Tabla4[Type6],S20,Tabla4[Vol.7])+SUMIF(Tabla4[Type8],S20,Tabla4[Vol.9])+SUMIF(Tabla4[Type10],S20,Tabla4[Vol.11])</f>
        <v>0</v>
      </c>
      <c r="Y20" s="221">
        <f>X20*'Datos Aceites'!AN5</f>
        <v>0</v>
      </c>
      <c r="Z20" s="221">
        <f t="shared" ref="Z20:Z33" si="0">Y20*$AC$19</f>
        <v>0</v>
      </c>
    </row>
    <row r="21" spans="2:29" x14ac:dyDescent="0.25">
      <c r="S21" s="112" t="s">
        <v>48</v>
      </c>
      <c r="T21" s="258" t="s">
        <v>49</v>
      </c>
      <c r="U21" s="258"/>
      <c r="V21" s="258"/>
      <c r="W21" s="258"/>
      <c r="X21" s="113">
        <f>SUMIF(Tabla4[Type],S21,Tabla4[Vol.])+SUMIF(Tabla4[Type2],S21,Tabla4[Vol.3])+SUMIF(Tabla4[Type4],S21,Tabla4[Vol.5])+SUMIF(Tabla4[Type6],S21,Tabla4[Vol.7])+SUMIF(Tabla4[Type8],S21,Tabla4[Vol.9])+SUMIF(Tabla4[Type10],S21,Tabla4[Vol.11])</f>
        <v>0</v>
      </c>
      <c r="Y21" s="221">
        <f>X21*'Datos Aceites'!AN6</f>
        <v>0</v>
      </c>
      <c r="Z21" s="221">
        <f t="shared" si="0"/>
        <v>0</v>
      </c>
    </row>
    <row r="22" spans="2:29" x14ac:dyDescent="0.25">
      <c r="C22" s="171" t="s">
        <v>50</v>
      </c>
      <c r="D22" s="171" t="s">
        <v>51</v>
      </c>
      <c r="E22" s="171" t="s">
        <v>52</v>
      </c>
      <c r="F22" s="171" t="s">
        <v>53</v>
      </c>
      <c r="S22" s="112" t="s">
        <v>54</v>
      </c>
      <c r="T22" s="258" t="s">
        <v>55</v>
      </c>
      <c r="U22" s="258"/>
      <c r="V22" s="258"/>
      <c r="W22" s="258"/>
      <c r="X22" s="113">
        <f>SUMIF(Tabla4[Type],S22,Tabla4[Vol.])+SUMIF(Tabla4[Type2],S22,Tabla4[Vol.3])+SUMIF(Tabla4[Type4],S22,Tabla4[Vol.5])+SUMIF(Tabla4[Type6],S22,Tabla4[Vol.7])+SUMIF(Tabla4[Type8],S22,Tabla4[Vol.9])+SUMIF(Tabla4[Type10],S22,Tabla4[Vol.11])</f>
        <v>0</v>
      </c>
      <c r="Y22" s="221">
        <f>X22*'Datos Aceites'!AN7</f>
        <v>0</v>
      </c>
      <c r="Z22" s="221">
        <f t="shared" si="0"/>
        <v>0</v>
      </c>
    </row>
    <row r="23" spans="2:29" x14ac:dyDescent="0.25">
      <c r="C23" s="170">
        <f>IF(B20="","",VLOOKUP(B20,Tabla1[],7,FALSE))</f>
        <v>70</v>
      </c>
      <c r="D23" s="170">
        <f>IF(B20="","",VLOOKUP(B20,Tabla1[],8,FALSE))</f>
        <v>50</v>
      </c>
      <c r="E23" s="170">
        <f>IF(B20="","",VLOOKUP(B20,Tabla1[],9,FALSE))</f>
        <v>90</v>
      </c>
      <c r="F23" s="170">
        <f>IF(B20="","",VLOOKUP(B20,Tabla1[],10,FALSE))</f>
        <v>0</v>
      </c>
      <c r="K23" s="127"/>
      <c r="L23" s="127"/>
      <c r="M23" s="127"/>
      <c r="S23" s="112" t="s">
        <v>56</v>
      </c>
      <c r="T23" s="258" t="s">
        <v>57</v>
      </c>
      <c r="U23" s="258"/>
      <c r="V23" s="258"/>
      <c r="W23" s="258"/>
      <c r="X23" s="113">
        <f>SUMIF(Tabla4[Type],S23,Tabla4[Vol.])+SUMIF(Tabla4[Type2],S23,Tabla4[Vol.3])+SUMIF(Tabla4[Type4],S23,Tabla4[Vol.5])+SUMIF(Tabla4[Type6],S23,Tabla4[Vol.7])+SUMIF(Tabla4[Type8],S23,Tabla4[Vol.9])+SUMIF(Tabla4[Type10],S23,Tabla4[Vol.11])</f>
        <v>0</v>
      </c>
      <c r="Y23" s="221">
        <f>X23*'Datos Aceites'!AN8</f>
        <v>0</v>
      </c>
      <c r="Z23" s="221">
        <f t="shared" si="0"/>
        <v>0</v>
      </c>
    </row>
    <row r="24" spans="2:29" x14ac:dyDescent="0.25">
      <c r="S24" s="112" t="s">
        <v>58</v>
      </c>
      <c r="T24" s="258" t="s">
        <v>59</v>
      </c>
      <c r="U24" s="258"/>
      <c r="V24" s="258"/>
      <c r="W24" s="258"/>
      <c r="X24" s="113">
        <f>SUMIF(Tabla4[Type],S24,Tabla4[Vol.])+SUMIF(Tabla4[Type2],S24,Tabla4[Vol.3])+SUMIF(Tabla4[Type4],S24,Tabla4[Vol.5])+SUMIF(Tabla4[Type6],S24,Tabla4[Vol.7])+SUMIF(Tabla4[Type8],S24,Tabla4[Vol.9])+SUMIF(Tabla4[Type10],S24,Tabla4[Vol.11])</f>
        <v>0</v>
      </c>
      <c r="Y24" s="221">
        <f>X24*'Datos Aceites'!AN9</f>
        <v>0</v>
      </c>
      <c r="Z24" s="221">
        <f t="shared" si="0"/>
        <v>0</v>
      </c>
    </row>
    <row r="25" spans="2:29" x14ac:dyDescent="0.25">
      <c r="S25" s="112" t="s">
        <v>60</v>
      </c>
      <c r="T25" s="258" t="s">
        <v>61</v>
      </c>
      <c r="U25" s="258"/>
      <c r="V25" s="258"/>
      <c r="W25" s="258"/>
      <c r="X25" s="113">
        <f>SUMIF(Tabla4[Type],S25,Tabla4[Vol.])+SUMIF(Tabla4[Type2],S25,Tabla4[Vol.3])+SUMIF(Tabla4[Type4],S25,Tabla4[Vol.5])+SUMIF(Tabla4[Type6],S25,Tabla4[Vol.7])+SUMIF(Tabla4[Type8],S25,Tabla4[Vol.9])+SUMIF(Tabla4[Type10],S25,Tabla4[Vol.11])</f>
        <v>0</v>
      </c>
      <c r="Y25" s="221">
        <f>X25*'Datos Aceites'!AN10</f>
        <v>0</v>
      </c>
      <c r="Z25" s="221">
        <f t="shared" si="0"/>
        <v>0</v>
      </c>
    </row>
    <row r="26" spans="2:29" x14ac:dyDescent="0.25">
      <c r="S26" s="85" t="s">
        <v>62</v>
      </c>
      <c r="T26" s="252" t="s">
        <v>63</v>
      </c>
      <c r="U26" s="252"/>
      <c r="V26" s="252"/>
      <c r="W26" s="252"/>
      <c r="X26" s="113">
        <f>SUMIF(Tabla4[Type],S26,Tabla4[Vol.])+SUMIF(Tabla4[Type2],S26,Tabla4[Vol.3])+SUMIF(Tabla4[Type4],S26,Tabla4[Vol.5])+SUMIF(Tabla4[Type6],S26,Tabla4[Vol.7])+SUMIF(Tabla4[Type8],S26,Tabla4[Vol.9])+SUMIF(Tabla4[Type10],S26,Tabla4[Vol.11])</f>
        <v>19.600000000000001</v>
      </c>
      <c r="Y26" s="221">
        <f>X26*'Datos Aceites'!AN11</f>
        <v>245.00000000000003</v>
      </c>
      <c r="Z26" s="221">
        <f t="shared" si="0"/>
        <v>612.50000000000011</v>
      </c>
    </row>
    <row r="27" spans="2:29" x14ac:dyDescent="0.25">
      <c r="S27" s="85" t="s">
        <v>64</v>
      </c>
      <c r="T27" s="252" t="s">
        <v>65</v>
      </c>
      <c r="U27" s="252"/>
      <c r="V27" s="252"/>
      <c r="W27" s="252"/>
      <c r="X27" s="113">
        <f>SUMIF(Tabla4[Type],S27,Tabla4[Vol.])+SUMIF(Tabla4[Type2],S27,Tabla4[Vol.3])+SUMIF(Tabla4[Type4],S27,Tabla4[Vol.5])+SUMIF(Tabla4[Type6],S27,Tabla4[Vol.7])+SUMIF(Tabla4[Type8],S27,Tabla4[Vol.9])+SUMIF(Tabla4[Type10],S27,Tabla4[Vol.11])</f>
        <v>0</v>
      </c>
      <c r="Y27" s="221">
        <f>X27*'Datos Aceites'!AN12</f>
        <v>0</v>
      </c>
      <c r="Z27" s="221">
        <f t="shared" si="0"/>
        <v>0</v>
      </c>
    </row>
    <row r="28" spans="2:29" ht="19.5" thickBot="1" x14ac:dyDescent="0.35">
      <c r="B28" s="124" t="s">
        <v>66</v>
      </c>
      <c r="C28" s="125"/>
      <c r="D28" s="125"/>
      <c r="E28" s="125"/>
      <c r="F28" s="125"/>
      <c r="G28" s="125"/>
      <c r="S28" s="85" t="s">
        <v>67</v>
      </c>
      <c r="T28" s="252" t="s">
        <v>68</v>
      </c>
      <c r="U28" s="252"/>
      <c r="V28" s="252"/>
      <c r="W28" s="252"/>
      <c r="X28" s="113">
        <f>SUMIF(Tabla4[Type],S28,Tabla4[Vol.])+SUMIF(Tabla4[Type2],S28,Tabla4[Vol.3])+SUMIF(Tabla4[Type4],S28,Tabla4[Vol.5])+SUMIF(Tabla4[Type6],S28,Tabla4[Vol.7])+SUMIF(Tabla4[Type8],S28,Tabla4[Vol.9])+SUMIF(Tabla4[Type10],S28,Tabla4[Vol.11])</f>
        <v>0</v>
      </c>
      <c r="Y28" s="221">
        <f>X28*'Datos Aceites'!AN13</f>
        <v>0</v>
      </c>
      <c r="Z28" s="221">
        <f t="shared" si="0"/>
        <v>0</v>
      </c>
    </row>
    <row r="29" spans="2:29" ht="14.1" customHeight="1" x14ac:dyDescent="0.25">
      <c r="S29" s="85" t="s">
        <v>69</v>
      </c>
      <c r="T29" s="257" t="s">
        <v>70</v>
      </c>
      <c r="U29" s="257"/>
      <c r="V29" s="257"/>
      <c r="W29" s="257"/>
      <c r="X29" s="113">
        <f>SUMIF(Tabla4[Type],S29,Tabla4[Vol.])+SUMIF(Tabla4[Type2],S29,Tabla4[Vol.3])+SUMIF(Tabla4[Type4],S29,Tabla4[Vol.5])+SUMIF(Tabla4[Type6],S29,Tabla4[Vol.7])+SUMIF(Tabla4[Type8],S29,Tabla4[Vol.9])+SUMIF(Tabla4[Type10],S29,Tabla4[Vol.11])</f>
        <v>0</v>
      </c>
      <c r="Y29" s="221">
        <f>X29*'Datos Aceites'!AN14</f>
        <v>0</v>
      </c>
      <c r="Z29" s="221">
        <f t="shared" si="0"/>
        <v>0</v>
      </c>
    </row>
    <row r="30" spans="2:29" x14ac:dyDescent="0.25">
      <c r="B30" t="s">
        <v>71</v>
      </c>
      <c r="C30" s="172" t="s">
        <v>123</v>
      </c>
      <c r="S30" s="85" t="s">
        <v>72</v>
      </c>
      <c r="T30" s="252" t="s">
        <v>73</v>
      </c>
      <c r="U30" s="252"/>
      <c r="V30" s="252"/>
      <c r="W30" s="252"/>
      <c r="X30" s="113">
        <f>SUMIF(Tabla4[Type],S30,Tabla4[Vol.])+SUMIF(Tabla4[Type2],S30,Tabla4[Vol.3])+SUMIF(Tabla4[Type4],S30,Tabla4[Vol.5])+SUMIF(Tabla4[Type6],S30,Tabla4[Vol.7])+SUMIF(Tabla4[Type8],S30,Tabla4[Vol.9])+SUMIF(Tabla4[Type10],S30,Tabla4[Vol.11])</f>
        <v>0</v>
      </c>
      <c r="Y30" s="221">
        <f>X30*'Datos Aceites'!AN15</f>
        <v>0</v>
      </c>
      <c r="Z30" s="221">
        <f t="shared" si="0"/>
        <v>0</v>
      </c>
    </row>
    <row r="31" spans="2:29" x14ac:dyDescent="0.25">
      <c r="B31" t="s">
        <v>74</v>
      </c>
      <c r="C31" s="173">
        <v>1</v>
      </c>
      <c r="S31" s="85" t="s">
        <v>75</v>
      </c>
      <c r="T31" s="252" t="s">
        <v>76</v>
      </c>
      <c r="U31" s="252"/>
      <c r="V31" s="252"/>
      <c r="W31" s="252"/>
      <c r="X31" s="113">
        <f>SUMIF(Tabla4[Type],S31,Tabla4[Vol.])+SUMIF(Tabla4[Type2],S31,Tabla4[Vol.3])+SUMIF(Tabla4[Type4],S31,Tabla4[Vol.5])+SUMIF(Tabla4[Type6],S31,Tabla4[Vol.7])+SUMIF(Tabla4[Type8],S31,Tabla4[Vol.9])+SUMIF(Tabla4[Type10],S31,Tabla4[Vol.11])</f>
        <v>0</v>
      </c>
      <c r="Y31" s="221">
        <f>X31*'Datos Aceites'!AN16</f>
        <v>0</v>
      </c>
      <c r="Z31" s="221">
        <f t="shared" si="0"/>
        <v>0</v>
      </c>
    </row>
    <row r="32" spans="2:29" x14ac:dyDescent="0.25">
      <c r="B32" t="s">
        <v>77</v>
      </c>
      <c r="C32" s="173">
        <v>1</v>
      </c>
      <c r="S32" s="85" t="s">
        <v>78</v>
      </c>
      <c r="T32" s="252" t="s">
        <v>79</v>
      </c>
      <c r="U32" s="252"/>
      <c r="V32" s="252"/>
      <c r="W32" s="252"/>
      <c r="X32" s="113">
        <f>SUMIF(Tabla4[Type],S32,Tabla4[Vol.])+SUMIF(Tabla4[Type2],S32,Tabla4[Vol.3])+SUMIF(Tabla4[Type4],S32,Tabla4[Vol.5])+SUMIF(Tabla4[Type6],S32,Tabla4[Vol.7])+SUMIF(Tabla4[Type8],S32,Tabla4[Vol.9])+SUMIF(Tabla4[Type10],S32,Tabla4[Vol.11])</f>
        <v>0</v>
      </c>
      <c r="Y32" s="221">
        <f>X32*'Datos Aceites'!AN17</f>
        <v>0</v>
      </c>
      <c r="Z32" s="221">
        <f t="shared" si="0"/>
        <v>0</v>
      </c>
    </row>
    <row r="33" spans="2:26" x14ac:dyDescent="0.25">
      <c r="B33" t="s">
        <v>566</v>
      </c>
      <c r="C33" s="173" t="s">
        <v>123</v>
      </c>
      <c r="S33" s="114" t="s">
        <v>80</v>
      </c>
      <c r="T33" s="259" t="s">
        <v>81</v>
      </c>
      <c r="U33" s="259"/>
      <c r="V33" s="259"/>
      <c r="W33" s="259"/>
      <c r="X33" s="115">
        <f>SUMIF(Tabla4[Type],S33,Tabla4[Vol.])+SUMIF(Tabla4[Type2],S33,Tabla4[Vol.3])+SUMIF(Tabla4[Type4],S33,Tabla4[Vol.5])+SUMIF(Tabla4[Type6],S33,Tabla4[Vol.7])+SUMIF(Tabla4[Type8],S33,Tabla4[Vol.9])+SUMIF(Tabla4[Type10],S33,Tabla4[Vol.11])</f>
        <v>0</v>
      </c>
      <c r="Y33" s="222">
        <f>X33*'Datos Aceites'!AN18</f>
        <v>0</v>
      </c>
      <c r="Z33" s="221">
        <f t="shared" si="0"/>
        <v>0</v>
      </c>
    </row>
    <row r="34" spans="2:26" x14ac:dyDescent="0.25">
      <c r="B34" t="s">
        <v>82</v>
      </c>
      <c r="C34" s="173">
        <v>0</v>
      </c>
      <c r="K34">
        <f>90*3</f>
        <v>270</v>
      </c>
      <c r="Y34" s="70">
        <f>SUM(Y19:Y33)</f>
        <v>245.00000000000003</v>
      </c>
      <c r="Z34" s="70">
        <f>SUM(Z19:Z33)</f>
        <v>612.50000000000011</v>
      </c>
    </row>
    <row r="35" spans="2:26" x14ac:dyDescent="0.25">
      <c r="B35" t="s">
        <v>83</v>
      </c>
      <c r="C35" s="173">
        <v>9</v>
      </c>
    </row>
    <row r="36" spans="2:26" x14ac:dyDescent="0.25">
      <c r="B36" t="s">
        <v>84</v>
      </c>
      <c r="C36" s="173">
        <v>0</v>
      </c>
    </row>
    <row r="37" spans="2:26" x14ac:dyDescent="0.25">
      <c r="B37" t="s">
        <v>567</v>
      </c>
      <c r="C37" s="173">
        <v>150</v>
      </c>
    </row>
    <row r="38" spans="2:26" x14ac:dyDescent="0.25">
      <c r="B38" t="s">
        <v>568</v>
      </c>
      <c r="C38" s="174">
        <v>0.82</v>
      </c>
    </row>
    <row r="39" spans="2:26" x14ac:dyDescent="0.25">
      <c r="B39" t="s">
        <v>575</v>
      </c>
      <c r="C39" s="169">
        <v>0</v>
      </c>
    </row>
    <row r="41" spans="2:26" x14ac:dyDescent="0.25">
      <c r="G41" s="252" t="s">
        <v>85</v>
      </c>
      <c r="H41" s="252"/>
      <c r="I41" s="99"/>
      <c r="J41" s="99"/>
      <c r="K41" s="99"/>
      <c r="L41" s="99"/>
      <c r="M41" s="99"/>
    </row>
    <row r="42" spans="2:26" x14ac:dyDescent="0.25">
      <c r="B42" s="106"/>
      <c r="C42" s="106"/>
      <c r="D42" s="180" t="s">
        <v>86</v>
      </c>
      <c r="E42" s="180" t="s">
        <v>87</v>
      </c>
      <c r="G42" s="180" t="s">
        <v>88</v>
      </c>
      <c r="H42" s="180" t="s">
        <v>89</v>
      </c>
      <c r="I42" s="99"/>
      <c r="J42" s="99"/>
      <c r="K42" s="99"/>
      <c r="L42" s="99"/>
      <c r="M42" s="99"/>
      <c r="N42" s="181"/>
      <c r="O42" s="181"/>
    </row>
    <row r="43" spans="2:26" x14ac:dyDescent="0.25">
      <c r="B43" s="116" t="s">
        <v>90</v>
      </c>
      <c r="C43" s="184">
        <v>0</v>
      </c>
      <c r="D43" s="99" t="s">
        <v>91</v>
      </c>
      <c r="E43" s="99" t="s">
        <v>91</v>
      </c>
      <c r="F43" s="181" t="s">
        <v>92</v>
      </c>
      <c r="G43" s="182" t="s">
        <v>91</v>
      </c>
      <c r="H43" s="99" t="s">
        <v>91</v>
      </c>
      <c r="I43" s="99"/>
      <c r="J43" s="99"/>
      <c r="K43" s="99"/>
      <c r="L43" s="99"/>
      <c r="M43" s="99"/>
      <c r="N43" s="181"/>
      <c r="O43" s="181"/>
    </row>
    <row r="44" spans="2:26" x14ac:dyDescent="0.25">
      <c r="B44" t="s">
        <v>93</v>
      </c>
      <c r="C44" s="183">
        <v>0.25</v>
      </c>
      <c r="D44" s="187">
        <f>((IF(C35&gt;14,14,C35)-8)/8)*C56</f>
        <v>0.125</v>
      </c>
      <c r="E44" s="119">
        <f>IF(F44="x",0,((IF(C35&gt;14,14,C35)-8)/8)*C55)</f>
        <v>6.25E-2</v>
      </c>
      <c r="G44" s="99">
        <f>D44*8*C44</f>
        <v>0.25</v>
      </c>
      <c r="H44" s="99">
        <f>8*E44*C44</f>
        <v>0.125</v>
      </c>
      <c r="I44" s="99"/>
      <c r="J44" s="99"/>
      <c r="K44" s="99"/>
      <c r="L44" s="99"/>
      <c r="M44" s="99"/>
      <c r="N44" s="181"/>
      <c r="O44" s="181"/>
      <c r="R44" s="198">
        <f>(D44*$C$35)*$C$31</f>
        <v>1.125</v>
      </c>
      <c r="S44" t="str" cm="1">
        <f t="array" ref="S44">CONCATENATE((D44*$C$35+E44*Tabla3[HORAS TOTAL]/Tabla3[DIAS VIAJE])*$C$31," horas al ",Calculos!C44*100,"% (",Calculos!B44,")")</f>
        <v>1,625 horas al 25% (Tarde: 18:00 - 22:00 h)</v>
      </c>
      <c r="X44" s="198" cm="1">
        <f t="array" ref="X44">(E44*Tabla3[HORAS TOTAL]/Tabla3[DIAS VIAJE])</f>
        <v>0.5</v>
      </c>
      <c r="Y44" t="str" cm="1">
        <f t="array" ref="Y44">CONCATENATE((+E44*Tabla3[HORAS TOTAL]/Tabla3[DIAS VIAJE])," horas al ",Calculos!C44*100,"% (",Calculos!B44,")")</f>
        <v>0,5 horas al 25% (Tarde: 18:00 - 22:00 h)</v>
      </c>
    </row>
    <row r="45" spans="2:26" x14ac:dyDescent="0.25">
      <c r="B45" t="s">
        <v>94</v>
      </c>
      <c r="C45" s="183">
        <v>1</v>
      </c>
      <c r="D45" s="178">
        <f>IF(C35&gt;14,((C35-14)/8)*C56,0)</f>
        <v>0</v>
      </c>
      <c r="E45" s="121">
        <f>IF(F45="x",0,IF(C35&gt;14,((C35-14)/8)*C55,0))</f>
        <v>0</v>
      </c>
      <c r="G45" s="99">
        <f>D45*C45*8</f>
        <v>0</v>
      </c>
      <c r="H45" s="99">
        <f t="shared" ref="H45:H48" si="1">8*E45*C45</f>
        <v>0</v>
      </c>
      <c r="I45" s="99"/>
      <c r="J45" s="99"/>
      <c r="K45" s="99"/>
      <c r="L45" s="99"/>
      <c r="M45" s="99"/>
      <c r="N45" s="181"/>
      <c r="O45" s="181"/>
      <c r="R45" s="198">
        <f t="shared" ref="R45:R48" si="2">(D45*$C$35)*$C$31</f>
        <v>0</v>
      </c>
      <c r="S45" t="str" cm="1">
        <f t="array" ref="S45">CONCATENATE((D45*$C$35+E45*Tabla3[HORAS TOTAL]/Tabla3[DIAS VIAJE])*$C$31," horas al ",Calculos!C45*100,"% (",Calculos!B45,")")</f>
        <v>0 horas al 100% (Nocturno: 22:00 - 6:00 h)</v>
      </c>
      <c r="X45" s="198" cm="1">
        <f t="array" ref="X45">(E45*Tabla3[HORAS TOTAL]/Tabla3[DIAS VIAJE])</f>
        <v>0</v>
      </c>
      <c r="Y45" t="str" cm="1">
        <f t="array" ref="Y45">CONCATENATE((+E45*Tabla3[HORAS TOTAL]/Tabla3[DIAS VIAJE])," horas al ",Calculos!C45*100,"% (",Calculos!B45,")")</f>
        <v>0 horas al 100% (Nocturno: 22:00 - 6:00 h)</v>
      </c>
    </row>
    <row r="46" spans="2:26" x14ac:dyDescent="0.25">
      <c r="B46" t="s">
        <v>95</v>
      </c>
      <c r="C46" s="183">
        <v>0.25</v>
      </c>
      <c r="D46" s="178">
        <v>0</v>
      </c>
      <c r="E46" s="121">
        <v>0</v>
      </c>
      <c r="G46" s="99">
        <f t="shared" ref="G46:G48" si="3">D46*C46*8</f>
        <v>0</v>
      </c>
      <c r="H46" s="99">
        <f t="shared" si="1"/>
        <v>0</v>
      </c>
      <c r="I46" s="99"/>
      <c r="J46" s="99"/>
      <c r="K46" s="99"/>
      <c r="L46" s="99"/>
      <c r="M46" s="99"/>
      <c r="N46" s="181"/>
      <c r="O46" s="181"/>
      <c r="R46" s="198">
        <f t="shared" si="2"/>
        <v>0</v>
      </c>
      <c r="S46" t="str" cm="1">
        <f t="array" ref="S46">CONCATENATE((D46*$C$35+E46*Tabla3[HORAS TOTAL]/Tabla3[DIAS VIAJE])*$C$31," horas al ",Calculos!C46*100,"% (",Calculos!B46,")")</f>
        <v>0 horas al 25% (Madrugada: 6:00 - 8:00 h)</v>
      </c>
      <c r="X46" s="198" cm="1">
        <f t="array" ref="X46">(E46*Tabla3[HORAS TOTAL]/Tabla3[DIAS VIAJE])</f>
        <v>0</v>
      </c>
      <c r="Y46" t="str" cm="1">
        <f t="array" ref="Y46">CONCATENATE((+E46*Tabla3[HORAS TOTAL]/Tabla3[DIAS VIAJE])," horas al ",Calculos!C46*100,"% (",Calculos!B46,")")</f>
        <v>0 horas al 25% (Madrugada: 6:00 - 8:00 h)</v>
      </c>
    </row>
    <row r="47" spans="2:26" x14ac:dyDescent="0.25">
      <c r="B47" t="s">
        <v>96</v>
      </c>
      <c r="C47" s="183">
        <v>1</v>
      </c>
      <c r="D47" s="178">
        <v>0</v>
      </c>
      <c r="E47" s="121">
        <v>0</v>
      </c>
      <c r="G47" s="99">
        <f t="shared" si="3"/>
        <v>0</v>
      </c>
      <c r="H47" s="99">
        <f t="shared" si="1"/>
        <v>0</v>
      </c>
      <c r="I47" s="99"/>
      <c r="J47" s="99"/>
      <c r="K47" s="99"/>
      <c r="L47" s="99"/>
      <c r="M47" s="99"/>
      <c r="N47" s="181"/>
      <c r="O47" s="181"/>
      <c r="R47" s="198">
        <f>(D47*$C$35)*$C$31</f>
        <v>0</v>
      </c>
      <c r="S47" t="str" cm="1">
        <f t="array" ref="S47">CONCATENATE((D47*$C$35+E47*Tabla3[HORAS TOTAL]/Tabla3[DIAS VIAJE])*$C$31," horas al ",Calculos!C47*100,"% (",Calculos!B47,")")</f>
        <v>0 horas al 100% (Domingos + festivos)</v>
      </c>
      <c r="X47" s="198" cm="1">
        <f t="array" ref="X47">(E47*Tabla3[HORAS TOTAL]/Tabla3[DIAS VIAJE])</f>
        <v>0</v>
      </c>
      <c r="Y47" t="str" cm="1">
        <f t="array" ref="Y47">CONCATENATE((+E47*Tabla3[HORAS TOTAL]/Tabla3[DIAS VIAJE])," horas al ",Calculos!C47*100,"% (",Calculos!B47,")")</f>
        <v>0 horas al 100% (Domingos + festivos)</v>
      </c>
    </row>
    <row r="48" spans="2:26" x14ac:dyDescent="0.25">
      <c r="B48" s="106" t="s">
        <v>97</v>
      </c>
      <c r="C48" s="185">
        <v>2</v>
      </c>
      <c r="D48" s="188">
        <v>0</v>
      </c>
      <c r="E48" s="131">
        <v>0</v>
      </c>
      <c r="G48" s="99">
        <f t="shared" si="3"/>
        <v>0</v>
      </c>
      <c r="H48" s="99">
        <f t="shared" si="1"/>
        <v>0</v>
      </c>
      <c r="I48" s="99"/>
      <c r="J48" s="99"/>
      <c r="K48" s="99"/>
      <c r="L48" s="99"/>
      <c r="M48" s="99"/>
      <c r="N48" s="181"/>
      <c r="O48" s="181"/>
      <c r="R48" s="198">
        <f t="shared" si="2"/>
        <v>0</v>
      </c>
      <c r="S48" t="str" cm="1">
        <f t="array" ref="S48">CONCATENATE((D48*$C$35+E48*Tabla3[HORAS TOTAL]/Tabla3[DIAS VIAJE])*$C$31," horas al ",Calculos!C48*100,"% (",Calculos!B48,")")</f>
        <v>0 horas al 200% (Navidad + Año Nuevo)</v>
      </c>
      <c r="X48" s="198" cm="1">
        <f t="array" ref="X48">(E48*Tabla3[HORAS TOTAL]/Tabla3[DIAS VIAJE])</f>
        <v>0</v>
      </c>
      <c r="Y48" t="str" cm="1">
        <f t="array" ref="Y48">CONCATENATE((+E48*Tabla3[HORAS TOTAL]/Tabla3[DIAS VIAJE])," horas al ",Calculos!C48*100,"% (",Calculos!B48,")")</f>
        <v>0 horas al 200% (Navidad + Año Nuevo)</v>
      </c>
    </row>
    <row r="49" spans="1:18" x14ac:dyDescent="0.25">
      <c r="D49" s="99">
        <f>SUM(D44:D48)</f>
        <v>0.125</v>
      </c>
      <c r="E49" s="99">
        <f>SUM(E44:E48)</f>
        <v>6.25E-2</v>
      </c>
      <c r="F49" s="181" t="s">
        <v>98</v>
      </c>
      <c r="G49" s="186">
        <f>SUM(G44:G48)*C31</f>
        <v>0.25</v>
      </c>
      <c r="H49" s="186">
        <f>SUM(H44:H48)*C31</f>
        <v>0.125</v>
      </c>
      <c r="I49" s="186"/>
      <c r="J49" s="181" t="s">
        <v>99</v>
      </c>
      <c r="K49" s="181"/>
      <c r="L49" s="181"/>
      <c r="M49" s="181"/>
    </row>
    <row r="50" spans="1:18" x14ac:dyDescent="0.25">
      <c r="D50" s="182">
        <f>D56-D49</f>
        <v>0.875</v>
      </c>
      <c r="E50" s="99">
        <f>C55-E49</f>
        <v>0.4375</v>
      </c>
      <c r="F50" s="181" t="s">
        <v>100</v>
      </c>
    </row>
    <row r="51" spans="1:18" x14ac:dyDescent="0.25">
      <c r="D51" s="182"/>
      <c r="E51" s="99"/>
      <c r="F51" s="181"/>
    </row>
    <row r="52" spans="1:18" x14ac:dyDescent="0.25">
      <c r="D52" s="182"/>
      <c r="E52" s="99"/>
      <c r="F52" s="181"/>
    </row>
    <row r="53" spans="1:18" x14ac:dyDescent="0.25">
      <c r="D53" s="182"/>
      <c r="E53" s="99"/>
      <c r="F53" s="181"/>
    </row>
    <row r="54" spans="1:18" ht="19.5" thickBot="1" x14ac:dyDescent="0.35">
      <c r="A54" s="177"/>
      <c r="B54" s="124" t="s">
        <v>101</v>
      </c>
      <c r="C54" s="125"/>
      <c r="D54" s="125"/>
      <c r="E54" s="125"/>
      <c r="F54" s="125"/>
      <c r="G54" s="125"/>
    </row>
    <row r="55" spans="1:18" x14ac:dyDescent="0.25">
      <c r="B55" t="s">
        <v>102</v>
      </c>
      <c r="C55" cm="1">
        <f t="array" ref="C55">Tabla3[DIAS VIAJE]</f>
        <v>0.5</v>
      </c>
      <c r="H55">
        <f>C59/D23</f>
        <v>4</v>
      </c>
    </row>
    <row r="56" spans="1:18" x14ac:dyDescent="0.25">
      <c r="B56" t="s">
        <v>86</v>
      </c>
      <c r="C56" s="108">
        <f>ROUNDUP(SUM(H5:H15)*(1+C34)/C35/C31 * 2, 0) / 2</f>
        <v>1</v>
      </c>
      <c r="D56" s="108">
        <f>ROUNDUP(
  SUM(H5:H15)*(1+C34)/C35/C31 * 2, 0) / 2</f>
        <v>1</v>
      </c>
      <c r="E56" s="108">
        <f>ROUNDUP(  SUM(H5:H15)*(1+C34)/C35/C31 * 2, 0) / 2</f>
        <v>1</v>
      </c>
      <c r="F56" t="str">
        <f>_xlfn.CONCAT(D56*C35*C31-Tabla2[[#Totals],[TOTAL HORAS]]," horas de + para llegar a medio dia")</f>
        <v>0 horas de + para llegar a medio dia</v>
      </c>
    </row>
    <row r="57" spans="1:18" x14ac:dyDescent="0.25">
      <c r="C57" s="128" t="s">
        <v>103</v>
      </c>
      <c r="D57" s="192" t="s">
        <v>104</v>
      </c>
      <c r="E57">
        <f>SUM(H5:H15)*(1+C34)/C35/C31</f>
        <v>1</v>
      </c>
      <c r="R57" s="220"/>
    </row>
    <row r="58" spans="1:18" x14ac:dyDescent="0.25">
      <c r="B58" s="116" t="s">
        <v>105</v>
      </c>
      <c r="C58" s="130">
        <f>C56*C35*C23*C31</f>
        <v>630</v>
      </c>
      <c r="D58" s="130">
        <f>D56*C35*C23*C31</f>
        <v>630</v>
      </c>
      <c r="E58" s="134">
        <f>D58*1.21</f>
        <v>762.3</v>
      </c>
      <c r="F58" s="127"/>
    </row>
    <row r="59" spans="1:18" x14ac:dyDescent="0.25">
      <c r="B59" t="s">
        <v>106</v>
      </c>
      <c r="C59" s="105" cm="1">
        <f t="array" ref="C59">Tabla3[TOTAL]</f>
        <v>200</v>
      </c>
      <c r="D59" s="127">
        <f>C59</f>
        <v>200</v>
      </c>
      <c r="E59" s="134">
        <f>D59*1.21</f>
        <v>242</v>
      </c>
      <c r="K59" s="127">
        <f>H62/(ROUNDUP((C56+C55),0)-1)</f>
        <v>782.25</v>
      </c>
    </row>
    <row r="60" spans="1:18" x14ac:dyDescent="0.25">
      <c r="B60" t="s">
        <v>107</v>
      </c>
      <c r="C60" s="105">
        <f>(ROUNDUP(C55+C56+C36+(C39*2),0)*C31*E23)</f>
        <v>180</v>
      </c>
      <c r="D60" s="127">
        <f>C60</f>
        <v>180</v>
      </c>
      <c r="E60" s="134">
        <f>D60*1.21</f>
        <v>217.79999999999998</v>
      </c>
      <c r="F60" s="127"/>
    </row>
    <row r="61" spans="1:18" x14ac:dyDescent="0.25">
      <c r="B61" t="s">
        <v>108</v>
      </c>
      <c r="C61" s="105">
        <f>IF(OR(C30="X",C30="x"),F23,0)</f>
        <v>0</v>
      </c>
      <c r="D61" s="127">
        <f>C61</f>
        <v>0</v>
      </c>
      <c r="E61" s="134">
        <f t="shared" ref="E61:E66" si="4">D61*1.21</f>
        <v>0</v>
      </c>
      <c r="F61" t="s">
        <v>109</v>
      </c>
      <c r="G61" s="127">
        <f>C58+C62</f>
        <v>647.5</v>
      </c>
      <c r="H61" s="127">
        <f>D58+D62</f>
        <v>647.5</v>
      </c>
      <c r="I61" s="127"/>
      <c r="J61" s="127">
        <f>G61*1.21</f>
        <v>783.47500000000002</v>
      </c>
      <c r="K61" s="127">
        <f>H61*1.21</f>
        <v>783.47500000000002</v>
      </c>
      <c r="L61" s="127"/>
      <c r="M61" s="127"/>
    </row>
    <row r="62" spans="1:18" x14ac:dyDescent="0.25">
      <c r="B62" t="s">
        <v>110</v>
      </c>
      <c r="C62" s="105">
        <f>(G49*C23)</f>
        <v>17.5</v>
      </c>
      <c r="D62" s="127">
        <f>C62</f>
        <v>17.5</v>
      </c>
      <c r="E62" s="134">
        <f t="shared" si="4"/>
        <v>21.175000000000001</v>
      </c>
      <c r="F62" t="s">
        <v>111</v>
      </c>
      <c r="G62" s="127">
        <f>C61+C60+C59+C63+C65+C66</f>
        <v>782.25</v>
      </c>
      <c r="H62" s="127">
        <f>D61+D60+D59+D63+D65+D66</f>
        <v>782.25</v>
      </c>
      <c r="I62" s="127"/>
      <c r="J62" s="127">
        <f t="shared" ref="J62:K64" si="5">G62*1.21</f>
        <v>946.52249999999992</v>
      </c>
      <c r="K62" s="127">
        <f t="shared" si="5"/>
        <v>946.52249999999992</v>
      </c>
      <c r="L62" s="127"/>
      <c r="M62" s="127"/>
    </row>
    <row r="63" spans="1:18" x14ac:dyDescent="0.25">
      <c r="B63" t="s">
        <v>112</v>
      </c>
      <c r="C63" s="105">
        <f>(H49*D23)</f>
        <v>6.25</v>
      </c>
      <c r="D63" s="127">
        <f>(H49*D23)</f>
        <v>6.25</v>
      </c>
      <c r="E63" s="134">
        <f t="shared" si="4"/>
        <v>7.5625</v>
      </c>
      <c r="F63" t="s">
        <v>565</v>
      </c>
      <c r="G63" s="127">
        <f>C64</f>
        <v>716.19999999999993</v>
      </c>
      <c r="H63" s="127">
        <f>D64</f>
        <v>716.19999999999993</v>
      </c>
      <c r="I63" s="127"/>
      <c r="J63" s="127">
        <f t="shared" si="5"/>
        <v>866.60199999999986</v>
      </c>
      <c r="K63" s="127">
        <f t="shared" si="5"/>
        <v>866.60199999999986</v>
      </c>
      <c r="L63" s="127"/>
      <c r="M63" s="127"/>
    </row>
    <row r="64" spans="1:18" x14ac:dyDescent="0.25">
      <c r="B64" t="s">
        <v>565</v>
      </c>
      <c r="C64" s="105">
        <f>IF(OR(C33="X",C33="x"),Tabla2[[#Totals],[TOTAL CONSUMIBLES]],0)</f>
        <v>716.19999999999993</v>
      </c>
      <c r="D64" s="105">
        <f>IF(OR(C33="X",C33="x"),Tabla2[[#Totals],[TOTAL CONSUMIBLES]],0)</f>
        <v>716.19999999999993</v>
      </c>
      <c r="E64" s="134">
        <f t="shared" si="4"/>
        <v>866.60199999999986</v>
      </c>
      <c r="F64" t="s">
        <v>15</v>
      </c>
      <c r="G64" s="127">
        <f>SUM(G61:G63)</f>
        <v>2145.9499999999998</v>
      </c>
      <c r="H64" s="127">
        <f>SUM(H61:H63)</f>
        <v>2145.9499999999998</v>
      </c>
      <c r="I64" s="127"/>
      <c r="J64" s="127">
        <f t="shared" si="5"/>
        <v>2596.5994999999998</v>
      </c>
      <c r="K64" s="127">
        <f t="shared" si="5"/>
        <v>2596.5994999999998</v>
      </c>
      <c r="L64" s="127"/>
      <c r="M64" s="127"/>
    </row>
    <row r="65" spans="1:13" x14ac:dyDescent="0.25">
      <c r="B65" t="s">
        <v>563</v>
      </c>
      <c r="C65" s="105" cm="1">
        <f t="array" ref="C65">IF(B20="","",(((VLOOKUP(B20,Tabla1[],5,FALSE)*2)*C32)*C38)+Tabla3[PEAJES])</f>
        <v>245.99999999999997</v>
      </c>
      <c r="D65" s="105" cm="1">
        <f t="array" ref="D65">IF(B20="","",(((VLOOKUP(B20,Tabla1[],5,FALSE)*2)*C32)*C38)+Tabla3[PEAJES])</f>
        <v>245.99999999999997</v>
      </c>
      <c r="E65" s="134">
        <f t="shared" si="4"/>
        <v>297.65999999999997</v>
      </c>
      <c r="G65" s="127"/>
      <c r="H65" s="127"/>
      <c r="I65" s="127"/>
      <c r="J65" s="127"/>
      <c r="K65" s="127"/>
      <c r="L65" s="127"/>
      <c r="M65" s="127"/>
    </row>
    <row r="66" spans="1:13" x14ac:dyDescent="0.25">
      <c r="B66" t="s">
        <v>564</v>
      </c>
      <c r="C66" s="105">
        <f>IF((($C$56+$C$55)*8)&gt;$C$35,((ROUNDUP((($C$55+$C$56)-1),0)+($C$39*2))*$C$37*$C$31),0)</f>
        <v>150</v>
      </c>
      <c r="D66" s="105">
        <f>IF((($C$56+$C$55)*8)&gt;$C$35,((ROUNDUP((($C$55+$C$56)-1),0)+($C$39*2))*$C$37*$C$31),0)</f>
        <v>150</v>
      </c>
      <c r="E66" s="134">
        <f t="shared" si="4"/>
        <v>181.5</v>
      </c>
      <c r="G66" s="127"/>
      <c r="H66" s="127"/>
      <c r="I66" s="127"/>
      <c r="J66" s="127"/>
      <c r="K66" s="127"/>
      <c r="L66" s="127"/>
      <c r="M66" s="127"/>
    </row>
    <row r="67" spans="1:13" ht="16.5" thickBot="1" x14ac:dyDescent="0.3">
      <c r="B67" s="129" t="s">
        <v>574</v>
      </c>
      <c r="C67" s="133">
        <f>SUM(C58:C66)</f>
        <v>2145.9499999999998</v>
      </c>
      <c r="D67" s="133">
        <f>SUM(D58:D66)</f>
        <v>2145.9499999999998</v>
      </c>
    </row>
    <row r="68" spans="1:13" ht="15.75" thickTop="1" x14ac:dyDescent="0.25">
      <c r="B68" t="s">
        <v>15</v>
      </c>
      <c r="C68" s="127">
        <f>C67*1.21</f>
        <v>2596.5994999999998</v>
      </c>
      <c r="D68" s="127">
        <f>D67*1.21</f>
        <v>2596.5994999999998</v>
      </c>
    </row>
    <row r="70" spans="1:13" ht="19.5" thickBot="1" x14ac:dyDescent="0.35">
      <c r="B70" s="124" t="s">
        <v>113</v>
      </c>
      <c r="C70" s="168" t="s">
        <v>114</v>
      </c>
      <c r="E70" cm="1">
        <f t="array" ref="E70">((VLOOKUP(B20,Tabla1[],5,FALSE)*2)*C38)+Tabla3[PEAJES]</f>
        <v>245.99999999999997</v>
      </c>
      <c r="F70" s="127"/>
    </row>
    <row r="71" spans="1:13" x14ac:dyDescent="0.25">
      <c r="A71" s="126" t="str" cm="1">
        <f t="array" ref="A71">_xlfn._xlws.FILTER(S19:S33,X19:X33&lt;&gt;0,"NA")</f>
        <v>H</v>
      </c>
      <c r="B71" t="str" cm="1">
        <f t="array" ref="B71">_xlfn._xlws.FILTER(T19:T33,X19:X33&lt;&gt;0,"NA")</f>
        <v>Optigear Synthetic RO 150</v>
      </c>
      <c r="C71" cm="1">
        <f t="array" ref="C71">_xlfn._xlws.FILTER(X19:X33,X19:X33&lt;&gt;0,"NA")</f>
        <v>19.600000000000001</v>
      </c>
      <c r="D71" t="s">
        <v>115</v>
      </c>
      <c r="E71" s="240">
        <f>VLOOKUP(B20,Tabla1[],5,FALSE)</f>
        <v>150</v>
      </c>
      <c r="H71" s="127"/>
      <c r="I71" s="127"/>
      <c r="J71" s="127"/>
      <c r="K71" s="127"/>
      <c r="L71" s="127"/>
      <c r="M71" s="127"/>
    </row>
    <row r="72" spans="1:13" x14ac:dyDescent="0.25">
      <c r="A72" s="126"/>
      <c r="E72">
        <f>E70/E71</f>
        <v>1.64</v>
      </c>
      <c r="J72" s="127">
        <f>D67+3663</f>
        <v>5808.95</v>
      </c>
    </row>
    <row r="73" spans="1:13" x14ac:dyDescent="0.25">
      <c r="A73" s="126"/>
      <c r="J73" s="127">
        <f>J72*1.21</f>
        <v>7028.8294999999998</v>
      </c>
    </row>
    <row r="74" spans="1:13" x14ac:dyDescent="0.25">
      <c r="A74" s="126"/>
      <c r="E74" s="127">
        <f>D59+D63</f>
        <v>206.25</v>
      </c>
    </row>
    <row r="75" spans="1:13" x14ac:dyDescent="0.25">
      <c r="A75" s="126"/>
      <c r="E75" s="127">
        <f>E74/16</f>
        <v>12.890625</v>
      </c>
      <c r="F75" s="235">
        <f>C65/1650</f>
        <v>0.14909090909090908</v>
      </c>
    </row>
    <row r="76" spans="1:13" x14ac:dyDescent="0.25">
      <c r="A76" s="126"/>
    </row>
    <row r="77" spans="1:13" x14ac:dyDescent="0.25">
      <c r="A77" s="126"/>
    </row>
    <row r="78" spans="1:13" x14ac:dyDescent="0.25">
      <c r="A78" s="126"/>
      <c r="D78">
        <f>24*60</f>
        <v>1440</v>
      </c>
    </row>
    <row r="79" spans="1:13" x14ac:dyDescent="0.25">
      <c r="A79" s="126"/>
      <c r="D79">
        <f>D78/54</f>
        <v>26.666666666666668</v>
      </c>
    </row>
    <row r="80" spans="1:13" x14ac:dyDescent="0.25">
      <c r="A80" s="126"/>
      <c r="B80" t="s">
        <v>116</v>
      </c>
    </row>
    <row r="81" spans="1:4" x14ac:dyDescent="0.25">
      <c r="A81" s="126"/>
    </row>
    <row r="82" spans="1:4" x14ac:dyDescent="0.25">
      <c r="A82" s="99"/>
    </row>
    <row r="83" spans="1:4" x14ac:dyDescent="0.25">
      <c r="A83" s="99"/>
    </row>
    <row r="84" spans="1:4" x14ac:dyDescent="0.25">
      <c r="A84" s="99"/>
    </row>
    <row r="85" spans="1:4" x14ac:dyDescent="0.25">
      <c r="A85" s="99"/>
    </row>
    <row r="96" spans="1:4" ht="19.5" thickBot="1" x14ac:dyDescent="0.35">
      <c r="B96" s="124" t="s">
        <v>117</v>
      </c>
      <c r="C96" s="168" t="s">
        <v>118</v>
      </c>
      <c r="D96" s="168" t="s">
        <v>119</v>
      </c>
    </row>
    <row r="97" spans="4:4" x14ac:dyDescent="0.25">
      <c r="D97" s="169" t="s">
        <v>120</v>
      </c>
    </row>
    <row r="98" spans="4:4" x14ac:dyDescent="0.25">
      <c r="D98" s="169" t="s">
        <v>121</v>
      </c>
    </row>
    <row r="143" spans="2:6" x14ac:dyDescent="0.25">
      <c r="B143" s="201" t="s">
        <v>122</v>
      </c>
      <c r="C143" s="202" t="s">
        <v>32</v>
      </c>
      <c r="D143" s="203">
        <v>4</v>
      </c>
      <c r="E143" s="203"/>
      <c r="F143" s="204" t="s">
        <v>123</v>
      </c>
    </row>
    <row r="144" spans="2:6" x14ac:dyDescent="0.25">
      <c r="B144" s="205" t="s">
        <v>124</v>
      </c>
      <c r="C144" s="200" t="s">
        <v>125</v>
      </c>
      <c r="D144" s="206">
        <v>2</v>
      </c>
      <c r="E144" s="206"/>
      <c r="F144" s="207"/>
    </row>
    <row r="145" spans="2:6" x14ac:dyDescent="0.25">
      <c r="B145" s="201" t="s">
        <v>126</v>
      </c>
      <c r="C145" s="199" t="s">
        <v>125</v>
      </c>
      <c r="D145" s="208">
        <v>2</v>
      </c>
      <c r="E145" s="208"/>
      <c r="F145" s="209"/>
    </row>
    <row r="146" spans="2:6" x14ac:dyDescent="0.25">
      <c r="B146" s="205" t="s">
        <v>127</v>
      </c>
      <c r="C146" s="200" t="s">
        <v>125</v>
      </c>
      <c r="D146" s="206">
        <v>2</v>
      </c>
      <c r="E146" s="206"/>
      <c r="F146" s="207"/>
    </row>
    <row r="160" spans="2:6" x14ac:dyDescent="0.25">
      <c r="B160" t="s">
        <v>650</v>
      </c>
    </row>
    <row r="162" spans="2:17" x14ac:dyDescent="0.25">
      <c r="B162" s="201" t="s">
        <v>124</v>
      </c>
      <c r="C162" s="202" t="s">
        <v>125</v>
      </c>
      <c r="D162" s="203">
        <v>9</v>
      </c>
      <c r="E162" s="203" t="s">
        <v>123</v>
      </c>
      <c r="F162" s="204" t="s">
        <v>123</v>
      </c>
      <c r="G162" s="208">
        <v>4.5</v>
      </c>
      <c r="H162" s="208">
        <v>40.5</v>
      </c>
      <c r="I162" s="208"/>
      <c r="J162" s="208"/>
      <c r="K162" s="208"/>
      <c r="L162" s="208"/>
      <c r="M162" s="208"/>
      <c r="N162" s="225">
        <v>2430</v>
      </c>
      <c r="O162" s="225"/>
      <c r="P162" s="199" t="s">
        <v>375</v>
      </c>
    </row>
    <row r="163" spans="2:17" x14ac:dyDescent="0.25">
      <c r="B163" s="205" t="s">
        <v>124</v>
      </c>
      <c r="C163" s="200" t="s">
        <v>32</v>
      </c>
      <c r="D163" s="206">
        <v>1</v>
      </c>
      <c r="E163" s="206" t="s">
        <v>123</v>
      </c>
      <c r="F163" s="207" t="s">
        <v>123</v>
      </c>
      <c r="G163" s="206">
        <v>10.5</v>
      </c>
      <c r="H163" s="206">
        <v>10.5</v>
      </c>
      <c r="I163" s="206"/>
      <c r="J163" s="206"/>
      <c r="K163" s="206"/>
      <c r="L163" s="206"/>
      <c r="M163" s="206"/>
      <c r="N163" s="226">
        <v>630</v>
      </c>
      <c r="O163" s="226"/>
      <c r="P163" s="200" t="s">
        <v>375</v>
      </c>
    </row>
    <row r="164" spans="2:17" x14ac:dyDescent="0.25">
      <c r="B164" s="201" t="s">
        <v>362</v>
      </c>
      <c r="C164" s="199" t="s">
        <v>125</v>
      </c>
      <c r="D164" s="208">
        <v>3</v>
      </c>
      <c r="E164" s="208" t="s">
        <v>123</v>
      </c>
      <c r="F164" s="209" t="s">
        <v>123</v>
      </c>
      <c r="G164" s="208">
        <v>4.5</v>
      </c>
      <c r="H164" s="208">
        <v>13.5</v>
      </c>
      <c r="I164" s="208"/>
      <c r="J164" s="208"/>
      <c r="K164" s="208"/>
      <c r="L164" s="208"/>
      <c r="M164" s="208"/>
      <c r="N164" s="225">
        <v>810</v>
      </c>
      <c r="O164" s="225"/>
      <c r="P164" s="199" t="s">
        <v>363</v>
      </c>
    </row>
    <row r="168" spans="2:17" x14ac:dyDescent="0.25">
      <c r="B168" t="s">
        <v>668</v>
      </c>
    </row>
    <row r="170" spans="2:17" x14ac:dyDescent="0.25">
      <c r="B170" s="201" t="s">
        <v>208</v>
      </c>
      <c r="C170" s="202" t="s">
        <v>557</v>
      </c>
      <c r="D170" s="203">
        <v>2</v>
      </c>
      <c r="E170" s="203"/>
      <c r="F170" s="204" t="s">
        <v>123</v>
      </c>
      <c r="G170" s="208" t="e">
        <f>IF(Tabla2[[#This Row],[ZTUKK1A13ZBO]]="","",VLOOKUP(Tabla2[[#This Row],[ZTUKK1A13ZBO]],'Datos Robots'!$B$4:$W$136,IF(C170="Nivel 1",3,IF(C170="Nivel 2 Inferior",7,IF(C170="Nivel 2 Superior",7,IF(C170="Nivel 3",17)))),FALSE)+IF(OR(Tabla2[[#This Row],[Baterias (X)]]="x",Tabla2[[#This Row],[Baterias (X)]]="X"),1,0)++IF(OR(Tabla2[[#This Row],[Clonar SSD (X)]]="x",Tabla2[[#This Row],[Clonar SSD (X)]]="X"),0.5,0))</f>
        <v>#VALUE!</v>
      </c>
      <c r="H170" s="208" t="e">
        <f>IF(Tabla2[[#This Row],[QTY]]="","",Tabla2[[#This Row],[QTY]]*Tabla2[[#This Row],[Horas]])</f>
        <v>#VALUE!</v>
      </c>
      <c r="I170" s="208"/>
      <c r="J170" s="238" t="e">
        <f>IF(Tabla2[[#This Row],[Horas]]="","",Tabla2[[#This Row],[Horas]]*$C$23)</f>
        <v>#VALUE!</v>
      </c>
      <c r="K170" s="238" t="e">
        <f>IF(Tabla2[[#This Row],[ZTUKK1A13ZBO]]="","",IF($C$33="",0,VLOOKUP(Tabla2[[#This Row],[ZTUKK1A13ZBO]],'Datos Robots'!$B$4:$W$136,IF(C170="Nivel 1",5,IF(C170="Nivel 2 Inferior",11,IF(C170="Nivel 2 Superior",11,IF(C170="Nivel 3",21)))),FALSE)+IF(OR(Tabla2[[#This Row],[Baterias (X)]]="x",Tabla2[[#This Row],[Baterias (X)]]="X"),75,0)+IF(OR(Tabla2[[#This Row],[Clonar SSD (X)]]="x",Tabla2[[#This Row],[Clonar SSD (X)]]="X"),150,0)))</f>
        <v>#VALUE!</v>
      </c>
      <c r="L170" s="238" t="e">
        <f>IF(OR(Tabla2[[#This Row],[PRECIO UD. + RED]]="",Tabla2[[#This Row],[CONSUMIBLES UD.]]=""),"",Tabla2[[#This Row],[PRECIO UD. + RED]]+Tabla2[[#This Row],[CONSUMIBLES UD.]])</f>
        <v>#VALUE!</v>
      </c>
      <c r="M170" s="238"/>
      <c r="N170" s="225" t="e">
        <f>IF(Tabla2[[#This Row],[TOTAL HORAS]]="","",Tabla2[[#This Row],[TOTAL HORAS]]*$C$23)</f>
        <v>#VALUE!</v>
      </c>
      <c r="O170" s="225" t="e">
        <f>IF(Tabla2[[#This Row],[QTY]]="","",Tabla2[[#This Row],[QTY]]*Tabla2[[#This Row],[CONSUMIBLES UD.]])</f>
        <v>#VALUE!</v>
      </c>
      <c r="P170" s="236" t="e">
        <f>IF(Tabla2[[#This Row],[ZTUKK1A13ZBO]]="","",VLOOKUP(Tabla2[[#This Row],[ZTUKK1A13ZBO]],'Datos Robots'!$B$4:$W$136,2,FALSE))</f>
        <v>#VALUE!</v>
      </c>
      <c r="Q170" s="199">
        <f t="shared" ref="Q170:Q174" si="6">IF(C170="Nivel 1",1,IF(C170="Nivel 2 Inferior",2,IF(C170="Nivel 2 Superior",3,IF(C170="Nivel 3",4,""))))</f>
        <v>3</v>
      </c>
    </row>
    <row r="171" spans="2:17" x14ac:dyDescent="0.25">
      <c r="B171" s="205" t="s">
        <v>208</v>
      </c>
      <c r="C171" s="200" t="s">
        <v>125</v>
      </c>
      <c r="D171" s="206">
        <v>1</v>
      </c>
      <c r="E171" s="206"/>
      <c r="F171" s="207" t="s">
        <v>123</v>
      </c>
      <c r="G171" s="206" t="e">
        <f>IF(Tabla2[[#This Row],[ZTUKK1A13ZBO]]="","",VLOOKUP(Tabla2[[#This Row],[ZTUKK1A13ZBO]],'Datos Robots'!$B$4:$W$136,IF(C171="Nivel 1",3,IF(C171="Nivel 2 Inferior",7,IF(C171="Nivel 2 Superior",7,IF(C171="Nivel 3",17)))),FALSE)+IF(OR(Tabla2[[#This Row],[Baterias (X)]]="x",Tabla2[[#This Row],[Baterias (X)]]="X"),1,0)++IF(OR(Tabla2[[#This Row],[Clonar SSD (X)]]="x",Tabla2[[#This Row],[Clonar SSD (X)]]="X"),0.5,0))</f>
        <v>#VALUE!</v>
      </c>
      <c r="H171" s="206" t="e">
        <f>IF(Tabla2[[#This Row],[QTY]]="","",Tabla2[[#This Row],[QTY]]*Tabla2[[#This Row],[Horas]])</f>
        <v>#VALUE!</v>
      </c>
      <c r="I171" s="206"/>
      <c r="J171" s="239" t="e">
        <f>IF(Tabla2[[#This Row],[Horas]]="","",Tabla2[[#This Row],[Horas]]*$C$23)</f>
        <v>#VALUE!</v>
      </c>
      <c r="K171" s="239" t="e">
        <f>IF(Tabla2[[#This Row],[ZTUKK1A13ZBO]]="","",IF($C$33="",0,VLOOKUP(Tabla2[[#This Row],[ZTUKK1A13ZBO]],'Datos Robots'!$B$4:$W$136,IF(C171="Nivel 1",5,IF(C171="Nivel 2 Inferior",11,IF(C171="Nivel 2 Superior",11,IF(C171="Nivel 3",21)))),FALSE)+IF(OR(Tabla2[[#This Row],[Baterias (X)]]="x",Tabla2[[#This Row],[Baterias (X)]]="X"),75,0)+IF(OR(Tabla2[[#This Row],[Clonar SSD (X)]]="x",Tabla2[[#This Row],[Clonar SSD (X)]]="X"),150,0)))</f>
        <v>#VALUE!</v>
      </c>
      <c r="L171" s="239" t="e">
        <f>IF(OR(Tabla2[[#This Row],[PRECIO UD. + RED]]="",Tabla2[[#This Row],[CONSUMIBLES UD.]]=""),"",Tabla2[[#This Row],[PRECIO UD. + RED]]+Tabla2[[#This Row],[CONSUMIBLES UD.]])</f>
        <v>#VALUE!</v>
      </c>
      <c r="M171" s="239"/>
      <c r="N171" s="226" t="e">
        <f>IF(Tabla2[[#This Row],[TOTAL HORAS]]="","",Tabla2[[#This Row],[TOTAL HORAS]]*$C$23)</f>
        <v>#VALUE!</v>
      </c>
      <c r="O171" s="226" t="e">
        <f>IF(Tabla2[[#This Row],[QTY]]="","",Tabla2[[#This Row],[QTY]]*Tabla2[[#This Row],[CONSUMIBLES UD.]])</f>
        <v>#VALUE!</v>
      </c>
      <c r="P171" s="237" t="e">
        <f>IF(Tabla2[[#This Row],[ZTUKK1A13ZBO]]="","",VLOOKUP(Tabla2[[#This Row],[ZTUKK1A13ZBO]],'Datos Robots'!$B$4:$W$136,2,FALSE))</f>
        <v>#VALUE!</v>
      </c>
      <c r="Q171" s="200">
        <f t="shared" si="6"/>
        <v>1</v>
      </c>
    </row>
    <row r="172" spans="2:17" x14ac:dyDescent="0.25">
      <c r="B172" s="201" t="s">
        <v>239</v>
      </c>
      <c r="C172" s="199" t="s">
        <v>557</v>
      </c>
      <c r="D172" s="208">
        <v>1</v>
      </c>
      <c r="E172" s="208"/>
      <c r="F172" s="209" t="s">
        <v>123</v>
      </c>
      <c r="G172" s="208" t="e">
        <f>IF(Tabla2[[#This Row],[ZTUKK1A13ZBO]]="","",VLOOKUP(Tabla2[[#This Row],[ZTUKK1A13ZBO]],'Datos Robots'!$B$4:$W$136,IF(C172="Nivel 1",3,IF(C172="Nivel 2 Inferior",7,IF(C172="Nivel 2 Superior",7,IF(C172="Nivel 3",17)))),FALSE)+IF(OR(Tabla2[[#This Row],[Baterias (X)]]="x",Tabla2[[#This Row],[Baterias (X)]]="X"),1,0)++IF(OR(Tabla2[[#This Row],[Clonar SSD (X)]]="x",Tabla2[[#This Row],[Clonar SSD (X)]]="X"),0.5,0))</f>
        <v>#VALUE!</v>
      </c>
      <c r="H172" s="208" t="e">
        <f>IF(Tabla2[[#This Row],[QTY]]="","",Tabla2[[#This Row],[QTY]]*Tabla2[[#This Row],[Horas]])</f>
        <v>#VALUE!</v>
      </c>
      <c r="I172" s="208"/>
      <c r="J172" s="238" t="e">
        <f>IF(Tabla2[[#This Row],[Horas]]="","",Tabla2[[#This Row],[Horas]]*$C$23)</f>
        <v>#VALUE!</v>
      </c>
      <c r="K172" s="238" t="e">
        <f>IF(Tabla2[[#This Row],[ZTUKK1A13ZBO]]="","",IF($C$33="",0,VLOOKUP(Tabla2[[#This Row],[ZTUKK1A13ZBO]],'Datos Robots'!$B$4:$W$136,IF(C172="Nivel 1",5,IF(C172="Nivel 2 Inferior",11,IF(C172="Nivel 2 Superior",11,IF(C172="Nivel 3",21)))),FALSE)+IF(OR(Tabla2[[#This Row],[Baterias (X)]]="x",Tabla2[[#This Row],[Baterias (X)]]="X"),75,0)+IF(OR(Tabla2[[#This Row],[Clonar SSD (X)]]="x",Tabla2[[#This Row],[Clonar SSD (X)]]="X"),150,0)))</f>
        <v>#VALUE!</v>
      </c>
      <c r="L172" s="238" t="e">
        <f>IF(OR(Tabla2[[#This Row],[PRECIO UD. + RED]]="",Tabla2[[#This Row],[CONSUMIBLES UD.]]=""),"",Tabla2[[#This Row],[PRECIO UD. + RED]]+Tabla2[[#This Row],[CONSUMIBLES UD.]])</f>
        <v>#VALUE!</v>
      </c>
      <c r="M172" s="238"/>
      <c r="N172" s="225" t="e">
        <f>IF(Tabla2[[#This Row],[TOTAL HORAS]]="","",Tabla2[[#This Row],[TOTAL HORAS]]*$C$23)</f>
        <v>#VALUE!</v>
      </c>
      <c r="O172" s="225" t="e">
        <f>IF(Tabla2[[#This Row],[QTY]]="","",Tabla2[[#This Row],[QTY]]*Tabla2[[#This Row],[CONSUMIBLES UD.]])</f>
        <v>#VALUE!</v>
      </c>
      <c r="P172" s="199" t="e">
        <f>IF(Tabla2[[#This Row],[ZTUKK1A13ZBO]]="","",VLOOKUP(Tabla2[[#This Row],[ZTUKK1A13ZBO]],'Datos Robots'!$B$4:$W$136,2,FALSE))</f>
        <v>#VALUE!</v>
      </c>
      <c r="Q172" s="199">
        <f t="shared" si="6"/>
        <v>3</v>
      </c>
    </row>
    <row r="173" spans="2:17" x14ac:dyDescent="0.25">
      <c r="B173" s="205" t="s">
        <v>239</v>
      </c>
      <c r="C173" s="200" t="s">
        <v>125</v>
      </c>
      <c r="D173" s="206">
        <v>1</v>
      </c>
      <c r="E173" s="206"/>
      <c r="F173" s="207" t="s">
        <v>123</v>
      </c>
      <c r="G173" s="206" t="e">
        <f>IF(Tabla2[[#This Row],[ZTUKK1A13ZBO]]="","",VLOOKUP(Tabla2[[#This Row],[ZTUKK1A13ZBO]],'Datos Robots'!$B$4:$W$136,IF(C173="Nivel 1",3,IF(C173="Nivel 2 Inferior",7,IF(C173="Nivel 2 Superior",7,IF(C173="Nivel 3",17)))),FALSE)+IF(OR(Tabla2[[#This Row],[Baterias (X)]]="x",Tabla2[[#This Row],[Baterias (X)]]="X"),1,0)++IF(OR(Tabla2[[#This Row],[Clonar SSD (X)]]="x",Tabla2[[#This Row],[Clonar SSD (X)]]="X"),0.5,0))</f>
        <v>#VALUE!</v>
      </c>
      <c r="H173" s="206" t="e">
        <f>IF(Tabla2[[#This Row],[QTY]]="","",Tabla2[[#This Row],[QTY]]*Tabla2[[#This Row],[Horas]])</f>
        <v>#VALUE!</v>
      </c>
      <c r="I173" s="206"/>
      <c r="J173" s="239" t="e">
        <f>IF(Tabla2[[#This Row],[Horas]]="","",Tabla2[[#This Row],[Horas]]*$C$23)</f>
        <v>#VALUE!</v>
      </c>
      <c r="K173" s="239" t="e">
        <f>IF(Tabla2[[#This Row],[ZTUKK1A13ZBO]]="","",IF($C$33="",0,VLOOKUP(Tabla2[[#This Row],[ZTUKK1A13ZBO]],'Datos Robots'!$B$4:$W$136,IF(C173="Nivel 1",5,IF(C173="Nivel 2 Inferior",11,IF(C173="Nivel 2 Superior",11,IF(C173="Nivel 3",21)))),FALSE)+IF(OR(Tabla2[[#This Row],[Baterias (X)]]="x",Tabla2[[#This Row],[Baterias (X)]]="X"),75,0)+IF(OR(Tabla2[[#This Row],[Clonar SSD (X)]]="x",Tabla2[[#This Row],[Clonar SSD (X)]]="X"),150,0)))</f>
        <v>#VALUE!</v>
      </c>
      <c r="L173" s="239" t="e">
        <f>IF(OR(Tabla2[[#This Row],[PRECIO UD. + RED]]="",Tabla2[[#This Row],[CONSUMIBLES UD.]]=""),"",Tabla2[[#This Row],[PRECIO UD. + RED]]+Tabla2[[#This Row],[CONSUMIBLES UD.]])</f>
        <v>#VALUE!</v>
      </c>
      <c r="M173" s="239"/>
      <c r="N173" s="226" t="e">
        <f>IF(Tabla2[[#This Row],[TOTAL HORAS]]="","",Tabla2[[#This Row],[TOTAL HORAS]]*$C$23)</f>
        <v>#VALUE!</v>
      </c>
      <c r="O173" s="226" t="e">
        <f>IF(Tabla2[[#This Row],[QTY]]="","",Tabla2[[#This Row],[QTY]]*Tabla2[[#This Row],[CONSUMIBLES UD.]])</f>
        <v>#VALUE!</v>
      </c>
      <c r="P173" s="200" t="e">
        <f>IF(Tabla2[[#This Row],[ZTUKK1A13ZBO]]="","",VLOOKUP(Tabla2[[#This Row],[ZTUKK1A13ZBO]],'Datos Robots'!$B$4:$W$136,2,FALSE))</f>
        <v>#VALUE!</v>
      </c>
      <c r="Q173" s="200">
        <f t="shared" si="6"/>
        <v>1</v>
      </c>
    </row>
    <row r="174" spans="2:17" x14ac:dyDescent="0.25">
      <c r="B174" s="201" t="s">
        <v>209</v>
      </c>
      <c r="C174" s="199" t="s">
        <v>557</v>
      </c>
      <c r="D174" s="208">
        <v>1</v>
      </c>
      <c r="E174" s="208"/>
      <c r="F174" s="209" t="s">
        <v>123</v>
      </c>
      <c r="G174" s="208" t="e">
        <f>IF(Tabla2[[#This Row],[ZTUKK1A13ZBO]]="","",VLOOKUP(Tabla2[[#This Row],[ZTUKK1A13ZBO]],'Datos Robots'!$B$4:$W$136,IF(C174="Nivel 1",3,IF(C174="Nivel 2 Inferior",7,IF(C174="Nivel 2 Superior",7,IF(C174="Nivel 3",17)))),FALSE)+IF(OR(Tabla2[[#This Row],[Baterias (X)]]="x",Tabla2[[#This Row],[Baterias (X)]]="X"),1,0)++IF(OR(Tabla2[[#This Row],[Clonar SSD (X)]]="x",Tabla2[[#This Row],[Clonar SSD (X)]]="X"),0.5,0))</f>
        <v>#VALUE!</v>
      </c>
      <c r="H174" s="208" t="e">
        <f>IF(Tabla2[[#This Row],[QTY]]="","",Tabla2[[#This Row],[QTY]]*Tabla2[[#This Row],[Horas]])</f>
        <v>#VALUE!</v>
      </c>
      <c r="I174" s="208"/>
      <c r="J174" s="238" t="e">
        <f>IF(Tabla2[[#This Row],[Horas]]="","",Tabla2[[#This Row],[Horas]]*$C$23)</f>
        <v>#VALUE!</v>
      </c>
      <c r="K174" s="238" t="e">
        <f>IF(Tabla2[[#This Row],[ZTUKK1A13ZBO]]="","",IF($C$33="",0,VLOOKUP(Tabla2[[#This Row],[ZTUKK1A13ZBO]],'Datos Robots'!$B$4:$W$136,IF(C174="Nivel 1",5,IF(C174="Nivel 2 Inferior",11,IF(C174="Nivel 2 Superior",11,IF(C174="Nivel 3",21)))),FALSE)+IF(OR(Tabla2[[#This Row],[Baterias (X)]]="x",Tabla2[[#This Row],[Baterias (X)]]="X"),75,0)+IF(OR(Tabla2[[#This Row],[Clonar SSD (X)]]="x",Tabla2[[#This Row],[Clonar SSD (X)]]="X"),150,0)))</f>
        <v>#VALUE!</v>
      </c>
      <c r="L174" s="238" t="e">
        <f>IF(OR(Tabla2[[#This Row],[PRECIO UD. + RED]]="",Tabla2[[#This Row],[CONSUMIBLES UD.]]=""),"",Tabla2[[#This Row],[PRECIO UD. + RED]]+Tabla2[[#This Row],[CONSUMIBLES UD.]])</f>
        <v>#VALUE!</v>
      </c>
      <c r="M174" s="238"/>
      <c r="N174" s="225" t="e">
        <f>IF(Tabla2[[#This Row],[TOTAL HORAS]]="","",Tabla2[[#This Row],[TOTAL HORAS]]*$C$23)</f>
        <v>#VALUE!</v>
      </c>
      <c r="O174" s="225" t="e">
        <f>IF(Tabla2[[#This Row],[QTY]]="","",Tabla2[[#This Row],[QTY]]*Tabla2[[#This Row],[CONSUMIBLES UD.]])</f>
        <v>#VALUE!</v>
      </c>
      <c r="P174" s="199" t="e">
        <f>IF(Tabla2[[#This Row],[ZTUKK1A13ZBO]]="","",VLOOKUP(Tabla2[[#This Row],[ZTUKK1A13ZBO]],'Datos Robots'!$B$4:$W$136,2,FALSE))</f>
        <v>#VALUE!</v>
      </c>
      <c r="Q174" s="199">
        <f t="shared" si="6"/>
        <v>3</v>
      </c>
    </row>
    <row r="180" spans="2:6" x14ac:dyDescent="0.25">
      <c r="B180" t="s">
        <v>677</v>
      </c>
    </row>
    <row r="182" spans="2:6" x14ac:dyDescent="0.25">
      <c r="B182" s="201" t="s">
        <v>346</v>
      </c>
      <c r="C182" s="202" t="s">
        <v>557</v>
      </c>
      <c r="D182" s="203">
        <v>6</v>
      </c>
      <c r="E182" s="203" t="s">
        <v>123</v>
      </c>
      <c r="F182" s="204" t="s">
        <v>123</v>
      </c>
    </row>
    <row r="183" spans="2:6" x14ac:dyDescent="0.25">
      <c r="B183" s="205" t="s">
        <v>344</v>
      </c>
      <c r="C183" s="200" t="s">
        <v>557</v>
      </c>
      <c r="D183" s="206">
        <v>4</v>
      </c>
      <c r="E183" s="206" t="s">
        <v>123</v>
      </c>
      <c r="F183" s="207" t="s">
        <v>123</v>
      </c>
    </row>
    <row r="184" spans="2:6" x14ac:dyDescent="0.25">
      <c r="B184" s="201" t="s">
        <v>342</v>
      </c>
      <c r="C184" s="199" t="s">
        <v>32</v>
      </c>
      <c r="D184" s="208">
        <v>1</v>
      </c>
      <c r="E184" s="208" t="s">
        <v>123</v>
      </c>
      <c r="F184" s="209" t="s">
        <v>123</v>
      </c>
    </row>
    <row r="185" spans="2:6" x14ac:dyDescent="0.25">
      <c r="B185" s="205" t="s">
        <v>357</v>
      </c>
      <c r="C185" s="200" t="s">
        <v>557</v>
      </c>
      <c r="D185" s="206">
        <v>1</v>
      </c>
      <c r="E185" s="206" t="s">
        <v>123</v>
      </c>
      <c r="F185" s="207" t="s">
        <v>123</v>
      </c>
    </row>
    <row r="186" spans="2:6" x14ac:dyDescent="0.25">
      <c r="B186" s="201" t="s">
        <v>348</v>
      </c>
      <c r="C186" s="199" t="s">
        <v>32</v>
      </c>
      <c r="D186" s="208">
        <v>2</v>
      </c>
      <c r="E186" s="208" t="s">
        <v>123</v>
      </c>
      <c r="F186" s="209" t="s">
        <v>123</v>
      </c>
    </row>
    <row r="187" spans="2:6" x14ac:dyDescent="0.25">
      <c r="B187" s="205" t="s">
        <v>348</v>
      </c>
      <c r="C187" s="200" t="s">
        <v>557</v>
      </c>
      <c r="D187" s="206">
        <v>2</v>
      </c>
      <c r="E187" s="206" t="s">
        <v>123</v>
      </c>
      <c r="F187" s="207" t="s">
        <v>123</v>
      </c>
    </row>
    <row r="188" spans="2:6" x14ac:dyDescent="0.25">
      <c r="B188" s="201" t="s">
        <v>370</v>
      </c>
      <c r="C188" s="199" t="s">
        <v>125</v>
      </c>
      <c r="D188" s="208">
        <v>1</v>
      </c>
      <c r="E188" s="208" t="s">
        <v>123</v>
      </c>
      <c r="F188" s="209" t="s">
        <v>123</v>
      </c>
    </row>
    <row r="189" spans="2:6" x14ac:dyDescent="0.25">
      <c r="B189" s="205" t="s">
        <v>370</v>
      </c>
      <c r="C189" s="200" t="s">
        <v>557</v>
      </c>
      <c r="D189" s="206">
        <v>1</v>
      </c>
      <c r="E189" s="206" t="s">
        <v>123</v>
      </c>
      <c r="F189" s="207" t="s">
        <v>123</v>
      </c>
    </row>
    <row r="190" spans="2:6" x14ac:dyDescent="0.25">
      <c r="B190" s="201" t="s">
        <v>362</v>
      </c>
      <c r="C190" s="199" t="s">
        <v>125</v>
      </c>
      <c r="D190" s="208">
        <v>1</v>
      </c>
      <c r="E190" s="208" t="s">
        <v>123</v>
      </c>
      <c r="F190" s="209" t="s">
        <v>123</v>
      </c>
    </row>
    <row r="191" spans="2:6" x14ac:dyDescent="0.25">
      <c r="B191" s="205" t="s">
        <v>344</v>
      </c>
      <c r="C191" s="241" t="s">
        <v>125</v>
      </c>
      <c r="D191" s="242">
        <v>2</v>
      </c>
      <c r="E191" s="242" t="s">
        <v>123</v>
      </c>
      <c r="F191" s="243" t="s">
        <v>123</v>
      </c>
    </row>
    <row r="192" spans="2:6" x14ac:dyDescent="0.25">
      <c r="B192" s="201" t="s">
        <v>289</v>
      </c>
      <c r="C192" s="199" t="s">
        <v>125</v>
      </c>
      <c r="D192" s="208">
        <v>5</v>
      </c>
      <c r="E192" s="208"/>
      <c r="F192" s="208" t="s">
        <v>123</v>
      </c>
    </row>
  </sheetData>
  <mergeCells count="23">
    <mergeCell ref="T21:W21"/>
    <mergeCell ref="T20:W20"/>
    <mergeCell ref="T26:W26"/>
    <mergeCell ref="T25:W25"/>
    <mergeCell ref="T24:W24"/>
    <mergeCell ref="T23:W23"/>
    <mergeCell ref="T22:W22"/>
    <mergeCell ref="G41:H41"/>
    <mergeCell ref="AC3:AD3"/>
    <mergeCell ref="S3:T3"/>
    <mergeCell ref="U3:V3"/>
    <mergeCell ref="W3:X3"/>
    <mergeCell ref="Y3:Z3"/>
    <mergeCell ref="AA3:AB3"/>
    <mergeCell ref="T18:W18"/>
    <mergeCell ref="T29:W29"/>
    <mergeCell ref="T19:W19"/>
    <mergeCell ref="T33:W33"/>
    <mergeCell ref="T32:W32"/>
    <mergeCell ref="T31:W31"/>
    <mergeCell ref="T30:W30"/>
    <mergeCell ref="T28:W28"/>
    <mergeCell ref="T27:W27"/>
  </mergeCells>
  <phoneticPr fontId="21" type="noConversion"/>
  <conditionalFormatting sqref="X19:Z33">
    <cfRule type="expression" dxfId="0" priority="1">
      <formula>"&gt;0"</formula>
    </cfRule>
  </conditionalFormatting>
  <pageMargins left="0.7" right="0.7" top="0.75" bottom="0.75" header="0.3" footer="0.3"/>
  <pageSetup paperSize="9" orientation="portrait" r:id="rId1"/>
  <drawing r:id="rId2"/>
  <tableParts count="3">
    <tablePart r:id="rId3"/>
    <tablePart r:id="rId4"/>
    <tablePart r:id="rId5"/>
  </tableParts>
  <extLst>
    <ext xmlns:x14="http://schemas.microsoft.com/office/spreadsheetml/2009/9/main" uri="{CCE6A557-97BC-4b89-ADB6-D9C93CAAB3DF}">
      <x14:dataValidations xmlns:xm="http://schemas.microsoft.com/office/excel/2006/main" count="5">
        <x14:dataValidation type="list" allowBlank="1" showInputMessage="1" showErrorMessage="1" xr:uid="{347D732D-461F-4554-A5EC-10D95C71D406}">
          <x14:formula1>
            <xm:f>Constantes!$A$9:$A$12</xm:f>
          </x14:formula1>
          <xm:sqref>C170:C174 C143:C146 C162:C164 N25:N29 C182:C192 C5:C15</xm:sqref>
        </x14:dataValidation>
        <x14:dataValidation type="list" allowBlank="1" showInputMessage="1" showErrorMessage="1" xr:uid="{14DC9DD6-4FA8-447C-905F-868AD83378D0}">
          <x14:formula1>
            <xm:f>'Datos Baterias'!$E$20:$E$38</xm:f>
          </x14:formula1>
          <xm:sqref>A9:A15</xm:sqref>
        </x14:dataValidation>
        <x14:dataValidation type="list" allowBlank="1" showInputMessage="1" showErrorMessage="1" xr:uid="{CE026CF4-854E-4B21-A37F-5A13ED6422A2}">
          <x14:formula1>
            <xm:f>'Datos Robots'!$A$147:$A$164</xm:f>
          </x14:formula1>
          <xm:sqref>A5:A8</xm:sqref>
        </x14:dataValidation>
        <x14:dataValidation type="list" allowBlank="1" showInputMessage="1" showErrorMessage="1" xr:uid="{D3032283-8D68-4DC2-9A7D-BED4BCBF7B36}">
          <x14:formula1>
            <xm:f>'Datos Robots'!$B$4:$B$136</xm:f>
          </x14:formula1>
          <xm:sqref>B143:B146 L25:M29 B162:B164 B170:B174 B182:B192 B5:B15</xm:sqref>
        </x14:dataValidation>
        <x14:dataValidation type="list" allowBlank="1" showInputMessage="1" showErrorMessage="1" xr:uid="{DC7CC54E-2413-450F-BC92-3099AEE6D434}">
          <x14:formula1>
            <xm:f>Clientes!$B$2:$B$62</xm:f>
          </x14:formula1>
          <xm:sqref>B20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BDF9640-7CF8-4313-9C63-D5E44E8A427B}">
  <sheetPr codeName="Hoja2"/>
  <dimension ref="B2:E31"/>
  <sheetViews>
    <sheetView zoomScale="115" zoomScaleNormal="115" workbookViewId="0">
      <selection activeCell="G23" sqref="G23"/>
    </sheetView>
  </sheetViews>
  <sheetFormatPr baseColWidth="10" defaultColWidth="10.7109375" defaultRowHeight="15" x14ac:dyDescent="0.25"/>
  <cols>
    <col min="2" max="2" width="21.28515625" customWidth="1"/>
    <col min="5" max="5" width="14.28515625" bestFit="1" customWidth="1"/>
    <col min="7" max="7" width="10.7109375" customWidth="1"/>
  </cols>
  <sheetData>
    <row r="2" spans="2:5" ht="19.5" thickBot="1" x14ac:dyDescent="0.35">
      <c r="B2" s="197" t="s">
        <v>116</v>
      </c>
      <c r="C2" s="195"/>
      <c r="D2" s="195"/>
      <c r="E2" s="195"/>
    </row>
    <row r="3" spans="2:5" ht="15.75" thickTop="1" x14ac:dyDescent="0.25"/>
    <row r="4" spans="2:5" x14ac:dyDescent="0.25">
      <c r="B4" s="189" t="s">
        <v>39</v>
      </c>
      <c r="C4" t="str" cm="1">
        <f t="array" ref="C4">CONCATENATE(Tabla3[Cliente]," (",Tabla3[Destino],")")</f>
        <v>Jordi Draxton (Sant Vicenç dels Horts)</v>
      </c>
    </row>
    <row r="6" spans="2:5" x14ac:dyDescent="0.25">
      <c r="B6" s="189" t="s">
        <v>128</v>
      </c>
      <c r="C6" s="190">
        <f>Calculos!C31</f>
        <v>1</v>
      </c>
    </row>
    <row r="7" spans="2:5" x14ac:dyDescent="0.25">
      <c r="B7" s="189" t="s">
        <v>77</v>
      </c>
      <c r="C7" t="str">
        <f>_xlfn.CONCAT(Calculos!C32, " x viaje ida + vuelta")</f>
        <v>1 x viaje ida + vuelta</v>
      </c>
    </row>
    <row r="8" spans="2:5" x14ac:dyDescent="0.25">
      <c r="B8" s="189" t="s">
        <v>87</v>
      </c>
      <c r="C8" t="str" cm="1">
        <f t="array" ref="C8">CONCATENATE(Calculos!C55," dias de viaje de ",Tabla3[HORAS TOTAL]/Tabla3[DIAS VIAJE]/Calculos!C31," horas cada dia")</f>
        <v>0,5 dias de viaje de 8 horas cada dia</v>
      </c>
    </row>
    <row r="9" spans="2:5" x14ac:dyDescent="0.25">
      <c r="B9" s="189" t="s">
        <v>86</v>
      </c>
      <c r="C9" s="108" t="str">
        <f>CONCATENATE(ROUND(Calculos!D56,1)," dias de ",Calculos!C35," horas cada dia")</f>
        <v>1 dias de 9 horas cada dia</v>
      </c>
    </row>
    <row r="10" spans="2:5" x14ac:dyDescent="0.25">
      <c r="B10" s="189" t="s">
        <v>129</v>
      </c>
      <c r="C10" s="108" t="str">
        <f>CONCATENATE(Calculos!D44*Calculos!C35," horas al ",Calculos!C44*100,"% (",Calculos!B44,")")</f>
        <v>1,125 horas al 25% (Tarde: 18:00 - 22:00 h)</v>
      </c>
    </row>
    <row r="11" spans="2:5" x14ac:dyDescent="0.25">
      <c r="B11" s="189" t="s">
        <v>130</v>
      </c>
      <c r="C11" s="190">
        <f>Calculos!C36</f>
        <v>0</v>
      </c>
    </row>
    <row r="12" spans="2:5" ht="15.75" thickBot="1" x14ac:dyDescent="0.3">
      <c r="B12" s="195"/>
      <c r="C12" s="195"/>
      <c r="D12" s="195"/>
      <c r="E12" s="195"/>
    </row>
    <row r="13" spans="2:5" ht="15.75" thickTop="1" x14ac:dyDescent="0.25"/>
    <row r="14" spans="2:5" x14ac:dyDescent="0.25">
      <c r="B14" s="189" t="s">
        <v>131</v>
      </c>
      <c r="C14" s="190" t="str">
        <f>_xlfn.CONCAT((Calculos!C55+Calculos!C56+Calculos!C36)*Calculos!C31," dietas")</f>
        <v>1,5 dietas</v>
      </c>
      <c r="D14" t="str">
        <f>_xlfn.CONCAT("x ",Calculos!E23,"€ =")</f>
        <v>x 90€ =</v>
      </c>
      <c r="E14" s="127">
        <f>Calculos!C60</f>
        <v>180</v>
      </c>
    </row>
    <row r="15" spans="2:5" x14ac:dyDescent="0.25">
      <c r="B15" s="189" t="s">
        <v>132</v>
      </c>
      <c r="C15" s="190" t="str">
        <f>_xlfn.CONCAT(Tabla3[HORAS TOTAL]," horas")</f>
        <v>4 horas</v>
      </c>
      <c r="D15" t="str">
        <f>_xlfn.CONCAT("x ",Calculos!D23,"€ =")</f>
        <v>x 50€ =</v>
      </c>
      <c r="E15" s="105" cm="1">
        <f t="array" ref="E15">Tabla3[TOTAL]</f>
        <v>200</v>
      </c>
    </row>
    <row r="16" spans="2:5" x14ac:dyDescent="0.25">
      <c r="B16" s="189" t="s">
        <v>133</v>
      </c>
      <c r="C16" t="str">
        <f>_xlfn.CONCAT(Calculos!D44*Calculos!C35*Calculos!C31," horas")</f>
        <v>1,125 horas</v>
      </c>
      <c r="D16" t="str">
        <f>_xlfn.CONCAT("x ",Calculos!D23,"€ al 25% =")</f>
        <v>x 50€ al 25% =</v>
      </c>
      <c r="E16" s="127">
        <f>Calculos!C62</f>
        <v>17.5</v>
      </c>
    </row>
    <row r="18" spans="2:5" x14ac:dyDescent="0.25">
      <c r="B18" s="189" t="str">
        <f>_xlfn.CONCAT("Trabajos ( ",Tabla2[[#Totals],[TOTAL HORAS]]," horas )")</f>
        <v>Trabajos ( 9 horas )</v>
      </c>
      <c r="C18" s="189"/>
      <c r="D18" s="189"/>
    </row>
    <row r="19" spans="2:5" x14ac:dyDescent="0.25">
      <c r="B19" t="e">
        <f>IF(Calculos!#REF!="","",_xlfn.CONCAT(" ",Calculos!#REF!," x ",Calculos!#REF!, " (",Calculos!#REF!,") ",Calculos!G5," horas x robot"))</f>
        <v>#REF!</v>
      </c>
      <c r="E19" s="127" t="e">
        <f>IF(Calculos!#REF!="","",Calculos!N5)</f>
        <v>#REF!</v>
      </c>
    </row>
    <row r="20" spans="2:5" x14ac:dyDescent="0.25">
      <c r="B20" t="e">
        <f>IF(Calculos!#REF!="","",_xlfn.CONCAT(" ",Calculos!#REF!," x ",Calculos!#REF!, " (",Calculos!#REF!,") ",Calculos!G6," horas x robot"))</f>
        <v>#REF!</v>
      </c>
      <c r="E20" s="127" t="e">
        <f>IF(Calculos!#REF!="","",Calculos!N6)</f>
        <v>#REF!</v>
      </c>
    </row>
    <row r="21" spans="2:5" x14ac:dyDescent="0.25">
      <c r="B21" t="str">
        <f>IF(Calculos!B7="","",_xlfn.CONCAT(" ",Calculos!D7," x ",Calculos!B7, " (",Calculos!C7,") ",Calculos!G7," horas x robot"))</f>
        <v/>
      </c>
      <c r="E21" s="127" t="str">
        <f>IF(Calculos!B7="","",Calculos!N7)</f>
        <v/>
      </c>
    </row>
    <row r="22" spans="2:5" x14ac:dyDescent="0.25">
      <c r="B22" t="str">
        <f>IF(Calculos!B8="","",_xlfn.CONCAT(" ",Calculos!D8," x ",Calculos!B8, " (",Calculos!C8,") ",Calculos!G8," horas x robot"))</f>
        <v/>
      </c>
      <c r="E22" s="127" t="str">
        <f>IF(Calculos!B8="","",Calculos!N8)</f>
        <v/>
      </c>
    </row>
    <row r="23" spans="2:5" x14ac:dyDescent="0.25">
      <c r="B23" t="str">
        <f>IF(Calculos!B9="","",_xlfn.CONCAT(" ",Calculos!D9," x ",Calculos!B9, " (",Calculos!C9,") ",Calculos!G9," horas x robot"))</f>
        <v/>
      </c>
      <c r="E23" s="127" t="str">
        <f>IF(Calculos!B9="","",Calculos!N9)</f>
        <v/>
      </c>
    </row>
    <row r="24" spans="2:5" x14ac:dyDescent="0.25">
      <c r="B24" s="189" t="s">
        <v>134</v>
      </c>
      <c r="C24" t="str">
        <f>_xlfn.CONCAT(Calculos!D56*Calculos!C35*Calculos!C31-Tabla2[[#Totals],[TOTAL HORAS]]," horas")</f>
        <v>0 horas</v>
      </c>
      <c r="D24" t="str">
        <f>_xlfn.CONCAT("x ",Calculos!D23,"€ =")</f>
        <v>x 50€ =</v>
      </c>
      <c r="E24" s="127">
        <f>(Calculos!D56*Calculos!C35*Calculos!C31-Tabla2[[#Totals],[TOTAL HORAS]])*Calculos!C23</f>
        <v>0</v>
      </c>
    </row>
    <row r="25" spans="2:5" x14ac:dyDescent="0.25">
      <c r="B25" s="189" t="s">
        <v>135</v>
      </c>
      <c r="E25" s="127">
        <f>Calculos!C61</f>
        <v>0</v>
      </c>
    </row>
    <row r="26" spans="2:5" ht="15.75" thickBot="1" x14ac:dyDescent="0.3">
      <c r="B26" s="195"/>
      <c r="C26" s="195"/>
      <c r="D26" s="195"/>
      <c r="E26" s="196"/>
    </row>
    <row r="27" spans="2:5" ht="15.75" thickTop="1" x14ac:dyDescent="0.25">
      <c r="E27" s="127"/>
    </row>
    <row r="28" spans="2:5" x14ac:dyDescent="0.25">
      <c r="B28" s="189" t="s">
        <v>136</v>
      </c>
      <c r="E28" s="127">
        <f>E14+E15</f>
        <v>380</v>
      </c>
    </row>
    <row r="29" spans="2:5" x14ac:dyDescent="0.25">
      <c r="B29" s="189" t="str">
        <f>CONCATENATE("Total Trabajos: ",ROUND(Calculos!D56,1)," dias x ",Calculos!C35," horas + fuera horario")</f>
        <v>Total Trabajos: 1 dias x 9 horas + fuera horario</v>
      </c>
      <c r="E29" s="127" t="e">
        <f>SUM(E19:E25)+E16</f>
        <v>#REF!</v>
      </c>
    </row>
    <row r="30" spans="2:5" ht="15.75" x14ac:dyDescent="0.25">
      <c r="E30" s="193" t="e">
        <f>E29+E28</f>
        <v>#REF!</v>
      </c>
    </row>
    <row r="31" spans="2:5" x14ac:dyDescent="0.25">
      <c r="D31" s="194" t="s">
        <v>137</v>
      </c>
      <c r="E31" s="191" t="e">
        <f>E30*1.21</f>
        <v>#REF!</v>
      </c>
    </row>
  </sheetData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C29A549-78E6-49B0-8E35-A6BA2CE70C27}">
  <sheetPr codeName="Hoja3"/>
  <dimension ref="B4:O68"/>
  <sheetViews>
    <sheetView view="pageLayout" topLeftCell="A20" zoomScale="115" zoomScaleNormal="100" zoomScalePageLayoutView="115" workbookViewId="0">
      <selection activeCell="G30" sqref="G30"/>
    </sheetView>
  </sheetViews>
  <sheetFormatPr baseColWidth="10" defaultColWidth="10.7109375" defaultRowHeight="15" x14ac:dyDescent="0.25"/>
  <cols>
    <col min="2" max="2" width="14.28515625" customWidth="1"/>
    <col min="3" max="3" width="18.28515625" customWidth="1"/>
    <col min="5" max="5" width="14.28515625" bestFit="1" customWidth="1"/>
    <col min="7" max="7" width="17" customWidth="1"/>
    <col min="8" max="8" width="2.28515625" customWidth="1"/>
    <col min="9" max="9" width="2.42578125" customWidth="1"/>
  </cols>
  <sheetData>
    <row r="4" spans="2:9" ht="14.45" customHeight="1" x14ac:dyDescent="0.25">
      <c r="B4" s="260" t="s">
        <v>138</v>
      </c>
      <c r="C4" s="260"/>
      <c r="D4" s="260"/>
      <c r="E4" s="260"/>
    </row>
    <row r="5" spans="2:9" ht="14.45" customHeight="1" x14ac:dyDescent="0.25">
      <c r="B5" s="260"/>
      <c r="C5" s="260"/>
      <c r="D5" s="260"/>
      <c r="E5" s="260"/>
    </row>
    <row r="6" spans="2:9" ht="14.45" customHeight="1" x14ac:dyDescent="0.25">
      <c r="B6" s="234"/>
      <c r="C6" s="234"/>
      <c r="D6" s="234"/>
      <c r="E6" s="234"/>
    </row>
    <row r="7" spans="2:9" ht="14.45" customHeight="1" x14ac:dyDescent="0.25">
      <c r="B7" s="234"/>
      <c r="C7" s="234"/>
      <c r="D7" s="234"/>
      <c r="E7" s="234"/>
    </row>
    <row r="8" spans="2:9" ht="10.5" customHeight="1" x14ac:dyDescent="0.25">
      <c r="B8" s="219"/>
      <c r="C8" s="219"/>
      <c r="D8" s="219"/>
      <c r="F8" s="264" t="s">
        <v>139</v>
      </c>
      <c r="G8" s="264"/>
    </row>
    <row r="9" spans="2:9" ht="10.5" customHeight="1" x14ac:dyDescent="0.25">
      <c r="B9" s="219"/>
      <c r="C9" s="219"/>
      <c r="D9" s="219"/>
      <c r="F9" s="265" t="s">
        <v>140</v>
      </c>
      <c r="G9" s="265"/>
    </row>
    <row r="10" spans="2:9" ht="10.5" customHeight="1" x14ac:dyDescent="0.25">
      <c r="B10" s="219"/>
      <c r="C10" s="219"/>
      <c r="D10" s="219"/>
      <c r="E10" s="265" t="s">
        <v>141</v>
      </c>
      <c r="F10" s="265"/>
      <c r="G10" s="265"/>
    </row>
    <row r="11" spans="2:9" ht="10.5" customHeight="1" x14ac:dyDescent="0.25">
      <c r="B11" s="219"/>
      <c r="C11" s="219"/>
      <c r="D11" s="219"/>
      <c r="F11" s="265" t="s">
        <v>142</v>
      </c>
      <c r="G11" s="265"/>
      <c r="I11" s="261" t="s">
        <v>577</v>
      </c>
    </row>
    <row r="12" spans="2:9" ht="10.5" customHeight="1" x14ac:dyDescent="0.25">
      <c r="F12" s="266" t="s">
        <v>143</v>
      </c>
      <c r="G12" s="266"/>
      <c r="I12" s="261"/>
    </row>
    <row r="13" spans="2:9" ht="10.5" customHeight="1" x14ac:dyDescent="0.25">
      <c r="F13" s="265"/>
      <c r="G13" s="265"/>
      <c r="I13" s="261"/>
    </row>
    <row r="14" spans="2:9" x14ac:dyDescent="0.25">
      <c r="B14" s="189" t="s">
        <v>39</v>
      </c>
      <c r="C14" t="str" cm="1">
        <f t="array" ref="C14">CONCATENATE(Tabla3[Cliente]," (",Tabla3[Destino],")")</f>
        <v>Jordi Draxton (Sant Vicenç dels Horts)</v>
      </c>
      <c r="I14" s="261"/>
    </row>
    <row r="15" spans="2:9" x14ac:dyDescent="0.25">
      <c r="I15" s="261"/>
    </row>
    <row r="16" spans="2:9" x14ac:dyDescent="0.25">
      <c r="B16" s="189" t="s">
        <v>144</v>
      </c>
      <c r="C16" s="190">
        <f>Calculos!C31</f>
        <v>1</v>
      </c>
      <c r="I16" s="261"/>
    </row>
    <row r="17" spans="2:9" x14ac:dyDescent="0.25">
      <c r="B17" s="189" t="s">
        <v>77</v>
      </c>
      <c r="C17" t="str">
        <f>_xlfn.CONCAT(Calculos!C32, " x viaje ida + vuelta")</f>
        <v>1 x viaje ida + vuelta</v>
      </c>
      <c r="I17" s="261"/>
    </row>
    <row r="18" spans="2:9" x14ac:dyDescent="0.25">
      <c r="B18" s="189" t="s">
        <v>145</v>
      </c>
      <c r="C18" t="str" cm="1">
        <f t="array" ref="C18">CONCATENATE(Calculos!C55," días de viaje de ",Tabla3[HORAS TOTAL]/Tabla3[DIAS VIAJE]/Calculos!C31," horas cada día")</f>
        <v>0,5 días de viaje de 8 horas cada día</v>
      </c>
      <c r="I18" s="261"/>
    </row>
    <row r="19" spans="2:9" x14ac:dyDescent="0.25">
      <c r="B19" s="189" t="s">
        <v>146</v>
      </c>
      <c r="C19" s="108" t="str">
        <f>CONCATENATE(ROUND(Calculos!D56,1)," días de ",Calculos!C35," horas cada día")</f>
        <v>1 días de 9 horas cada día</v>
      </c>
      <c r="I19" s="261"/>
    </row>
    <row r="20" spans="2:9" x14ac:dyDescent="0.25">
      <c r="B20" s="189" t="s">
        <v>130</v>
      </c>
      <c r="C20" s="190">
        <f>Calculos!C36</f>
        <v>0</v>
      </c>
      <c r="I20" s="261"/>
    </row>
    <row r="21" spans="2:9" x14ac:dyDescent="0.25">
      <c r="B21" s="189" t="s">
        <v>576</v>
      </c>
      <c r="C21" s="190">
        <f>Calculos!C39</f>
        <v>0</v>
      </c>
      <c r="I21" s="261"/>
    </row>
    <row r="22" spans="2:9" x14ac:dyDescent="0.25">
      <c r="I22" s="261"/>
    </row>
    <row r="23" spans="2:9" x14ac:dyDescent="0.25">
      <c r="B23" s="189" t="s">
        <v>147</v>
      </c>
      <c r="C23" s="108"/>
      <c r="E23" s="189" t="s">
        <v>148</v>
      </c>
      <c r="I23" s="261"/>
    </row>
    <row r="24" spans="2:9" x14ac:dyDescent="0.25">
      <c r="B24" t="str" cm="1">
        <f t="array" ref="B24">_xlfn._xlws.FILTER(Calculos!S44:S48,Calculos!R44:R48&lt;&gt;0,"NA")</f>
        <v>1,625 horas al 25% (Tarde: 18:00 - 22:00 h)</v>
      </c>
      <c r="C24" s="108"/>
      <c r="E24" t="str" cm="1">
        <f t="array" ref="E24">_xlfn._xlws.FILTER(Calculos!Y44:Y48,Calculos!X44:X48&lt;&gt;0,"NA")</f>
        <v>0,5 horas al 25% (Tarde: 18:00 - 22:00 h)</v>
      </c>
      <c r="I24" s="261"/>
    </row>
    <row r="25" spans="2:9" x14ac:dyDescent="0.25">
      <c r="C25" s="108"/>
      <c r="I25" s="261"/>
    </row>
    <row r="26" spans="2:9" ht="15.75" thickBot="1" x14ac:dyDescent="0.3">
      <c r="B26" s="211" t="s">
        <v>149</v>
      </c>
      <c r="C26" s="211"/>
      <c r="D26" s="211"/>
      <c r="E26" s="211" t="s">
        <v>150</v>
      </c>
      <c r="F26" s="211" t="s">
        <v>151</v>
      </c>
      <c r="G26" s="215" t="s">
        <v>152</v>
      </c>
      <c r="I26" s="261"/>
    </row>
    <row r="27" spans="2:9" x14ac:dyDescent="0.25">
      <c r="I27" s="261"/>
    </row>
    <row r="28" spans="2:9" x14ac:dyDescent="0.25">
      <c r="B28" s="189" t="s">
        <v>131</v>
      </c>
      <c r="E28" s="190" t="str">
        <f>_xlfn.CONCAT((Calculos!C55+Calculos!C56+Calculos!C36+(Calculos!C39*2))*Calculos!C31," dietas")</f>
        <v>1,5 dietas</v>
      </c>
      <c r="F28" t="str">
        <f>_xlfn.CONCAT("x ",Calculos!E23,"€ =")</f>
        <v>x 90€ =</v>
      </c>
      <c r="G28" s="127">
        <f>Calculos!C60</f>
        <v>180</v>
      </c>
      <c r="H28" s="127"/>
      <c r="I28" s="261"/>
    </row>
    <row r="29" spans="2:9" x14ac:dyDescent="0.25">
      <c r="B29" s="189" t="s">
        <v>132</v>
      </c>
      <c r="E29" s="190" t="str" cm="1">
        <f t="array" ref="E29">_xlfn.CONCAT(Tabla3[HORAS TOTAL]*C16," horas")</f>
        <v>4 horas</v>
      </c>
      <c r="F29" t="str">
        <f>_xlfn.CONCAT("x ",Calculos!D23,"€ =")</f>
        <v>x 50€ =</v>
      </c>
      <c r="G29" s="105" cm="1">
        <f t="array" ref="G29">Tabla3[TOTAL]</f>
        <v>200</v>
      </c>
      <c r="H29" s="105"/>
      <c r="I29" s="261"/>
    </row>
    <row r="30" spans="2:9" x14ac:dyDescent="0.25">
      <c r="B30" s="189" t="s">
        <v>147</v>
      </c>
      <c r="G30" s="127">
        <f>Calculos!C62</f>
        <v>17.5</v>
      </c>
      <c r="H30" s="127"/>
      <c r="I30" s="261"/>
    </row>
    <row r="31" spans="2:9" x14ac:dyDescent="0.25">
      <c r="B31" s="189" t="s">
        <v>148</v>
      </c>
      <c r="G31" s="127">
        <f>Calculos!C63</f>
        <v>6.25</v>
      </c>
      <c r="H31" s="127"/>
      <c r="I31" s="261"/>
    </row>
    <row r="32" spans="2:9" x14ac:dyDescent="0.25">
      <c r="B32" s="189" t="s">
        <v>565</v>
      </c>
      <c r="G32" s="127">
        <f>Calculos!C64</f>
        <v>716.19999999999993</v>
      </c>
      <c r="I32" s="261"/>
    </row>
    <row r="33" spans="2:9" x14ac:dyDescent="0.25">
      <c r="B33" s="189" t="s">
        <v>563</v>
      </c>
      <c r="G33" s="127">
        <f>Calculos!C65</f>
        <v>245.99999999999997</v>
      </c>
      <c r="I33" s="261"/>
    </row>
    <row r="34" spans="2:9" x14ac:dyDescent="0.25">
      <c r="B34" s="189" t="s">
        <v>564</v>
      </c>
      <c r="G34" s="127">
        <f>Calculos!C66</f>
        <v>150</v>
      </c>
      <c r="H34" s="127"/>
      <c r="I34" s="261"/>
    </row>
    <row r="35" spans="2:9" x14ac:dyDescent="0.25">
      <c r="B35" s="189" t="str">
        <f>_xlfn.CONCAT("Trabajos ( ",Tabla2[[#Totals],[TOTAL HORAS]]," horas )")</f>
        <v>Trabajos ( 9 horas )</v>
      </c>
      <c r="C35" s="189"/>
      <c r="D35" s="189"/>
      <c r="H35" s="127"/>
      <c r="I35" s="261"/>
    </row>
    <row r="36" spans="2:9" x14ac:dyDescent="0.25">
      <c r="B36" t="e">
        <f>IF(Calculos!#REF!="","",_xlfn.CONCAT(" ",Calculos!#REF!," x ",Calculos!#REF!, " (",Calculos!#REF!,") "))</f>
        <v>#REF!</v>
      </c>
      <c r="E36" t="e">
        <f>IF(Calculos!#REF!="","",_xlfn.CONCAT(Calculos!G5," horas por robot"))</f>
        <v>#REF!</v>
      </c>
      <c r="G36" s="127" t="e">
        <f>IF(Calculos!#REF!="","",Calculos!N5)</f>
        <v>#REF!</v>
      </c>
      <c r="H36" s="127"/>
      <c r="I36" s="261"/>
    </row>
    <row r="37" spans="2:9" x14ac:dyDescent="0.25">
      <c r="B37" t="e">
        <f>IF(Calculos!#REF!="","",_xlfn.CONCAT(" ",Calculos!#REF!," x ",Calculos!#REF!, " (",Calculos!#REF!,") "))</f>
        <v>#REF!</v>
      </c>
      <c r="E37" t="e">
        <f>IF(Calculos!#REF!="","",_xlfn.CONCAT(Calculos!G6," horas por robot"))</f>
        <v>#REF!</v>
      </c>
      <c r="G37" s="105" t="e">
        <f>IF(Calculos!#REF!="","",Calculos!N6)</f>
        <v>#REF!</v>
      </c>
      <c r="H37" s="127"/>
      <c r="I37" s="261"/>
    </row>
    <row r="38" spans="2:9" x14ac:dyDescent="0.25">
      <c r="B38" t="str">
        <f>IF(Calculos!B7="","",_xlfn.CONCAT(" ",Calculos!D7," x ",Calculos!B7, " (",Calculos!C7,") "))</f>
        <v/>
      </c>
      <c r="E38" t="str">
        <f>IF(Calculos!B7="","",_xlfn.CONCAT(Calculos!G7," horas por robot"))</f>
        <v/>
      </c>
      <c r="G38" s="127" t="str">
        <f>IF(Calculos!B7="","",Calculos!N7)</f>
        <v/>
      </c>
      <c r="H38" s="127"/>
      <c r="I38" s="261"/>
    </row>
    <row r="39" spans="2:9" x14ac:dyDescent="0.25">
      <c r="B39" t="str">
        <f>IF(Calculos!B8="","",_xlfn.CONCAT(" ",Calculos!D8," x ",Calculos!B8, " (",Calculos!C8,") "))</f>
        <v/>
      </c>
      <c r="E39" t="str">
        <f>IF(Calculos!B8="","",_xlfn.CONCAT(Calculos!G8," horas por robot"))</f>
        <v/>
      </c>
      <c r="G39" s="127" t="str">
        <f>IF(Calculos!B8="","",Calculos!N8)</f>
        <v/>
      </c>
      <c r="H39" s="127"/>
      <c r="I39" s="261"/>
    </row>
    <row r="40" spans="2:9" x14ac:dyDescent="0.25">
      <c r="B40" t="str">
        <f>IF(Calculos!B9="","",_xlfn.CONCAT(" ",Calculos!D9," x ",Calculos!B9, " (",Calculos!C9,") "))</f>
        <v/>
      </c>
      <c r="E40" t="str">
        <f>IF(Calculos!B9="","",_xlfn.CONCAT(Calculos!G9," horas por robot"))</f>
        <v/>
      </c>
      <c r="G40" s="127" t="str">
        <f>IF(Calculos!B9="","",Calculos!N9)</f>
        <v/>
      </c>
      <c r="H40" s="127"/>
      <c r="I40" s="261"/>
    </row>
    <row r="41" spans="2:9" x14ac:dyDescent="0.25">
      <c r="B41" t="str">
        <f>IF(Calculos!B12="","",_xlfn.CONCAT(" ",Calculos!D12," x ",Calculos!B12, " (",Calculos!C12,") "))</f>
        <v/>
      </c>
      <c r="E41" t="str">
        <f>IF(Calculos!B12="","",_xlfn.CONCAT(Calculos!G12," horas por robot"))</f>
        <v/>
      </c>
      <c r="G41" s="127" t="str">
        <f>IF(Calculos!B12="","",Calculos!N12)</f>
        <v/>
      </c>
      <c r="H41" s="127"/>
      <c r="I41" s="261"/>
    </row>
    <row r="42" spans="2:9" x14ac:dyDescent="0.25">
      <c r="H42" s="127"/>
      <c r="I42" s="261"/>
    </row>
    <row r="43" spans="2:9" x14ac:dyDescent="0.25">
      <c r="B43" t="str">
        <f>IF(Calculos!B10="","",_xlfn.CONCAT(" ",Calculos!D10," x ",Calculos!B10, "   (",Calculos!C10,") "))</f>
        <v/>
      </c>
      <c r="E43" t="str">
        <f>IF(Calculos!B10="","",_xlfn.CONCAT(Calculos!G10," horas por robot"))</f>
        <v/>
      </c>
      <c r="G43" s="127" t="str">
        <f>IF(Calculos!B10="","",Calculos!N10)</f>
        <v/>
      </c>
      <c r="H43" s="127"/>
      <c r="I43" s="261"/>
    </row>
    <row r="44" spans="2:9" x14ac:dyDescent="0.25">
      <c r="B44" s="189" t="s">
        <v>153</v>
      </c>
      <c r="E44" t="str">
        <f>_xlfn.CONCAT(Calculos!D56*Calculos!C35*Calculos!C31-Tabla2[[#Totals],[TOTAL HORAS]]," horas")</f>
        <v>0 horas</v>
      </c>
      <c r="F44" t="str">
        <f>_xlfn.CONCAT("x ",Calculos!D23,"€ =")</f>
        <v>x 50€ =</v>
      </c>
      <c r="G44" s="127">
        <f>(Calculos!D56*Calculos!C35*Calculos!C31-Tabla2[[#Totals],[TOTAL HORAS]])*Calculos!C23</f>
        <v>0</v>
      </c>
      <c r="H44" s="127"/>
      <c r="I44" s="261"/>
    </row>
    <row r="45" spans="2:9" x14ac:dyDescent="0.25">
      <c r="B45" s="189" t="s">
        <v>154</v>
      </c>
      <c r="G45" s="127">
        <f>Calculos!C61</f>
        <v>0</v>
      </c>
      <c r="H45" s="127"/>
      <c r="I45" s="261"/>
    </row>
    <row r="46" spans="2:9" ht="15.75" thickBot="1" x14ac:dyDescent="0.3">
      <c r="B46" s="212"/>
      <c r="C46" s="125"/>
      <c r="D46" s="125"/>
      <c r="E46" s="125"/>
      <c r="F46" s="125"/>
      <c r="G46" s="213"/>
      <c r="H46" s="127"/>
      <c r="I46" s="261"/>
    </row>
    <row r="47" spans="2:9" x14ac:dyDescent="0.25">
      <c r="B47" s="189"/>
      <c r="G47" s="127"/>
      <c r="H47" s="127"/>
      <c r="I47" s="261"/>
    </row>
    <row r="48" spans="2:9" x14ac:dyDescent="0.25">
      <c r="B48" s="189" t="s">
        <v>578</v>
      </c>
      <c r="G48" s="127">
        <f>G45</f>
        <v>0</v>
      </c>
      <c r="H48" s="127"/>
      <c r="I48" s="261"/>
    </row>
    <row r="49" spans="2:15" x14ac:dyDescent="0.25">
      <c r="B49" s="189" t="s">
        <v>136</v>
      </c>
      <c r="G49" s="127">
        <f>G28+G29+G31+G33+G34</f>
        <v>782.25</v>
      </c>
      <c r="H49" s="127"/>
      <c r="I49" s="261"/>
    </row>
    <row r="50" spans="2:15" x14ac:dyDescent="0.25">
      <c r="B50" s="189" t="str">
        <f>CONCATENATE("Total Trabajos: ",ROUND(Calculos!D56,1)," días x ",Calculos!C35," horas + fuera horario")</f>
        <v>Total Trabajos: 1 días x 9 horas + fuera horario</v>
      </c>
      <c r="G50" s="127" t="e">
        <f>SUM(G36:G44)+G30</f>
        <v>#REF!</v>
      </c>
      <c r="H50" s="127"/>
      <c r="I50" s="261"/>
    </row>
    <row r="51" spans="2:15" ht="15.75" x14ac:dyDescent="0.25">
      <c r="B51" s="189" t="s">
        <v>569</v>
      </c>
      <c r="G51" s="127">
        <f>G32</f>
        <v>716.19999999999993</v>
      </c>
      <c r="H51" s="210"/>
      <c r="I51" s="261"/>
    </row>
    <row r="52" spans="2:15" ht="15.75" x14ac:dyDescent="0.25">
      <c r="F52" s="214" t="s">
        <v>15</v>
      </c>
      <c r="G52" s="193" t="e">
        <f>G48+G49+G50+G51</f>
        <v>#REF!</v>
      </c>
      <c r="H52" s="127"/>
      <c r="I52" s="261"/>
    </row>
    <row r="53" spans="2:15" x14ac:dyDescent="0.25">
      <c r="F53" s="194" t="s">
        <v>137</v>
      </c>
      <c r="G53" s="191" t="e">
        <f>G52*1.21</f>
        <v>#REF!</v>
      </c>
      <c r="H53" s="127"/>
      <c r="I53" s="261"/>
    </row>
    <row r="54" spans="2:15" x14ac:dyDescent="0.25">
      <c r="F54" s="194"/>
      <c r="G54" s="127"/>
      <c r="H54" s="127"/>
      <c r="I54" s="261"/>
    </row>
    <row r="55" spans="2:15" x14ac:dyDescent="0.25">
      <c r="F55" s="194"/>
      <c r="G55" s="127"/>
      <c r="H55" s="127"/>
      <c r="I55" s="261"/>
    </row>
    <row r="56" spans="2:15" ht="18.75" customHeight="1" x14ac:dyDescent="0.25">
      <c r="I56" s="261"/>
    </row>
    <row r="57" spans="2:15" x14ac:dyDescent="0.25">
      <c r="B57" s="262" t="s">
        <v>155</v>
      </c>
      <c r="C57" s="262"/>
      <c r="D57" s="262"/>
      <c r="E57" s="262"/>
      <c r="F57" s="262"/>
      <c r="G57" s="262"/>
      <c r="I57" s="261"/>
    </row>
    <row r="58" spans="2:15" ht="14.45" customHeight="1" x14ac:dyDescent="0.25">
      <c r="B58" s="263" t="s">
        <v>156</v>
      </c>
      <c r="C58" s="263"/>
      <c r="D58" s="263"/>
      <c r="E58" s="263"/>
      <c r="F58" s="263"/>
      <c r="G58" s="263"/>
      <c r="I58" s="261"/>
    </row>
    <row r="59" spans="2:15" x14ac:dyDescent="0.25">
      <c r="I59" s="261"/>
    </row>
    <row r="63" spans="2:15" x14ac:dyDescent="0.25">
      <c r="B63" s="218"/>
      <c r="G63" s="218"/>
      <c r="H63" s="218"/>
      <c r="I63" s="218"/>
      <c r="J63" s="218"/>
      <c r="K63" s="218"/>
      <c r="L63" s="218"/>
      <c r="M63" s="218"/>
      <c r="N63" s="218"/>
      <c r="O63" s="218"/>
    </row>
    <row r="64" spans="2:15" x14ac:dyDescent="0.25">
      <c r="B64" s="216"/>
      <c r="G64" s="216"/>
      <c r="H64" s="216"/>
      <c r="I64" s="216"/>
      <c r="J64" s="216"/>
      <c r="K64" s="216"/>
      <c r="L64" s="216"/>
      <c r="M64" s="216"/>
      <c r="N64" s="216"/>
      <c r="O64" s="216"/>
    </row>
    <row r="65" spans="2:15" x14ac:dyDescent="0.25">
      <c r="B65" s="216"/>
      <c r="G65" s="216"/>
      <c r="H65" s="216"/>
      <c r="I65" s="216"/>
      <c r="J65" s="216"/>
      <c r="K65" s="216"/>
      <c r="L65" s="216"/>
      <c r="M65" s="216"/>
      <c r="N65" s="216"/>
      <c r="O65" s="216"/>
    </row>
    <row r="66" spans="2:15" x14ac:dyDescent="0.25">
      <c r="B66" s="216"/>
      <c r="G66" s="216"/>
      <c r="H66" s="216"/>
      <c r="I66" s="216"/>
      <c r="J66" s="216"/>
      <c r="K66" s="216"/>
      <c r="L66" s="216"/>
      <c r="M66" s="216"/>
      <c r="N66" s="216"/>
      <c r="O66" s="216"/>
    </row>
    <row r="67" spans="2:15" x14ac:dyDescent="0.25">
      <c r="B67" s="217"/>
      <c r="G67" s="217"/>
      <c r="H67" s="217"/>
      <c r="I67" s="217"/>
      <c r="J67" s="217"/>
      <c r="K67" s="217"/>
      <c r="L67" s="217"/>
      <c r="M67" s="217"/>
      <c r="N67" s="217"/>
      <c r="O67" s="217"/>
    </row>
    <row r="68" spans="2:15" x14ac:dyDescent="0.25">
      <c r="B68" s="216"/>
      <c r="G68" s="216"/>
      <c r="H68" s="216"/>
      <c r="I68" s="216"/>
      <c r="J68" s="216"/>
      <c r="K68" s="216"/>
      <c r="L68" s="216"/>
      <c r="M68" s="216"/>
      <c r="N68" s="216"/>
      <c r="O68" s="216"/>
    </row>
  </sheetData>
  <mergeCells count="10">
    <mergeCell ref="B4:E5"/>
    <mergeCell ref="I11:I59"/>
    <mergeCell ref="B57:G57"/>
    <mergeCell ref="B58:G58"/>
    <mergeCell ref="F8:G8"/>
    <mergeCell ref="F9:G9"/>
    <mergeCell ref="F13:G13"/>
    <mergeCell ref="F12:G12"/>
    <mergeCell ref="F11:G11"/>
    <mergeCell ref="E10:G10"/>
  </mergeCells>
  <pageMargins left="0" right="0" top="0" bottom="0" header="0" footer="0"/>
  <pageSetup paperSize="9" orientation="portrait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D9E62F5-6254-4506-8323-216B7E8369EF}">
  <sheetPr codeName="Hoja4"/>
  <dimension ref="B1:K36"/>
  <sheetViews>
    <sheetView topLeftCell="D1" workbookViewId="0">
      <selection activeCell="H23" sqref="H23"/>
    </sheetView>
  </sheetViews>
  <sheetFormatPr baseColWidth="10" defaultColWidth="10.7109375" defaultRowHeight="15" x14ac:dyDescent="0.25"/>
  <cols>
    <col min="2" max="2" width="32.28515625" bestFit="1" customWidth="1"/>
    <col min="3" max="3" width="23.85546875" bestFit="1" customWidth="1"/>
    <col min="4" max="5" width="15.42578125" customWidth="1"/>
    <col min="7" max="7" width="10.85546875" style="105"/>
    <col min="8" max="8" width="17.42578125" bestFit="1" customWidth="1"/>
    <col min="9" max="9" width="25.42578125" bestFit="1" customWidth="1"/>
    <col min="10" max="10" width="9.5703125" bestFit="1" customWidth="1"/>
    <col min="11" max="11" width="23.85546875" customWidth="1"/>
  </cols>
  <sheetData>
    <row r="1" spans="2:11" x14ac:dyDescent="0.25">
      <c r="B1" t="s">
        <v>38</v>
      </c>
      <c r="C1" t="s">
        <v>157</v>
      </c>
      <c r="D1" t="s">
        <v>158</v>
      </c>
      <c r="E1" t="s">
        <v>87</v>
      </c>
      <c r="F1" t="s">
        <v>159</v>
      </c>
      <c r="G1" s="105" t="s">
        <v>160</v>
      </c>
      <c r="H1" t="s">
        <v>50</v>
      </c>
      <c r="I1" t="s">
        <v>161</v>
      </c>
      <c r="J1" t="s">
        <v>52</v>
      </c>
      <c r="K1" t="s">
        <v>53</v>
      </c>
    </row>
    <row r="2" spans="2:11" x14ac:dyDescent="0.25">
      <c r="B2" t="s">
        <v>162</v>
      </c>
      <c r="C2" t="s">
        <v>163</v>
      </c>
      <c r="D2">
        <v>7</v>
      </c>
      <c r="E2">
        <v>1</v>
      </c>
      <c r="F2">
        <v>593</v>
      </c>
      <c r="G2" s="105">
        <v>30.67</v>
      </c>
      <c r="H2">
        <v>54</v>
      </c>
      <c r="I2">
        <v>54</v>
      </c>
      <c r="J2">
        <v>70</v>
      </c>
      <c r="K2">
        <v>650</v>
      </c>
    </row>
    <row r="3" spans="2:11" x14ac:dyDescent="0.25">
      <c r="B3" t="s">
        <v>164</v>
      </c>
      <c r="C3" t="s">
        <v>165</v>
      </c>
      <c r="D3">
        <v>14</v>
      </c>
      <c r="E3">
        <v>1</v>
      </c>
      <c r="F3">
        <v>1093</v>
      </c>
      <c r="G3" s="105">
        <v>24.24</v>
      </c>
      <c r="H3">
        <v>54</v>
      </c>
      <c r="I3">
        <v>54</v>
      </c>
      <c r="J3">
        <v>70</v>
      </c>
      <c r="K3">
        <v>650</v>
      </c>
    </row>
    <row r="4" spans="2:11" x14ac:dyDescent="0.25">
      <c r="B4" t="s">
        <v>166</v>
      </c>
      <c r="D4">
        <v>12</v>
      </c>
      <c r="E4">
        <v>1</v>
      </c>
      <c r="H4">
        <v>80</v>
      </c>
      <c r="I4">
        <v>60</v>
      </c>
      <c r="J4">
        <v>70</v>
      </c>
    </row>
    <row r="5" spans="2:11" x14ac:dyDescent="0.25">
      <c r="B5" t="s">
        <v>167</v>
      </c>
      <c r="C5" t="s">
        <v>168</v>
      </c>
      <c r="D5">
        <v>6</v>
      </c>
      <c r="E5">
        <v>1</v>
      </c>
      <c r="F5">
        <v>430</v>
      </c>
      <c r="H5">
        <v>54</v>
      </c>
      <c r="I5">
        <v>54</v>
      </c>
      <c r="J5">
        <v>70</v>
      </c>
      <c r="K5">
        <v>650</v>
      </c>
    </row>
    <row r="6" spans="2:11" x14ac:dyDescent="0.25">
      <c r="B6" t="s">
        <v>45</v>
      </c>
      <c r="C6" t="s">
        <v>169</v>
      </c>
      <c r="D6">
        <v>3</v>
      </c>
      <c r="E6">
        <v>0.5</v>
      </c>
      <c r="F6">
        <v>150</v>
      </c>
      <c r="H6">
        <v>54</v>
      </c>
      <c r="I6">
        <v>54</v>
      </c>
      <c r="J6">
        <v>70</v>
      </c>
      <c r="K6">
        <v>650</v>
      </c>
    </row>
    <row r="7" spans="2:11" x14ac:dyDescent="0.25">
      <c r="B7" t="s">
        <v>559</v>
      </c>
      <c r="C7" t="s">
        <v>560</v>
      </c>
      <c r="D7">
        <v>3</v>
      </c>
      <c r="E7">
        <v>0.5</v>
      </c>
      <c r="F7">
        <v>100</v>
      </c>
      <c r="G7" s="105">
        <v>20</v>
      </c>
      <c r="H7">
        <v>54</v>
      </c>
      <c r="I7">
        <v>54</v>
      </c>
      <c r="J7">
        <v>70</v>
      </c>
      <c r="K7">
        <v>350</v>
      </c>
    </row>
    <row r="8" spans="2:11" x14ac:dyDescent="0.25">
      <c r="B8" t="s">
        <v>561</v>
      </c>
      <c r="C8" t="s">
        <v>562</v>
      </c>
      <c r="D8">
        <v>2.5</v>
      </c>
      <c r="E8">
        <v>0.3125</v>
      </c>
      <c r="F8">
        <v>200</v>
      </c>
      <c r="G8" s="105">
        <v>20</v>
      </c>
      <c r="H8">
        <v>54</v>
      </c>
      <c r="I8">
        <v>54</v>
      </c>
      <c r="J8">
        <v>70</v>
      </c>
      <c r="K8">
        <v>100</v>
      </c>
    </row>
    <row r="9" spans="2:11" x14ac:dyDescent="0.25">
      <c r="B9" t="s">
        <v>570</v>
      </c>
      <c r="C9" t="s">
        <v>571</v>
      </c>
      <c r="D9">
        <v>6</v>
      </c>
      <c r="E9">
        <v>1</v>
      </c>
      <c r="F9">
        <v>450</v>
      </c>
      <c r="G9" s="105">
        <v>25</v>
      </c>
      <c r="H9">
        <v>80</v>
      </c>
      <c r="I9">
        <v>80</v>
      </c>
      <c r="J9">
        <v>90</v>
      </c>
      <c r="K9">
        <v>250</v>
      </c>
    </row>
    <row r="10" spans="2:11" x14ac:dyDescent="0.25">
      <c r="B10" t="s">
        <v>579</v>
      </c>
      <c r="C10" t="s">
        <v>561</v>
      </c>
      <c r="D10">
        <v>2.5</v>
      </c>
      <c r="E10">
        <v>0.3125</v>
      </c>
      <c r="F10">
        <v>200</v>
      </c>
      <c r="G10" s="105">
        <v>20</v>
      </c>
      <c r="H10">
        <v>54</v>
      </c>
      <c r="I10">
        <v>54</v>
      </c>
      <c r="J10">
        <v>70</v>
      </c>
      <c r="K10">
        <v>100</v>
      </c>
    </row>
    <row r="11" spans="2:11" x14ac:dyDescent="0.25">
      <c r="B11" t="s">
        <v>646</v>
      </c>
      <c r="C11" t="s">
        <v>562</v>
      </c>
      <c r="D11">
        <v>0</v>
      </c>
      <c r="E11">
        <v>0</v>
      </c>
      <c r="F11">
        <v>0</v>
      </c>
      <c r="G11" s="105">
        <v>0</v>
      </c>
      <c r="H11">
        <v>54</v>
      </c>
      <c r="I11">
        <v>54</v>
      </c>
      <c r="J11">
        <v>70</v>
      </c>
      <c r="K11">
        <v>0</v>
      </c>
    </row>
    <row r="12" spans="2:11" x14ac:dyDescent="0.25">
      <c r="B12" t="s">
        <v>647</v>
      </c>
      <c r="C12" t="s">
        <v>648</v>
      </c>
      <c r="D12">
        <v>6</v>
      </c>
      <c r="E12">
        <v>1</v>
      </c>
      <c r="F12">
        <v>600</v>
      </c>
      <c r="G12" s="105">
        <v>20</v>
      </c>
      <c r="H12">
        <v>54</v>
      </c>
      <c r="I12">
        <v>54</v>
      </c>
      <c r="J12">
        <v>70</v>
      </c>
      <c r="K12">
        <v>250</v>
      </c>
    </row>
    <row r="13" spans="2:11" x14ac:dyDescent="0.25">
      <c r="B13" t="s">
        <v>649</v>
      </c>
      <c r="C13" t="s">
        <v>165</v>
      </c>
      <c r="D13">
        <v>14</v>
      </c>
      <c r="E13">
        <v>1</v>
      </c>
      <c r="F13">
        <v>1093</v>
      </c>
      <c r="G13" s="105">
        <v>50</v>
      </c>
      <c r="H13">
        <v>60</v>
      </c>
      <c r="I13">
        <v>60</v>
      </c>
      <c r="J13">
        <v>70</v>
      </c>
      <c r="K13">
        <v>650</v>
      </c>
    </row>
    <row r="14" spans="2:11" x14ac:dyDescent="0.25">
      <c r="B14" t="s">
        <v>666</v>
      </c>
      <c r="C14" t="s">
        <v>667</v>
      </c>
      <c r="D14">
        <v>8</v>
      </c>
      <c r="E14">
        <v>1</v>
      </c>
      <c r="F14">
        <v>1650</v>
      </c>
      <c r="G14" s="105">
        <v>80</v>
      </c>
      <c r="H14">
        <v>60</v>
      </c>
      <c r="I14">
        <v>54</v>
      </c>
      <c r="J14">
        <v>70</v>
      </c>
      <c r="K14">
        <v>350</v>
      </c>
    </row>
    <row r="15" spans="2:11" x14ac:dyDescent="0.25">
      <c r="B15" t="s">
        <v>669</v>
      </c>
      <c r="C15" t="s">
        <v>562</v>
      </c>
      <c r="D15">
        <v>2.5</v>
      </c>
      <c r="E15">
        <v>0.25</v>
      </c>
      <c r="F15">
        <v>200</v>
      </c>
      <c r="G15" s="105">
        <v>20</v>
      </c>
      <c r="H15">
        <v>80</v>
      </c>
      <c r="I15">
        <v>80</v>
      </c>
      <c r="J15">
        <v>90</v>
      </c>
      <c r="K15">
        <v>250</v>
      </c>
    </row>
    <row r="16" spans="2:11" x14ac:dyDescent="0.25">
      <c r="B16" t="s">
        <v>671</v>
      </c>
      <c r="C16" t="s">
        <v>670</v>
      </c>
      <c r="D16">
        <v>2.5</v>
      </c>
      <c r="E16">
        <v>0.25</v>
      </c>
      <c r="F16">
        <v>200</v>
      </c>
      <c r="G16" s="105">
        <v>20</v>
      </c>
      <c r="H16">
        <v>80</v>
      </c>
      <c r="I16">
        <v>80</v>
      </c>
      <c r="J16">
        <v>90</v>
      </c>
      <c r="K16">
        <v>250</v>
      </c>
    </row>
    <row r="17" spans="2:11" x14ac:dyDescent="0.25">
      <c r="B17" t="s">
        <v>672</v>
      </c>
      <c r="C17" t="s">
        <v>673</v>
      </c>
      <c r="D17">
        <v>3</v>
      </c>
      <c r="E17">
        <v>0.35</v>
      </c>
      <c r="F17">
        <v>250</v>
      </c>
      <c r="G17" s="105">
        <v>30</v>
      </c>
      <c r="H17">
        <v>80</v>
      </c>
      <c r="I17">
        <v>80</v>
      </c>
      <c r="J17">
        <v>90</v>
      </c>
      <c r="K17">
        <v>250</v>
      </c>
    </row>
    <row r="18" spans="2:11" x14ac:dyDescent="0.25">
      <c r="B18" t="s">
        <v>674</v>
      </c>
      <c r="C18" t="s">
        <v>667</v>
      </c>
      <c r="D18">
        <v>8</v>
      </c>
      <c r="E18">
        <v>1</v>
      </c>
      <c r="F18">
        <v>800</v>
      </c>
      <c r="G18" s="105">
        <v>80</v>
      </c>
      <c r="H18">
        <v>80</v>
      </c>
      <c r="I18">
        <v>65</v>
      </c>
      <c r="J18">
        <v>80</v>
      </c>
      <c r="K18">
        <v>350</v>
      </c>
    </row>
    <row r="19" spans="2:11" x14ac:dyDescent="0.25">
      <c r="B19" t="s">
        <v>675</v>
      </c>
      <c r="C19" t="s">
        <v>676</v>
      </c>
      <c r="D19">
        <v>8</v>
      </c>
      <c r="E19">
        <v>1</v>
      </c>
      <c r="F19">
        <v>850</v>
      </c>
      <c r="G19" s="105">
        <v>80</v>
      </c>
      <c r="H19">
        <v>60</v>
      </c>
      <c r="I19">
        <v>54</v>
      </c>
      <c r="J19">
        <v>70</v>
      </c>
      <c r="K19">
        <v>0</v>
      </c>
    </row>
    <row r="20" spans="2:11" x14ac:dyDescent="0.25">
      <c r="B20" t="s">
        <v>682</v>
      </c>
      <c r="C20" t="s">
        <v>684</v>
      </c>
      <c r="D20">
        <v>8</v>
      </c>
      <c r="E20">
        <v>1</v>
      </c>
      <c r="F20">
        <v>550</v>
      </c>
      <c r="G20" s="105">
        <v>0</v>
      </c>
      <c r="H20">
        <v>70</v>
      </c>
      <c r="I20">
        <v>50</v>
      </c>
      <c r="J20">
        <v>90</v>
      </c>
      <c r="K20">
        <v>0</v>
      </c>
    </row>
    <row r="21" spans="2:11" x14ac:dyDescent="0.25">
      <c r="B21" t="s">
        <v>685</v>
      </c>
      <c r="C21" t="s">
        <v>686</v>
      </c>
      <c r="D21">
        <v>2</v>
      </c>
      <c r="E21">
        <v>0.25</v>
      </c>
      <c r="F21">
        <v>150</v>
      </c>
      <c r="G21" s="105">
        <v>0</v>
      </c>
      <c r="H21">
        <v>70</v>
      </c>
      <c r="I21">
        <v>50</v>
      </c>
      <c r="J21">
        <v>90</v>
      </c>
      <c r="K21">
        <v>0</v>
      </c>
    </row>
    <row r="22" spans="2:11" x14ac:dyDescent="0.25">
      <c r="B22" t="s">
        <v>687</v>
      </c>
      <c r="C22" t="s">
        <v>688</v>
      </c>
      <c r="D22">
        <v>1.25</v>
      </c>
      <c r="E22">
        <f>1.25/8</f>
        <v>0.15625</v>
      </c>
      <c r="F22">
        <v>100</v>
      </c>
      <c r="G22" s="105">
        <v>0</v>
      </c>
      <c r="H22">
        <v>60</v>
      </c>
      <c r="I22">
        <v>54</v>
      </c>
      <c r="J22">
        <v>70</v>
      </c>
      <c r="K22">
        <v>0</v>
      </c>
    </row>
    <row r="36" spans="2:2" x14ac:dyDescent="0.25">
      <c r="B36" t="s">
        <v>683</v>
      </c>
    </row>
  </sheetData>
  <pageMargins left="0.7" right="0.7" top="0.75" bottom="0.75" header="0.3" footer="0.3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7935DA5-2284-4036-8629-ABA3C8331798}">
  <sheetPr codeName="Hoja5"/>
  <dimension ref="A1:AD158"/>
  <sheetViews>
    <sheetView topLeftCell="E53" zoomScaleNormal="100" workbookViewId="0">
      <selection activeCell="S59" sqref="S59"/>
    </sheetView>
  </sheetViews>
  <sheetFormatPr baseColWidth="10" defaultColWidth="11.42578125" defaultRowHeight="15" x14ac:dyDescent="0.25"/>
  <cols>
    <col min="1" max="1" width="13" style="2" bestFit="1" customWidth="1"/>
    <col min="2" max="2" width="28.42578125" style="65" bestFit="1" customWidth="1"/>
    <col min="3" max="3" width="53.28515625" style="65" customWidth="1"/>
    <col min="4" max="4" width="5.85546875" style="2" bestFit="1" customWidth="1"/>
    <col min="5" max="6" width="8.5703125" style="2" bestFit="1" customWidth="1"/>
    <col min="7" max="7" width="5.85546875" style="66" customWidth="1"/>
    <col min="8" max="8" width="5.85546875" style="2" bestFit="1" customWidth="1"/>
    <col min="9" max="9" width="8.5703125" style="2" bestFit="1" customWidth="1"/>
    <col min="10" max="10" width="8.42578125" style="2" customWidth="1"/>
    <col min="11" max="11" width="8.7109375" style="2" bestFit="1" customWidth="1"/>
    <col min="12" max="12" width="11.42578125" style="2"/>
    <col min="13" max="13" width="7.28515625" style="66" customWidth="1"/>
    <col min="14" max="15" width="5.85546875" style="2" hidden="1" customWidth="1"/>
    <col min="16" max="16" width="4.85546875" style="2" hidden="1" customWidth="1"/>
    <col min="17" max="17" width="6.85546875" style="2" hidden="1" customWidth="1"/>
    <col min="18" max="18" width="5.85546875" style="2" bestFit="1" customWidth="1"/>
    <col min="19" max="19" width="8.5703125" style="2" bestFit="1" customWidth="1"/>
    <col min="20" max="20" width="7.42578125" style="2" bestFit="1" customWidth="1"/>
    <col min="21" max="21" width="8.5703125" style="2" bestFit="1" customWidth="1"/>
    <col min="22" max="22" width="11.42578125" style="2" bestFit="1" customWidth="1"/>
    <col min="23" max="23" width="7.42578125" style="66" bestFit="1" customWidth="1"/>
    <col min="24" max="24" width="24.42578125" style="67" bestFit="1" customWidth="1"/>
    <col min="25" max="25" width="8.42578125" style="67" bestFit="1" customWidth="1"/>
    <col min="26" max="26" width="7.140625" style="2" bestFit="1" customWidth="1"/>
    <col min="27" max="27" width="7.28515625" style="2" bestFit="1" customWidth="1"/>
    <col min="28" max="28" width="15.140625" style="2" bestFit="1" customWidth="1"/>
    <col min="29" max="16384" width="11.42578125" style="2"/>
  </cols>
  <sheetData>
    <row r="1" spans="1:30" ht="21.75" customHeight="1" thickBot="1" x14ac:dyDescent="0.25">
      <c r="B1" s="1"/>
      <c r="C1" s="1"/>
      <c r="D1" s="267" t="s">
        <v>170</v>
      </c>
      <c r="E1" s="267"/>
      <c r="F1" s="267"/>
      <c r="G1" s="267"/>
      <c r="H1" s="267"/>
      <c r="I1" s="267"/>
      <c r="J1" s="267"/>
      <c r="K1" s="267"/>
      <c r="L1" s="267"/>
      <c r="M1" s="267"/>
      <c r="N1" s="267"/>
      <c r="O1" s="267"/>
      <c r="P1" s="267"/>
      <c r="Q1" s="267"/>
      <c r="R1" s="267"/>
      <c r="S1" s="267"/>
      <c r="T1" s="267"/>
      <c r="U1" s="267"/>
      <c r="V1" s="267"/>
      <c r="W1" s="267"/>
      <c r="X1" s="268"/>
      <c r="Y1" s="268"/>
      <c r="Z1" s="268"/>
      <c r="AA1" s="268"/>
      <c r="AB1" s="268"/>
      <c r="AC1" s="268"/>
      <c r="AD1" s="268"/>
    </row>
    <row r="2" spans="1:30" ht="15" customHeight="1" thickBot="1" x14ac:dyDescent="0.25">
      <c r="B2" s="3" t="s">
        <v>171</v>
      </c>
      <c r="C2" s="3"/>
      <c r="D2" s="269" t="s">
        <v>172</v>
      </c>
      <c r="E2" s="270"/>
      <c r="F2" s="270"/>
      <c r="G2" s="271"/>
      <c r="H2" s="269" t="s">
        <v>173</v>
      </c>
      <c r="I2" s="270"/>
      <c r="J2" s="270"/>
      <c r="K2" s="270"/>
      <c r="L2" s="270"/>
      <c r="M2" s="271"/>
      <c r="N2" s="272" t="s">
        <v>174</v>
      </c>
      <c r="O2" s="273"/>
      <c r="P2" s="273"/>
      <c r="Q2" s="274"/>
      <c r="R2" s="269" t="s">
        <v>175</v>
      </c>
      <c r="S2" s="270"/>
      <c r="T2" s="270"/>
      <c r="U2" s="270"/>
      <c r="V2" s="270"/>
      <c r="W2" s="271"/>
      <c r="X2" s="267"/>
      <c r="Y2" s="267"/>
      <c r="Z2" s="267"/>
      <c r="AA2" s="267"/>
      <c r="AB2" s="267"/>
      <c r="AC2" s="267"/>
      <c r="AD2" s="267"/>
    </row>
    <row r="3" spans="1:30" ht="27" customHeight="1" thickBot="1" x14ac:dyDescent="0.25">
      <c r="B3" s="4">
        <v>80</v>
      </c>
      <c r="C3" s="5"/>
      <c r="D3" s="6" t="s">
        <v>176</v>
      </c>
      <c r="E3" s="7" t="s">
        <v>177</v>
      </c>
      <c r="F3" s="8" t="s">
        <v>178</v>
      </c>
      <c r="G3" s="9" t="s">
        <v>179</v>
      </c>
      <c r="H3" s="6" t="s">
        <v>176</v>
      </c>
      <c r="I3" s="7" t="s">
        <v>177</v>
      </c>
      <c r="J3" s="10" t="s">
        <v>178</v>
      </c>
      <c r="K3" s="10" t="s">
        <v>180</v>
      </c>
      <c r="L3" s="10" t="s">
        <v>181</v>
      </c>
      <c r="M3" s="9" t="s">
        <v>179</v>
      </c>
      <c r="N3" s="6" t="s">
        <v>176</v>
      </c>
      <c r="O3" s="7" t="s">
        <v>177</v>
      </c>
      <c r="P3" s="10" t="s">
        <v>178</v>
      </c>
      <c r="Q3" s="8" t="s">
        <v>182</v>
      </c>
      <c r="R3" s="6" t="s">
        <v>176</v>
      </c>
      <c r="S3" s="7" t="s">
        <v>177</v>
      </c>
      <c r="T3" s="10" t="s">
        <v>178</v>
      </c>
      <c r="U3" s="10" t="s">
        <v>180</v>
      </c>
      <c r="V3" s="7" t="s">
        <v>181</v>
      </c>
      <c r="W3" s="11" t="s">
        <v>179</v>
      </c>
      <c r="X3" s="12" t="s">
        <v>7</v>
      </c>
      <c r="Y3" s="12"/>
      <c r="Z3" s="12"/>
      <c r="AA3" s="13"/>
      <c r="AB3" s="13"/>
      <c r="AC3" s="13"/>
      <c r="AD3" s="13"/>
    </row>
    <row r="4" spans="1:30" ht="20.100000000000001" customHeight="1" x14ac:dyDescent="0.2">
      <c r="A4" s="2" t="s">
        <v>183</v>
      </c>
      <c r="B4" s="14" t="s">
        <v>184</v>
      </c>
      <c r="C4" s="15" t="s">
        <v>185</v>
      </c>
      <c r="D4" s="16">
        <v>4.5</v>
      </c>
      <c r="E4" s="228">
        <f>D4*$B$3</f>
        <v>360</v>
      </c>
      <c r="F4" s="228">
        <v>50</v>
      </c>
      <c r="G4" s="17">
        <f>E4+F4</f>
        <v>410</v>
      </c>
      <c r="H4" s="16">
        <v>5</v>
      </c>
      <c r="I4" s="228">
        <f>H4*$B$3</f>
        <v>400</v>
      </c>
      <c r="J4" s="228">
        <v>50</v>
      </c>
      <c r="K4" s="229">
        <f>VLOOKUP(C4,'Datos Aceites'!$A$5:$U$203,20,FALSE)</f>
        <v>3</v>
      </c>
      <c r="L4" s="228">
        <f>J4+(K4*1.4)</f>
        <v>54.2</v>
      </c>
      <c r="M4" s="17">
        <f>J4+(K4*1.4)+I4</f>
        <v>454.2</v>
      </c>
      <c r="N4" s="18" t="s">
        <v>123</v>
      </c>
      <c r="O4" s="18" t="s">
        <v>123</v>
      </c>
      <c r="P4" s="19" t="s">
        <v>123</v>
      </c>
      <c r="Q4" s="18" t="s">
        <v>123</v>
      </c>
      <c r="R4" s="18" t="s">
        <v>123</v>
      </c>
      <c r="S4" s="233" t="s">
        <v>123</v>
      </c>
      <c r="T4" s="233" t="s">
        <v>123</v>
      </c>
      <c r="U4" s="233" t="s">
        <v>123</v>
      </c>
      <c r="V4" s="233" t="s">
        <v>123</v>
      </c>
      <c r="W4" s="20" t="s">
        <v>123</v>
      </c>
      <c r="Y4" s="2"/>
    </row>
    <row r="5" spans="1:30" ht="20.100000000000001" customHeight="1" x14ac:dyDescent="0.2">
      <c r="A5" s="2" t="s">
        <v>186</v>
      </c>
      <c r="B5" s="21" t="s">
        <v>187</v>
      </c>
      <c r="C5" s="22" t="s">
        <v>188</v>
      </c>
      <c r="D5" s="23">
        <v>3</v>
      </c>
      <c r="E5" s="229">
        <f t="shared" ref="E5:E59" si="0">D5*$B$3</f>
        <v>240</v>
      </c>
      <c r="F5" s="229">
        <v>50</v>
      </c>
      <c r="G5" s="25">
        <f t="shared" ref="G5:G6" si="1">E5+F5</f>
        <v>290</v>
      </c>
      <c r="H5" s="23">
        <v>3.5</v>
      </c>
      <c r="I5" s="229">
        <f t="shared" ref="I5:I47" si="2">H5*$B$3</f>
        <v>280</v>
      </c>
      <c r="J5" s="229">
        <v>50</v>
      </c>
      <c r="K5" s="229">
        <f>VLOOKUP(C5,'Datos Aceites'!$A$5:$U$203,20,FALSE)</f>
        <v>0</v>
      </c>
      <c r="L5" s="229">
        <f t="shared" ref="L5:L6" si="3">J5+(K5*1.4)</f>
        <v>50</v>
      </c>
      <c r="M5" s="25">
        <f t="shared" ref="M5:M24" si="4">J5+(K5*1.4)+I5</f>
        <v>330</v>
      </c>
      <c r="N5" s="26" t="s">
        <v>123</v>
      </c>
      <c r="O5" s="26" t="s">
        <v>123</v>
      </c>
      <c r="P5" s="27" t="s">
        <v>123</v>
      </c>
      <c r="Q5" s="26" t="s">
        <v>123</v>
      </c>
      <c r="R5" s="26" t="s">
        <v>123</v>
      </c>
      <c r="S5" s="232" t="s">
        <v>123</v>
      </c>
      <c r="T5" s="232" t="s">
        <v>123</v>
      </c>
      <c r="U5" s="232" t="s">
        <v>123</v>
      </c>
      <c r="V5" s="232" t="s">
        <v>123</v>
      </c>
      <c r="W5" s="28" t="s">
        <v>123</v>
      </c>
      <c r="X5" s="2"/>
      <c r="Y5" s="2"/>
    </row>
    <row r="6" spans="1:30" ht="20.100000000000001" customHeight="1" thickBot="1" x14ac:dyDescent="0.25">
      <c r="A6" s="2" t="s">
        <v>186</v>
      </c>
      <c r="B6" s="21" t="s">
        <v>189</v>
      </c>
      <c r="C6" s="22" t="s">
        <v>190</v>
      </c>
      <c r="D6" s="23">
        <v>3</v>
      </c>
      <c r="E6" s="229">
        <f t="shared" si="0"/>
        <v>240</v>
      </c>
      <c r="F6" s="229">
        <v>50</v>
      </c>
      <c r="G6" s="25">
        <f t="shared" si="1"/>
        <v>290</v>
      </c>
      <c r="H6" s="23">
        <v>3.5</v>
      </c>
      <c r="I6" s="229">
        <f t="shared" si="2"/>
        <v>280</v>
      </c>
      <c r="J6" s="229">
        <v>50</v>
      </c>
      <c r="K6" s="229">
        <f>VLOOKUP(C6,'Datos Aceites'!$A$5:$U$203,20,FALSE)</f>
        <v>0</v>
      </c>
      <c r="L6" s="229">
        <f t="shared" si="3"/>
        <v>50</v>
      </c>
      <c r="M6" s="25">
        <f t="shared" si="4"/>
        <v>330</v>
      </c>
      <c r="N6" s="26" t="s">
        <v>123</v>
      </c>
      <c r="O6" s="26" t="s">
        <v>123</v>
      </c>
      <c r="P6" s="27" t="s">
        <v>123</v>
      </c>
      <c r="Q6" s="26" t="s">
        <v>123</v>
      </c>
      <c r="R6" s="26" t="s">
        <v>123</v>
      </c>
      <c r="S6" s="232" t="s">
        <v>123</v>
      </c>
      <c r="T6" s="232" t="s">
        <v>123</v>
      </c>
      <c r="U6" s="232" t="s">
        <v>123</v>
      </c>
      <c r="V6" s="232" t="s">
        <v>123</v>
      </c>
      <c r="W6" s="28" t="s">
        <v>123</v>
      </c>
      <c r="X6" s="2"/>
      <c r="Y6" s="2"/>
      <c r="AA6" s="2" t="s">
        <v>191</v>
      </c>
      <c r="AB6" s="2" t="s">
        <v>192</v>
      </c>
    </row>
    <row r="7" spans="1:30" ht="20.100000000000001" customHeight="1" x14ac:dyDescent="0.2">
      <c r="A7" s="2" t="s">
        <v>193</v>
      </c>
      <c r="B7" s="14" t="s">
        <v>194</v>
      </c>
      <c r="C7" s="15" t="s">
        <v>195</v>
      </c>
      <c r="D7" s="16">
        <v>4</v>
      </c>
      <c r="E7" s="228">
        <f t="shared" si="0"/>
        <v>320</v>
      </c>
      <c r="F7" s="228">
        <v>50</v>
      </c>
      <c r="G7" s="17">
        <f>E7+F7</f>
        <v>370</v>
      </c>
      <c r="H7" s="16">
        <v>4.5</v>
      </c>
      <c r="I7" s="228">
        <f t="shared" si="2"/>
        <v>360</v>
      </c>
      <c r="J7" s="228">
        <v>50</v>
      </c>
      <c r="K7" s="229">
        <f>VLOOKUP(C7,'Datos Aceites'!$A$5:$U$203,20,FALSE)</f>
        <v>3</v>
      </c>
      <c r="L7" s="228">
        <f>J7+(K7*1.4)</f>
        <v>54.2</v>
      </c>
      <c r="M7" s="17">
        <f t="shared" si="4"/>
        <v>414.2</v>
      </c>
      <c r="N7" s="18" t="s">
        <v>123</v>
      </c>
      <c r="O7" s="18" t="s">
        <v>123</v>
      </c>
      <c r="P7" s="19" t="s">
        <v>123</v>
      </c>
      <c r="Q7" s="18" t="s">
        <v>123</v>
      </c>
      <c r="R7" s="18" t="s">
        <v>123</v>
      </c>
      <c r="S7" s="233" t="s">
        <v>123</v>
      </c>
      <c r="T7" s="233" t="s">
        <v>123</v>
      </c>
      <c r="U7" s="233" t="s">
        <v>123</v>
      </c>
      <c r="V7" s="233" t="s">
        <v>123</v>
      </c>
      <c r="W7" s="20" t="s">
        <v>123</v>
      </c>
      <c r="X7" s="2"/>
      <c r="Y7" s="2"/>
      <c r="AA7" s="2" t="s">
        <v>196</v>
      </c>
      <c r="AB7" s="2" t="s">
        <v>197</v>
      </c>
    </row>
    <row r="8" spans="1:30" ht="20.100000000000001" customHeight="1" x14ac:dyDescent="0.2">
      <c r="A8" s="2" t="s">
        <v>197</v>
      </c>
      <c r="B8" s="21" t="s">
        <v>198</v>
      </c>
      <c r="C8" s="22" t="s">
        <v>195</v>
      </c>
      <c r="D8" s="23">
        <v>4</v>
      </c>
      <c r="E8" s="229">
        <f t="shared" si="0"/>
        <v>320</v>
      </c>
      <c r="F8" s="229">
        <v>50</v>
      </c>
      <c r="G8" s="25">
        <f>E8+F8</f>
        <v>370</v>
      </c>
      <c r="H8" s="23">
        <v>4.5</v>
      </c>
      <c r="I8" s="229">
        <f t="shared" si="2"/>
        <v>360</v>
      </c>
      <c r="J8" s="229">
        <v>50</v>
      </c>
      <c r="K8" s="229">
        <f>VLOOKUP(C8,'Datos Aceites'!$A$5:$U$203,20,FALSE)</f>
        <v>3</v>
      </c>
      <c r="L8" s="229">
        <f>J8+(K8*1.4)</f>
        <v>54.2</v>
      </c>
      <c r="M8" s="25">
        <f t="shared" si="4"/>
        <v>414.2</v>
      </c>
      <c r="N8" s="26" t="s">
        <v>123</v>
      </c>
      <c r="O8" s="26" t="s">
        <v>123</v>
      </c>
      <c r="P8" s="27" t="s">
        <v>123</v>
      </c>
      <c r="Q8" s="26" t="s">
        <v>123</v>
      </c>
      <c r="R8" s="26" t="s">
        <v>123</v>
      </c>
      <c r="S8" s="232" t="s">
        <v>123</v>
      </c>
      <c r="T8" s="232" t="s">
        <v>123</v>
      </c>
      <c r="U8" s="232" t="s">
        <v>123</v>
      </c>
      <c r="V8" s="232" t="s">
        <v>123</v>
      </c>
      <c r="W8" s="28" t="s">
        <v>123</v>
      </c>
      <c r="X8" s="2"/>
      <c r="Y8" s="2"/>
    </row>
    <row r="9" spans="1:30" ht="20.100000000000001" customHeight="1" x14ac:dyDescent="0.2">
      <c r="A9" s="2" t="s">
        <v>192</v>
      </c>
      <c r="B9" s="21" t="s">
        <v>199</v>
      </c>
      <c r="C9" s="22" t="s">
        <v>195</v>
      </c>
      <c r="D9" s="23">
        <v>4</v>
      </c>
      <c r="E9" s="229">
        <f t="shared" si="0"/>
        <v>320</v>
      </c>
      <c r="F9" s="229">
        <v>50</v>
      </c>
      <c r="G9" s="25">
        <f t="shared" ref="G9:G74" si="5">E9+F9</f>
        <v>370</v>
      </c>
      <c r="H9" s="23">
        <v>4.5</v>
      </c>
      <c r="I9" s="229">
        <f t="shared" si="2"/>
        <v>360</v>
      </c>
      <c r="J9" s="229">
        <v>50</v>
      </c>
      <c r="K9" s="229">
        <f>VLOOKUP(C9,'Datos Aceites'!$A$5:$U$203,20,FALSE)</f>
        <v>3</v>
      </c>
      <c r="L9" s="229">
        <f t="shared" ref="L9:L24" si="6">J9+(K9*1.4)</f>
        <v>54.2</v>
      </c>
      <c r="M9" s="25">
        <f t="shared" si="4"/>
        <v>414.2</v>
      </c>
      <c r="N9" s="26" t="s">
        <v>123</v>
      </c>
      <c r="O9" s="26" t="s">
        <v>123</v>
      </c>
      <c r="P9" s="27" t="s">
        <v>123</v>
      </c>
      <c r="Q9" s="26" t="s">
        <v>123</v>
      </c>
      <c r="R9" s="26" t="s">
        <v>123</v>
      </c>
      <c r="S9" s="232" t="s">
        <v>123</v>
      </c>
      <c r="T9" s="232" t="s">
        <v>123</v>
      </c>
      <c r="U9" s="232" t="s">
        <v>123</v>
      </c>
      <c r="V9" s="232" t="s">
        <v>123</v>
      </c>
      <c r="W9" s="28" t="s">
        <v>123</v>
      </c>
      <c r="X9" s="2"/>
      <c r="Y9" s="2"/>
      <c r="AC9" s="29"/>
    </row>
    <row r="10" spans="1:30" ht="20.100000000000001" customHeight="1" x14ac:dyDescent="0.2">
      <c r="A10" s="2" t="s">
        <v>186</v>
      </c>
      <c r="B10" s="21" t="s">
        <v>200</v>
      </c>
      <c r="C10" s="22" t="s">
        <v>195</v>
      </c>
      <c r="D10" s="23">
        <v>3</v>
      </c>
      <c r="E10" s="229">
        <f t="shared" si="0"/>
        <v>240</v>
      </c>
      <c r="F10" s="229">
        <v>50</v>
      </c>
      <c r="G10" s="25">
        <f t="shared" si="5"/>
        <v>290</v>
      </c>
      <c r="H10" s="23">
        <v>3.5</v>
      </c>
      <c r="I10" s="229">
        <f t="shared" si="2"/>
        <v>280</v>
      </c>
      <c r="J10" s="229">
        <v>50</v>
      </c>
      <c r="K10" s="229">
        <f>VLOOKUP(C10,'Datos Aceites'!$A$5:$U$203,20,FALSE)</f>
        <v>3</v>
      </c>
      <c r="L10" s="229">
        <f t="shared" si="6"/>
        <v>54.2</v>
      </c>
      <c r="M10" s="25">
        <f t="shared" si="4"/>
        <v>334.2</v>
      </c>
      <c r="N10" s="26" t="s">
        <v>123</v>
      </c>
      <c r="O10" s="26" t="s">
        <v>123</v>
      </c>
      <c r="P10" s="27" t="s">
        <v>123</v>
      </c>
      <c r="Q10" s="26" t="s">
        <v>123</v>
      </c>
      <c r="R10" s="26" t="s">
        <v>123</v>
      </c>
      <c r="S10" s="232" t="s">
        <v>123</v>
      </c>
      <c r="T10" s="232" t="s">
        <v>123</v>
      </c>
      <c r="U10" s="232" t="s">
        <v>123</v>
      </c>
      <c r="V10" s="232" t="s">
        <v>123</v>
      </c>
      <c r="W10" s="28" t="s">
        <v>123</v>
      </c>
      <c r="X10" s="2"/>
      <c r="Y10" s="2"/>
    </row>
    <row r="11" spans="1:30" ht="20.100000000000001" customHeight="1" x14ac:dyDescent="0.2">
      <c r="A11" s="2" t="s">
        <v>201</v>
      </c>
      <c r="B11" s="30" t="s">
        <v>202</v>
      </c>
      <c r="C11" s="31" t="s">
        <v>203</v>
      </c>
      <c r="D11" s="23">
        <v>4</v>
      </c>
      <c r="E11" s="229">
        <f>D11*$B$3</f>
        <v>320</v>
      </c>
      <c r="F11" s="229">
        <v>50</v>
      </c>
      <c r="G11" s="32">
        <f>E11+F11</f>
        <v>370</v>
      </c>
      <c r="H11" s="23">
        <v>4.5</v>
      </c>
      <c r="I11" s="229">
        <f>H11*$B$3</f>
        <v>360</v>
      </c>
      <c r="J11" s="229">
        <v>50</v>
      </c>
      <c r="K11" s="229">
        <f>VLOOKUP(C11,'Datos Aceites'!$A$5:$U$203,20,FALSE)</f>
        <v>1</v>
      </c>
      <c r="L11" s="93">
        <f>J11+(K11*1.4)</f>
        <v>51.4</v>
      </c>
      <c r="M11" s="32">
        <f>J11+(K11*1.4)+I11</f>
        <v>411.4</v>
      </c>
      <c r="N11" s="26" t="s">
        <v>123</v>
      </c>
      <c r="O11" s="26" t="s">
        <v>123</v>
      </c>
      <c r="P11" s="27" t="s">
        <v>123</v>
      </c>
      <c r="Q11" s="26" t="s">
        <v>123</v>
      </c>
      <c r="R11" s="26" t="s">
        <v>123</v>
      </c>
      <c r="S11" s="232" t="s">
        <v>123</v>
      </c>
      <c r="T11" s="232" t="s">
        <v>123</v>
      </c>
      <c r="U11" s="232" t="s">
        <v>123</v>
      </c>
      <c r="V11" s="232" t="s">
        <v>123</v>
      </c>
      <c r="W11" s="33" t="s">
        <v>123</v>
      </c>
      <c r="X11" s="2"/>
      <c r="Y11" s="2"/>
    </row>
    <row r="12" spans="1:30" ht="20.100000000000001" customHeight="1" x14ac:dyDescent="0.2">
      <c r="A12" s="2" t="s">
        <v>193</v>
      </c>
      <c r="B12" s="30" t="s">
        <v>204</v>
      </c>
      <c r="C12" s="31" t="s">
        <v>203</v>
      </c>
      <c r="D12" s="23">
        <v>4</v>
      </c>
      <c r="E12" s="229">
        <f t="shared" si="0"/>
        <v>320</v>
      </c>
      <c r="F12" s="229">
        <v>50</v>
      </c>
      <c r="G12" s="32">
        <f t="shared" si="5"/>
        <v>370</v>
      </c>
      <c r="H12" s="23">
        <v>4.5</v>
      </c>
      <c r="I12" s="229">
        <f t="shared" si="2"/>
        <v>360</v>
      </c>
      <c r="J12" s="229">
        <v>50</v>
      </c>
      <c r="K12" s="229">
        <f>VLOOKUP(C12,'Datos Aceites'!$A$5:$U$203,20,FALSE)</f>
        <v>1</v>
      </c>
      <c r="L12" s="93">
        <f t="shared" si="6"/>
        <v>51.4</v>
      </c>
      <c r="M12" s="32">
        <f t="shared" si="4"/>
        <v>411.4</v>
      </c>
      <c r="N12" s="26" t="s">
        <v>123</v>
      </c>
      <c r="O12" s="26" t="s">
        <v>123</v>
      </c>
      <c r="P12" s="27" t="s">
        <v>123</v>
      </c>
      <c r="Q12" s="26" t="s">
        <v>123</v>
      </c>
      <c r="R12" s="26" t="s">
        <v>123</v>
      </c>
      <c r="S12" s="232" t="s">
        <v>123</v>
      </c>
      <c r="T12" s="232" t="s">
        <v>123</v>
      </c>
      <c r="U12" s="232" t="s">
        <v>123</v>
      </c>
      <c r="V12" s="232" t="s">
        <v>123</v>
      </c>
      <c r="W12" s="33" t="s">
        <v>123</v>
      </c>
      <c r="X12" s="2"/>
      <c r="Y12" s="2"/>
    </row>
    <row r="13" spans="1:30" ht="20.100000000000001" customHeight="1" x14ac:dyDescent="0.2">
      <c r="A13" s="2" t="s">
        <v>197</v>
      </c>
      <c r="B13" s="30" t="s">
        <v>205</v>
      </c>
      <c r="C13" s="31" t="s">
        <v>203</v>
      </c>
      <c r="D13" s="23">
        <v>4</v>
      </c>
      <c r="E13" s="229">
        <f t="shared" si="0"/>
        <v>320</v>
      </c>
      <c r="F13" s="229">
        <v>50</v>
      </c>
      <c r="G13" s="32">
        <f>E13+F13</f>
        <v>370</v>
      </c>
      <c r="H13" s="23">
        <v>4.5</v>
      </c>
      <c r="I13" s="229">
        <f t="shared" si="2"/>
        <v>360</v>
      </c>
      <c r="J13" s="229">
        <v>50</v>
      </c>
      <c r="K13" s="229">
        <f>VLOOKUP(C13,'Datos Aceites'!$A$5:$U$203,20,FALSE)</f>
        <v>1</v>
      </c>
      <c r="L13" s="93">
        <f>J13+(K13*1.4)</f>
        <v>51.4</v>
      </c>
      <c r="M13" s="32">
        <f t="shared" si="4"/>
        <v>411.4</v>
      </c>
      <c r="N13" s="26"/>
      <c r="O13" s="26"/>
      <c r="P13" s="27"/>
      <c r="Q13" s="26"/>
      <c r="R13" s="26" t="s">
        <v>123</v>
      </c>
      <c r="S13" s="232" t="s">
        <v>123</v>
      </c>
      <c r="T13" s="232" t="s">
        <v>123</v>
      </c>
      <c r="U13" s="232" t="s">
        <v>123</v>
      </c>
      <c r="V13" s="232" t="s">
        <v>123</v>
      </c>
      <c r="W13" s="33" t="s">
        <v>123</v>
      </c>
      <c r="X13" s="2"/>
      <c r="Y13" s="2"/>
    </row>
    <row r="14" spans="1:30" ht="20.100000000000001" customHeight="1" x14ac:dyDescent="0.2">
      <c r="A14" s="2" t="s">
        <v>192</v>
      </c>
      <c r="B14" s="30" t="s">
        <v>206</v>
      </c>
      <c r="C14" s="31" t="s">
        <v>203</v>
      </c>
      <c r="D14" s="23">
        <v>3.5</v>
      </c>
      <c r="E14" s="229">
        <f t="shared" si="0"/>
        <v>280</v>
      </c>
      <c r="F14" s="229">
        <v>50</v>
      </c>
      <c r="G14" s="32">
        <f t="shared" si="5"/>
        <v>330</v>
      </c>
      <c r="H14" s="23">
        <v>4.5</v>
      </c>
      <c r="I14" s="229">
        <f t="shared" si="2"/>
        <v>360</v>
      </c>
      <c r="J14" s="229">
        <v>50</v>
      </c>
      <c r="K14" s="229">
        <f>VLOOKUP(C14,'Datos Aceites'!$A$5:$U$203,20,FALSE)</f>
        <v>1</v>
      </c>
      <c r="L14" s="93">
        <f t="shared" si="6"/>
        <v>51.4</v>
      </c>
      <c r="M14" s="32">
        <f t="shared" si="4"/>
        <v>411.4</v>
      </c>
      <c r="N14" s="26" t="s">
        <v>123</v>
      </c>
      <c r="O14" s="26" t="s">
        <v>123</v>
      </c>
      <c r="P14" s="27" t="s">
        <v>123</v>
      </c>
      <c r="Q14" s="26" t="s">
        <v>123</v>
      </c>
      <c r="R14" s="26" t="s">
        <v>123</v>
      </c>
      <c r="S14" s="232" t="s">
        <v>123</v>
      </c>
      <c r="T14" s="232" t="s">
        <v>123</v>
      </c>
      <c r="U14" s="232" t="s">
        <v>123</v>
      </c>
      <c r="V14" s="232" t="s">
        <v>123</v>
      </c>
      <c r="W14" s="33" t="s">
        <v>123</v>
      </c>
      <c r="X14" s="2" t="s">
        <v>207</v>
      </c>
      <c r="Y14" s="2"/>
    </row>
    <row r="15" spans="1:30" ht="20.100000000000001" customHeight="1" x14ac:dyDescent="0.2">
      <c r="A15" s="2" t="s">
        <v>192</v>
      </c>
      <c r="B15" s="30" t="s">
        <v>208</v>
      </c>
      <c r="C15" s="31" t="s">
        <v>190</v>
      </c>
      <c r="D15" s="23">
        <v>2.5</v>
      </c>
      <c r="E15" s="229">
        <f>D15*$B$3</f>
        <v>200</v>
      </c>
      <c r="F15" s="229">
        <v>50</v>
      </c>
      <c r="G15" s="32">
        <f>E15+F15</f>
        <v>250</v>
      </c>
      <c r="H15" s="23">
        <v>3</v>
      </c>
      <c r="I15" s="229">
        <f>H15*$B$3</f>
        <v>240</v>
      </c>
      <c r="J15" s="229">
        <v>50</v>
      </c>
      <c r="K15" s="229">
        <f>VLOOKUP(C15,'Datos Aceites'!$A$5:$U$203,20,FALSE)</f>
        <v>0</v>
      </c>
      <c r="L15" s="93">
        <f>J15+(K15*1.4)</f>
        <v>50</v>
      </c>
      <c r="M15" s="32">
        <f>J15+(K15*1.4)+I15</f>
        <v>290</v>
      </c>
      <c r="N15" s="26" t="s">
        <v>123</v>
      </c>
      <c r="O15" s="26" t="s">
        <v>123</v>
      </c>
      <c r="P15" s="27" t="s">
        <v>123</v>
      </c>
      <c r="Q15" s="26" t="s">
        <v>123</v>
      </c>
      <c r="R15" s="26" t="s">
        <v>123</v>
      </c>
      <c r="S15" s="232" t="s">
        <v>123</v>
      </c>
      <c r="T15" s="232" t="s">
        <v>123</v>
      </c>
      <c r="U15" s="232" t="s">
        <v>123</v>
      </c>
      <c r="V15" s="232" t="s">
        <v>123</v>
      </c>
      <c r="W15" s="33" t="s">
        <v>123</v>
      </c>
      <c r="X15" s="2"/>
      <c r="Y15" s="2"/>
    </row>
    <row r="16" spans="1:30" ht="20.100000000000001" customHeight="1" x14ac:dyDescent="0.2">
      <c r="A16" s="2" t="s">
        <v>192</v>
      </c>
      <c r="B16" s="21" t="s">
        <v>209</v>
      </c>
      <c r="C16" s="22" t="s">
        <v>210</v>
      </c>
      <c r="D16" s="23">
        <v>4</v>
      </c>
      <c r="E16" s="229">
        <f t="shared" si="0"/>
        <v>320</v>
      </c>
      <c r="F16" s="229">
        <v>50</v>
      </c>
      <c r="G16" s="25">
        <f t="shared" si="5"/>
        <v>370</v>
      </c>
      <c r="H16" s="23">
        <v>4.5</v>
      </c>
      <c r="I16" s="229">
        <f t="shared" si="2"/>
        <v>360</v>
      </c>
      <c r="J16" s="229">
        <v>50</v>
      </c>
      <c r="K16" s="229">
        <f>VLOOKUP(C16,'Datos Aceites'!$A$5:$U$203,20,FALSE)</f>
        <v>3</v>
      </c>
      <c r="L16" s="229">
        <f>J16+(K16*1.4)</f>
        <v>54.2</v>
      </c>
      <c r="M16" s="25">
        <f t="shared" si="4"/>
        <v>414.2</v>
      </c>
      <c r="N16" s="26" t="s">
        <v>123</v>
      </c>
      <c r="O16" s="26" t="s">
        <v>123</v>
      </c>
      <c r="P16" s="27" t="s">
        <v>123</v>
      </c>
      <c r="Q16" s="26" t="s">
        <v>123</v>
      </c>
      <c r="R16" s="26" t="s">
        <v>123</v>
      </c>
      <c r="S16" s="232" t="s">
        <v>123</v>
      </c>
      <c r="T16" s="232" t="s">
        <v>123</v>
      </c>
      <c r="U16" s="232" t="s">
        <v>123</v>
      </c>
      <c r="V16" s="232" t="s">
        <v>123</v>
      </c>
      <c r="W16" s="28" t="s">
        <v>123</v>
      </c>
      <c r="X16" s="2"/>
      <c r="Y16" s="2"/>
    </row>
    <row r="17" spans="1:25" ht="20.100000000000001" customHeight="1" x14ac:dyDescent="0.2">
      <c r="A17" s="2" t="s">
        <v>186</v>
      </c>
      <c r="B17" s="21" t="s">
        <v>211</v>
      </c>
      <c r="C17" s="22" t="s">
        <v>210</v>
      </c>
      <c r="D17" s="23">
        <v>3</v>
      </c>
      <c r="E17" s="229">
        <f t="shared" si="0"/>
        <v>240</v>
      </c>
      <c r="F17" s="229">
        <v>50</v>
      </c>
      <c r="G17" s="25">
        <f t="shared" si="5"/>
        <v>290</v>
      </c>
      <c r="H17" s="23">
        <v>3.5</v>
      </c>
      <c r="I17" s="229">
        <f t="shared" si="2"/>
        <v>280</v>
      </c>
      <c r="J17" s="229">
        <v>50</v>
      </c>
      <c r="K17" s="229">
        <f>VLOOKUP(C17,'Datos Aceites'!$A$5:$U$203,20,FALSE)</f>
        <v>3</v>
      </c>
      <c r="L17" s="229">
        <f t="shared" si="6"/>
        <v>54.2</v>
      </c>
      <c r="M17" s="25">
        <f t="shared" si="4"/>
        <v>334.2</v>
      </c>
      <c r="N17" s="26"/>
      <c r="O17" s="26"/>
      <c r="P17" s="27"/>
      <c r="Q17" s="26"/>
      <c r="R17" s="26" t="s">
        <v>123</v>
      </c>
      <c r="S17" s="232" t="s">
        <v>123</v>
      </c>
      <c r="T17" s="232" t="s">
        <v>123</v>
      </c>
      <c r="U17" s="232" t="s">
        <v>123</v>
      </c>
      <c r="V17" s="232" t="s">
        <v>123</v>
      </c>
      <c r="W17" s="28" t="s">
        <v>123</v>
      </c>
      <c r="X17" s="2"/>
      <c r="Y17" s="2"/>
    </row>
    <row r="18" spans="1:25" ht="20.100000000000001" customHeight="1" x14ac:dyDescent="0.2">
      <c r="A18" s="2" t="s">
        <v>201</v>
      </c>
      <c r="B18" s="30" t="s">
        <v>212</v>
      </c>
      <c r="C18" s="31" t="s">
        <v>213</v>
      </c>
      <c r="D18" s="23">
        <v>4.5</v>
      </c>
      <c r="E18" s="229">
        <f>D18*$B$3</f>
        <v>360</v>
      </c>
      <c r="F18" s="229">
        <v>50</v>
      </c>
      <c r="G18" s="32">
        <f>E18+F18</f>
        <v>410</v>
      </c>
      <c r="H18" s="23">
        <v>4.5</v>
      </c>
      <c r="I18" s="229">
        <f>H18*$B$3</f>
        <v>360</v>
      </c>
      <c r="J18" s="229">
        <v>50</v>
      </c>
      <c r="K18" s="229">
        <f>VLOOKUP(C18,'Datos Aceites'!$A$5:$U$203,20,FALSE)</f>
        <v>8</v>
      </c>
      <c r="L18" s="229">
        <f>J18+(K18*1.4)</f>
        <v>61.2</v>
      </c>
      <c r="M18" s="32">
        <f>J18+(K18*1.4)+I18</f>
        <v>421.2</v>
      </c>
      <c r="N18" s="26" t="s">
        <v>123</v>
      </c>
      <c r="O18" s="26" t="s">
        <v>123</v>
      </c>
      <c r="P18" s="27" t="s">
        <v>123</v>
      </c>
      <c r="Q18" s="26" t="s">
        <v>123</v>
      </c>
      <c r="R18" s="26" t="s">
        <v>123</v>
      </c>
      <c r="S18" s="232" t="s">
        <v>123</v>
      </c>
      <c r="T18" s="232" t="s">
        <v>123</v>
      </c>
      <c r="U18" s="232" t="s">
        <v>123</v>
      </c>
      <c r="V18" s="232" t="s">
        <v>123</v>
      </c>
      <c r="W18" s="33" t="s">
        <v>123</v>
      </c>
      <c r="X18" s="2"/>
      <c r="Y18" s="2"/>
    </row>
    <row r="19" spans="1:25" ht="20.100000000000001" customHeight="1" x14ac:dyDescent="0.2">
      <c r="A19" s="2" t="s">
        <v>193</v>
      </c>
      <c r="B19" s="30" t="s">
        <v>214</v>
      </c>
      <c r="C19" s="31" t="s">
        <v>213</v>
      </c>
      <c r="D19" s="23">
        <v>4</v>
      </c>
      <c r="E19" s="229">
        <f t="shared" si="0"/>
        <v>320</v>
      </c>
      <c r="F19" s="229">
        <v>50</v>
      </c>
      <c r="G19" s="32">
        <f t="shared" si="5"/>
        <v>370</v>
      </c>
      <c r="H19" s="23">
        <v>4.5</v>
      </c>
      <c r="I19" s="229">
        <f t="shared" si="2"/>
        <v>360</v>
      </c>
      <c r="J19" s="229">
        <v>50</v>
      </c>
      <c r="K19" s="229">
        <f>VLOOKUP(C19,'Datos Aceites'!$A$5:$U$203,20,FALSE)</f>
        <v>8</v>
      </c>
      <c r="L19" s="229">
        <f t="shared" si="6"/>
        <v>61.2</v>
      </c>
      <c r="M19" s="32">
        <f t="shared" si="4"/>
        <v>421.2</v>
      </c>
      <c r="N19" s="26" t="s">
        <v>123</v>
      </c>
      <c r="O19" s="26" t="s">
        <v>123</v>
      </c>
      <c r="P19" s="27" t="s">
        <v>123</v>
      </c>
      <c r="Q19" s="26" t="s">
        <v>123</v>
      </c>
      <c r="R19" s="26" t="s">
        <v>123</v>
      </c>
      <c r="S19" s="232" t="s">
        <v>123</v>
      </c>
      <c r="T19" s="232" t="s">
        <v>123</v>
      </c>
      <c r="U19" s="232" t="s">
        <v>123</v>
      </c>
      <c r="V19" s="232" t="s">
        <v>123</v>
      </c>
      <c r="W19" s="33" t="s">
        <v>123</v>
      </c>
      <c r="X19" s="2"/>
      <c r="Y19" s="2"/>
    </row>
    <row r="20" spans="1:25" ht="20.100000000000001" customHeight="1" x14ac:dyDescent="0.2">
      <c r="A20" s="2" t="s">
        <v>197</v>
      </c>
      <c r="B20" s="30" t="s">
        <v>215</v>
      </c>
      <c r="C20" s="31" t="s">
        <v>213</v>
      </c>
      <c r="D20" s="23">
        <v>4</v>
      </c>
      <c r="E20" s="229">
        <f t="shared" si="0"/>
        <v>320</v>
      </c>
      <c r="F20" s="229">
        <v>50</v>
      </c>
      <c r="G20" s="32">
        <f>E20+F20</f>
        <v>370</v>
      </c>
      <c r="H20" s="23">
        <v>4.5</v>
      </c>
      <c r="I20" s="229">
        <f t="shared" si="2"/>
        <v>360</v>
      </c>
      <c r="J20" s="229">
        <v>50</v>
      </c>
      <c r="K20" s="229">
        <f>VLOOKUP(C20,'Datos Aceites'!$A$5:$U$203,20,FALSE)</f>
        <v>8</v>
      </c>
      <c r="L20" s="229">
        <f>J20+(K20*1.4)</f>
        <v>61.2</v>
      </c>
      <c r="M20" s="32">
        <f t="shared" si="4"/>
        <v>421.2</v>
      </c>
      <c r="N20" s="26" t="s">
        <v>123</v>
      </c>
      <c r="O20" s="26" t="s">
        <v>123</v>
      </c>
      <c r="P20" s="27" t="s">
        <v>123</v>
      </c>
      <c r="Q20" s="26" t="s">
        <v>123</v>
      </c>
      <c r="R20" s="26" t="s">
        <v>123</v>
      </c>
      <c r="S20" s="232" t="s">
        <v>123</v>
      </c>
      <c r="T20" s="232" t="s">
        <v>123</v>
      </c>
      <c r="U20" s="232" t="s">
        <v>123</v>
      </c>
      <c r="V20" s="232" t="s">
        <v>123</v>
      </c>
      <c r="W20" s="33" t="s">
        <v>123</v>
      </c>
      <c r="X20" s="2"/>
      <c r="Y20" s="2"/>
    </row>
    <row r="21" spans="1:25" ht="20.100000000000001" customHeight="1" x14ac:dyDescent="0.2">
      <c r="A21" s="2" t="s">
        <v>192</v>
      </c>
      <c r="B21" s="30" t="s">
        <v>216</v>
      </c>
      <c r="C21" s="31" t="s">
        <v>213</v>
      </c>
      <c r="D21" s="23">
        <v>3.5</v>
      </c>
      <c r="E21" s="229">
        <f t="shared" si="0"/>
        <v>280</v>
      </c>
      <c r="F21" s="229">
        <v>50</v>
      </c>
      <c r="G21" s="32">
        <f t="shared" si="5"/>
        <v>330</v>
      </c>
      <c r="H21" s="23">
        <v>4.5</v>
      </c>
      <c r="I21" s="229">
        <f t="shared" si="2"/>
        <v>360</v>
      </c>
      <c r="J21" s="229">
        <v>50</v>
      </c>
      <c r="K21" s="229">
        <f>VLOOKUP(C21,'Datos Aceites'!$A$5:$U$203,20,FALSE)</f>
        <v>8</v>
      </c>
      <c r="L21" s="229">
        <f t="shared" si="6"/>
        <v>61.2</v>
      </c>
      <c r="M21" s="32">
        <f t="shared" si="4"/>
        <v>421.2</v>
      </c>
      <c r="N21" s="26" t="s">
        <v>123</v>
      </c>
      <c r="O21" s="26" t="s">
        <v>123</v>
      </c>
      <c r="P21" s="27" t="s">
        <v>123</v>
      </c>
      <c r="Q21" s="26" t="s">
        <v>123</v>
      </c>
      <c r="R21" s="26" t="s">
        <v>123</v>
      </c>
      <c r="S21" s="232" t="s">
        <v>123</v>
      </c>
      <c r="T21" s="232" t="s">
        <v>123</v>
      </c>
      <c r="U21" s="232" t="s">
        <v>123</v>
      </c>
      <c r="V21" s="232" t="s">
        <v>123</v>
      </c>
      <c r="W21" s="33" t="s">
        <v>123</v>
      </c>
      <c r="X21" s="2"/>
      <c r="Y21" s="2"/>
    </row>
    <row r="22" spans="1:25" ht="20.100000000000001" customHeight="1" x14ac:dyDescent="0.2">
      <c r="A22" s="2" t="s">
        <v>193</v>
      </c>
      <c r="B22" s="21" t="s">
        <v>217</v>
      </c>
      <c r="C22" s="22" t="s">
        <v>218</v>
      </c>
      <c r="D22" s="23">
        <v>4</v>
      </c>
      <c r="E22" s="229">
        <f t="shared" si="0"/>
        <v>320</v>
      </c>
      <c r="F22" s="229">
        <v>50</v>
      </c>
      <c r="G22" s="25">
        <f t="shared" si="5"/>
        <v>370</v>
      </c>
      <c r="H22" s="23">
        <v>4.5</v>
      </c>
      <c r="I22" s="229">
        <f t="shared" si="2"/>
        <v>360</v>
      </c>
      <c r="J22" s="229">
        <v>50</v>
      </c>
      <c r="K22" s="229">
        <f>VLOOKUP(C22,'Datos Aceites'!$A$5:$U$203,20,FALSE)</f>
        <v>0.42</v>
      </c>
      <c r="L22" s="229">
        <f t="shared" si="6"/>
        <v>50.588000000000001</v>
      </c>
      <c r="M22" s="25">
        <f t="shared" si="4"/>
        <v>410.58800000000002</v>
      </c>
      <c r="N22" s="26" t="s">
        <v>123</v>
      </c>
      <c r="O22" s="26" t="s">
        <v>123</v>
      </c>
      <c r="P22" s="27" t="s">
        <v>123</v>
      </c>
      <c r="Q22" s="26" t="s">
        <v>123</v>
      </c>
      <c r="R22" s="26" t="s">
        <v>123</v>
      </c>
      <c r="S22" s="232" t="s">
        <v>123</v>
      </c>
      <c r="T22" s="232" t="s">
        <v>123</v>
      </c>
      <c r="U22" s="232" t="s">
        <v>123</v>
      </c>
      <c r="V22" s="232" t="s">
        <v>123</v>
      </c>
      <c r="W22" s="28" t="s">
        <v>123</v>
      </c>
      <c r="X22" s="2"/>
      <c r="Y22" s="2"/>
    </row>
    <row r="23" spans="1:25" ht="20.100000000000001" customHeight="1" x14ac:dyDescent="0.2">
      <c r="A23" s="2" t="s">
        <v>197</v>
      </c>
      <c r="B23" s="21" t="s">
        <v>219</v>
      </c>
      <c r="C23" s="22" t="s">
        <v>218</v>
      </c>
      <c r="D23" s="23">
        <v>4</v>
      </c>
      <c r="E23" s="229">
        <f t="shared" si="0"/>
        <v>320</v>
      </c>
      <c r="F23" s="229">
        <v>50</v>
      </c>
      <c r="G23" s="25">
        <f>E23+F23</f>
        <v>370</v>
      </c>
      <c r="H23" s="23">
        <v>4.5</v>
      </c>
      <c r="I23" s="229">
        <f t="shared" si="2"/>
        <v>360</v>
      </c>
      <c r="J23" s="229">
        <v>50</v>
      </c>
      <c r="K23" s="229">
        <f>VLOOKUP(C23,'Datos Aceites'!$A$5:$U$203,20,FALSE)</f>
        <v>0.42</v>
      </c>
      <c r="L23" s="229">
        <f>J23+(K23*1.4)</f>
        <v>50.588000000000001</v>
      </c>
      <c r="M23" s="25">
        <f t="shared" si="4"/>
        <v>410.58800000000002</v>
      </c>
      <c r="N23" s="26" t="s">
        <v>123</v>
      </c>
      <c r="O23" s="26" t="s">
        <v>123</v>
      </c>
      <c r="P23" s="27" t="s">
        <v>123</v>
      </c>
      <c r="Q23" s="26" t="s">
        <v>123</v>
      </c>
      <c r="R23" s="26" t="s">
        <v>123</v>
      </c>
      <c r="S23" s="232" t="s">
        <v>123</v>
      </c>
      <c r="T23" s="232" t="s">
        <v>123</v>
      </c>
      <c r="U23" s="232" t="s">
        <v>123</v>
      </c>
      <c r="V23" s="232" t="s">
        <v>123</v>
      </c>
      <c r="W23" s="28" t="s">
        <v>123</v>
      </c>
      <c r="X23" s="2"/>
      <c r="Y23" s="2"/>
    </row>
    <row r="24" spans="1:25" ht="20.100000000000001" customHeight="1" x14ac:dyDescent="0.2">
      <c r="A24" s="2" t="s">
        <v>192</v>
      </c>
      <c r="B24" s="21" t="s">
        <v>220</v>
      </c>
      <c r="C24" s="22" t="s">
        <v>218</v>
      </c>
      <c r="D24" s="23">
        <v>3.5</v>
      </c>
      <c r="E24" s="229">
        <f t="shared" si="0"/>
        <v>280</v>
      </c>
      <c r="F24" s="229">
        <v>50</v>
      </c>
      <c r="G24" s="25">
        <f t="shared" si="5"/>
        <v>330</v>
      </c>
      <c r="H24" s="23">
        <v>4</v>
      </c>
      <c r="I24" s="229">
        <f t="shared" si="2"/>
        <v>320</v>
      </c>
      <c r="J24" s="229">
        <v>50</v>
      </c>
      <c r="K24" s="229">
        <f>VLOOKUP(C24,'Datos Aceites'!$A$5:$U$203,20,FALSE)</f>
        <v>0.42</v>
      </c>
      <c r="L24" s="229">
        <f t="shared" si="6"/>
        <v>50.588000000000001</v>
      </c>
      <c r="M24" s="25">
        <f t="shared" si="4"/>
        <v>370.58800000000002</v>
      </c>
      <c r="N24" s="26" t="s">
        <v>123</v>
      </c>
      <c r="O24" s="26" t="s">
        <v>123</v>
      </c>
      <c r="P24" s="27" t="s">
        <v>123</v>
      </c>
      <c r="Q24" s="26" t="s">
        <v>123</v>
      </c>
      <c r="R24" s="26" t="s">
        <v>123</v>
      </c>
      <c r="S24" s="232" t="s">
        <v>123</v>
      </c>
      <c r="T24" s="232" t="s">
        <v>123</v>
      </c>
      <c r="U24" s="232" t="s">
        <v>123</v>
      </c>
      <c r="V24" s="232" t="s">
        <v>123</v>
      </c>
      <c r="W24" s="28" t="s">
        <v>123</v>
      </c>
      <c r="X24" s="2"/>
      <c r="Y24" s="2"/>
    </row>
    <row r="25" spans="1:25" ht="20.100000000000001" customHeight="1" x14ac:dyDescent="0.2">
      <c r="A25" s="2" t="s">
        <v>192</v>
      </c>
      <c r="B25" s="30" t="s">
        <v>221</v>
      </c>
      <c r="C25" s="31" t="s">
        <v>222</v>
      </c>
      <c r="D25" s="23">
        <v>4</v>
      </c>
      <c r="E25" s="229">
        <f t="shared" si="0"/>
        <v>320</v>
      </c>
      <c r="F25" s="229">
        <v>50</v>
      </c>
      <c r="G25" s="32">
        <f t="shared" si="5"/>
        <v>370</v>
      </c>
      <c r="H25" s="23">
        <v>4.5</v>
      </c>
      <c r="I25" s="229">
        <f t="shared" si="2"/>
        <v>360</v>
      </c>
      <c r="J25" s="229">
        <v>50</v>
      </c>
      <c r="K25" s="229">
        <f>VLOOKUP(C25,'Datos Aceites'!$A$5:$U$203,20,FALSE)</f>
        <v>8</v>
      </c>
      <c r="L25" s="229">
        <f>J25+(K25*2)</f>
        <v>66</v>
      </c>
      <c r="M25" s="32">
        <f>J25+(K25*1.5)+I25</f>
        <v>422</v>
      </c>
      <c r="N25" s="26" t="s">
        <v>123</v>
      </c>
      <c r="O25" s="26" t="s">
        <v>123</v>
      </c>
      <c r="P25" s="27" t="s">
        <v>123</v>
      </c>
      <c r="Q25" s="26" t="s">
        <v>123</v>
      </c>
      <c r="R25" s="34">
        <v>5</v>
      </c>
      <c r="S25" s="229">
        <f t="shared" ref="S25:S26" si="7">R25*$B$3</f>
        <v>400</v>
      </c>
      <c r="T25" s="229">
        <v>50</v>
      </c>
      <c r="U25" s="229">
        <f>VLOOKUP(C25,'Datos Aceites'!$A$5:$U$203,21,FALSE)</f>
        <v>48.725000000000001</v>
      </c>
      <c r="V25" s="229">
        <f>T25+(U25*2)</f>
        <v>147.44999999999999</v>
      </c>
      <c r="W25" s="35">
        <f>T25+(U25*2)+S25</f>
        <v>547.45000000000005</v>
      </c>
      <c r="X25" s="2"/>
      <c r="Y25" s="2"/>
    </row>
    <row r="26" spans="1:25" ht="20.100000000000001" customHeight="1" x14ac:dyDescent="0.2">
      <c r="A26" s="2" t="s">
        <v>192</v>
      </c>
      <c r="B26" s="30" t="s">
        <v>223</v>
      </c>
      <c r="C26" s="31" t="s">
        <v>224</v>
      </c>
      <c r="D26" s="23">
        <v>3.5</v>
      </c>
      <c r="E26" s="229">
        <f t="shared" si="0"/>
        <v>280</v>
      </c>
      <c r="F26" s="229">
        <v>50</v>
      </c>
      <c r="G26" s="32">
        <f t="shared" si="5"/>
        <v>330</v>
      </c>
      <c r="H26" s="23">
        <v>4.5</v>
      </c>
      <c r="I26" s="229">
        <f t="shared" si="2"/>
        <v>360</v>
      </c>
      <c r="J26" s="229">
        <v>50</v>
      </c>
      <c r="K26" s="229">
        <f>VLOOKUP(C26,'Datos Aceites'!$A$5:$U$203,20,FALSE)</f>
        <v>3.9000000000000004</v>
      </c>
      <c r="L26" s="229">
        <f>J26+(K26*2)</f>
        <v>57.8</v>
      </c>
      <c r="M26" s="32">
        <f>J26+(K26*1.5)+I26</f>
        <v>415.85</v>
      </c>
      <c r="N26" s="26" t="s">
        <v>123</v>
      </c>
      <c r="O26" s="26" t="s">
        <v>123</v>
      </c>
      <c r="P26" s="27" t="s">
        <v>123</v>
      </c>
      <c r="Q26" s="26" t="s">
        <v>123</v>
      </c>
      <c r="R26" s="34">
        <v>5</v>
      </c>
      <c r="S26" s="229">
        <f t="shared" si="7"/>
        <v>400</v>
      </c>
      <c r="T26" s="229">
        <v>50</v>
      </c>
      <c r="U26" s="229">
        <f>VLOOKUP(C26,'Datos Aceites'!$A$5:$U$203,21,FALSE)</f>
        <v>44.625</v>
      </c>
      <c r="V26" s="229">
        <f>T26+(U26*2)</f>
        <v>139.25</v>
      </c>
      <c r="W26" s="35">
        <f>T26+(U26*2)+S26</f>
        <v>539.25</v>
      </c>
      <c r="X26" s="2"/>
      <c r="Y26" s="2"/>
    </row>
    <row r="27" spans="1:25" ht="20.100000000000001" customHeight="1" x14ac:dyDescent="0.2">
      <c r="A27" s="2" t="s">
        <v>193</v>
      </c>
      <c r="B27" s="21" t="s">
        <v>225</v>
      </c>
      <c r="C27" s="22" t="s">
        <v>226</v>
      </c>
      <c r="D27" s="23">
        <v>4</v>
      </c>
      <c r="E27" s="229">
        <f t="shared" si="0"/>
        <v>320</v>
      </c>
      <c r="F27" s="229">
        <v>50</v>
      </c>
      <c r="G27" s="25">
        <f t="shared" si="5"/>
        <v>370</v>
      </c>
      <c r="H27" s="23">
        <v>4.5</v>
      </c>
      <c r="I27" s="229">
        <f t="shared" si="2"/>
        <v>360</v>
      </c>
      <c r="J27" s="229">
        <v>50</v>
      </c>
      <c r="K27" s="229">
        <f>VLOOKUP(C27,'Datos Aceites'!$A$5:$U$203,20,FALSE)</f>
        <v>34</v>
      </c>
      <c r="L27" s="229">
        <f t="shared" ref="L27:L36" si="8">J27+(K27*1.8)</f>
        <v>111.2</v>
      </c>
      <c r="M27" s="25">
        <f t="shared" ref="M27:M32" si="9">J27+(K27*1.8)+I27</f>
        <v>471.2</v>
      </c>
      <c r="N27" s="26" t="s">
        <v>123</v>
      </c>
      <c r="O27" s="26" t="s">
        <v>123</v>
      </c>
      <c r="P27" s="27" t="s">
        <v>123</v>
      </c>
      <c r="Q27" s="26" t="s">
        <v>123</v>
      </c>
      <c r="R27" s="26" t="s">
        <v>123</v>
      </c>
      <c r="S27" s="232" t="s">
        <v>123</v>
      </c>
      <c r="T27" s="232" t="s">
        <v>123</v>
      </c>
      <c r="U27" s="232" t="s">
        <v>123</v>
      </c>
      <c r="V27" s="232" t="s">
        <v>123</v>
      </c>
      <c r="W27" s="28" t="s">
        <v>123</v>
      </c>
      <c r="X27" s="2"/>
      <c r="Y27" s="2"/>
    </row>
    <row r="28" spans="1:25" ht="20.100000000000001" customHeight="1" x14ac:dyDescent="0.2">
      <c r="A28" s="2" t="s">
        <v>197</v>
      </c>
      <c r="B28" s="21" t="s">
        <v>227</v>
      </c>
      <c r="C28" s="22" t="s">
        <v>226</v>
      </c>
      <c r="D28" s="23">
        <v>4</v>
      </c>
      <c r="E28" s="229">
        <f t="shared" si="0"/>
        <v>320</v>
      </c>
      <c r="F28" s="229">
        <v>50</v>
      </c>
      <c r="G28" s="25">
        <f>E28+F28</f>
        <v>370</v>
      </c>
      <c r="H28" s="23">
        <v>4.5</v>
      </c>
      <c r="I28" s="229">
        <f t="shared" si="2"/>
        <v>360</v>
      </c>
      <c r="J28" s="229">
        <v>50</v>
      </c>
      <c r="K28" s="229">
        <f>VLOOKUP(C28,'Datos Aceites'!$A$5:$U$203,20,FALSE)</f>
        <v>34</v>
      </c>
      <c r="L28" s="229">
        <f>J28+(K28*1.8)</f>
        <v>111.2</v>
      </c>
      <c r="M28" s="25">
        <f>J28+(K28*1.8)+I28</f>
        <v>471.2</v>
      </c>
      <c r="N28" s="26" t="s">
        <v>123</v>
      </c>
      <c r="O28" s="26" t="s">
        <v>123</v>
      </c>
      <c r="P28" s="27" t="s">
        <v>123</v>
      </c>
      <c r="Q28" s="26" t="s">
        <v>123</v>
      </c>
      <c r="R28" s="26" t="s">
        <v>123</v>
      </c>
      <c r="S28" s="232" t="s">
        <v>123</v>
      </c>
      <c r="T28" s="232" t="s">
        <v>123</v>
      </c>
      <c r="U28" s="232" t="s">
        <v>123</v>
      </c>
      <c r="V28" s="232" t="s">
        <v>123</v>
      </c>
      <c r="W28" s="28" t="s">
        <v>123</v>
      </c>
      <c r="X28" s="2"/>
      <c r="Y28" s="2"/>
    </row>
    <row r="29" spans="1:25" ht="20.100000000000001" customHeight="1" x14ac:dyDescent="0.2">
      <c r="A29" s="2" t="s">
        <v>192</v>
      </c>
      <c r="B29" s="21" t="s">
        <v>228</v>
      </c>
      <c r="C29" s="22" t="s">
        <v>226</v>
      </c>
      <c r="D29" s="23">
        <v>3.5</v>
      </c>
      <c r="E29" s="229">
        <f t="shared" si="0"/>
        <v>280</v>
      </c>
      <c r="F29" s="229">
        <v>50</v>
      </c>
      <c r="G29" s="25">
        <f t="shared" si="5"/>
        <v>330</v>
      </c>
      <c r="H29" s="23">
        <v>4</v>
      </c>
      <c r="I29" s="229">
        <f t="shared" si="2"/>
        <v>320</v>
      </c>
      <c r="J29" s="229">
        <v>50</v>
      </c>
      <c r="K29" s="229">
        <f>VLOOKUP(C29,'Datos Aceites'!$A$5:$U$203,20,FALSE)</f>
        <v>34</v>
      </c>
      <c r="L29" s="229">
        <f t="shared" si="8"/>
        <v>111.2</v>
      </c>
      <c r="M29" s="25">
        <f t="shared" si="9"/>
        <v>431.2</v>
      </c>
      <c r="N29" s="26" t="s">
        <v>123</v>
      </c>
      <c r="O29" s="26" t="s">
        <v>123</v>
      </c>
      <c r="P29" s="27" t="s">
        <v>123</v>
      </c>
      <c r="Q29" s="26" t="s">
        <v>123</v>
      </c>
      <c r="R29" s="26" t="s">
        <v>123</v>
      </c>
      <c r="S29" s="232" t="s">
        <v>123</v>
      </c>
      <c r="T29" s="232" t="s">
        <v>123</v>
      </c>
      <c r="U29" s="232" t="s">
        <v>123</v>
      </c>
      <c r="V29" s="232" t="s">
        <v>123</v>
      </c>
      <c r="W29" s="28" t="s">
        <v>123</v>
      </c>
      <c r="X29" s="2"/>
      <c r="Y29" s="2"/>
    </row>
    <row r="30" spans="1:25" ht="20.100000000000001" customHeight="1" x14ac:dyDescent="0.2">
      <c r="A30" s="2" t="s">
        <v>193</v>
      </c>
      <c r="B30" s="30" t="s">
        <v>229</v>
      </c>
      <c r="C30" s="31" t="s">
        <v>230</v>
      </c>
      <c r="D30" s="23">
        <v>4</v>
      </c>
      <c r="E30" s="229">
        <f t="shared" si="0"/>
        <v>320</v>
      </c>
      <c r="F30" s="229">
        <v>50</v>
      </c>
      <c r="G30" s="32">
        <f t="shared" si="5"/>
        <v>370</v>
      </c>
      <c r="H30" s="23">
        <v>4.5</v>
      </c>
      <c r="I30" s="229">
        <f t="shared" si="2"/>
        <v>360</v>
      </c>
      <c r="J30" s="229">
        <v>50</v>
      </c>
      <c r="K30" s="229">
        <f>VLOOKUP(C30,'Datos Aceites'!$A$5:$U$203,20,FALSE)</f>
        <v>34</v>
      </c>
      <c r="L30" s="229">
        <f t="shared" si="8"/>
        <v>111.2</v>
      </c>
      <c r="M30" s="32">
        <f t="shared" si="9"/>
        <v>471.2</v>
      </c>
      <c r="N30" s="26" t="s">
        <v>123</v>
      </c>
      <c r="O30" s="26" t="s">
        <v>123</v>
      </c>
      <c r="P30" s="27" t="s">
        <v>123</v>
      </c>
      <c r="Q30" s="26" t="s">
        <v>123</v>
      </c>
      <c r="R30" s="26" t="s">
        <v>123</v>
      </c>
      <c r="S30" s="232" t="s">
        <v>123</v>
      </c>
      <c r="T30" s="232" t="s">
        <v>123</v>
      </c>
      <c r="U30" s="232" t="s">
        <v>123</v>
      </c>
      <c r="V30" s="232" t="s">
        <v>123</v>
      </c>
      <c r="W30" s="33" t="s">
        <v>123</v>
      </c>
      <c r="X30" s="2"/>
      <c r="Y30" s="2"/>
    </row>
    <row r="31" spans="1:25" ht="20.100000000000001" customHeight="1" x14ac:dyDescent="0.2">
      <c r="A31" s="2" t="s">
        <v>197</v>
      </c>
      <c r="B31" s="30" t="s">
        <v>231</v>
      </c>
      <c r="C31" s="31" t="s">
        <v>230</v>
      </c>
      <c r="D31" s="23">
        <v>4</v>
      </c>
      <c r="E31" s="229">
        <f t="shared" si="0"/>
        <v>320</v>
      </c>
      <c r="F31" s="229">
        <v>50</v>
      </c>
      <c r="G31" s="32">
        <f>E31+F31</f>
        <v>370</v>
      </c>
      <c r="H31" s="23">
        <v>4.5</v>
      </c>
      <c r="I31" s="229">
        <f t="shared" si="2"/>
        <v>360</v>
      </c>
      <c r="J31" s="229">
        <v>50</v>
      </c>
      <c r="K31" s="229">
        <f>VLOOKUP(C31,'Datos Aceites'!$A$5:$U$203,20,FALSE)</f>
        <v>34</v>
      </c>
      <c r="L31" s="229">
        <f>J31+(K31*1.8)</f>
        <v>111.2</v>
      </c>
      <c r="M31" s="32">
        <f t="shared" si="9"/>
        <v>471.2</v>
      </c>
      <c r="N31" s="26" t="s">
        <v>123</v>
      </c>
      <c r="O31" s="26" t="s">
        <v>123</v>
      </c>
      <c r="P31" s="27" t="s">
        <v>123</v>
      </c>
      <c r="Q31" s="26" t="s">
        <v>123</v>
      </c>
      <c r="R31" s="26" t="s">
        <v>123</v>
      </c>
      <c r="S31" s="232" t="s">
        <v>123</v>
      </c>
      <c r="T31" s="232" t="s">
        <v>123</v>
      </c>
      <c r="U31" s="232" t="s">
        <v>123</v>
      </c>
      <c r="V31" s="232" t="s">
        <v>123</v>
      </c>
      <c r="W31" s="33" t="s">
        <v>123</v>
      </c>
      <c r="X31" s="2"/>
      <c r="Y31" s="2"/>
    </row>
    <row r="32" spans="1:25" ht="20.100000000000001" customHeight="1" x14ac:dyDescent="0.2">
      <c r="A32" s="2" t="s">
        <v>192</v>
      </c>
      <c r="B32" s="30" t="s">
        <v>232</v>
      </c>
      <c r="C32" s="31" t="s">
        <v>230</v>
      </c>
      <c r="D32" s="23">
        <v>3.5</v>
      </c>
      <c r="E32" s="229">
        <f t="shared" si="0"/>
        <v>280</v>
      </c>
      <c r="F32" s="229">
        <v>50</v>
      </c>
      <c r="G32" s="32">
        <f t="shared" si="5"/>
        <v>330</v>
      </c>
      <c r="H32" s="23">
        <v>4</v>
      </c>
      <c r="I32" s="229">
        <f t="shared" si="2"/>
        <v>320</v>
      </c>
      <c r="J32" s="229">
        <v>50</v>
      </c>
      <c r="K32" s="229">
        <f>VLOOKUP(C32,'Datos Aceites'!$A$5:$U$203,20,FALSE)</f>
        <v>34</v>
      </c>
      <c r="L32" s="229">
        <f t="shared" si="8"/>
        <v>111.2</v>
      </c>
      <c r="M32" s="32">
        <f t="shared" si="9"/>
        <v>431.2</v>
      </c>
      <c r="N32" s="26" t="s">
        <v>123</v>
      </c>
      <c r="O32" s="26" t="s">
        <v>123</v>
      </c>
      <c r="P32" s="27" t="s">
        <v>123</v>
      </c>
      <c r="Q32" s="26" t="s">
        <v>123</v>
      </c>
      <c r="R32" s="26" t="s">
        <v>123</v>
      </c>
      <c r="S32" s="232" t="s">
        <v>123</v>
      </c>
      <c r="T32" s="232" t="s">
        <v>123</v>
      </c>
      <c r="U32" s="232" t="s">
        <v>123</v>
      </c>
      <c r="V32" s="232" t="s">
        <v>123</v>
      </c>
      <c r="W32" s="33" t="s">
        <v>123</v>
      </c>
      <c r="X32" s="2"/>
      <c r="Y32" s="2"/>
    </row>
    <row r="33" spans="1:25" ht="20.100000000000001" customHeight="1" x14ac:dyDescent="0.2">
      <c r="A33" s="2" t="s">
        <v>193</v>
      </c>
      <c r="B33" s="21" t="s">
        <v>233</v>
      </c>
      <c r="C33" s="22" t="s">
        <v>234</v>
      </c>
      <c r="D33" s="23">
        <v>4</v>
      </c>
      <c r="E33" s="229">
        <f t="shared" si="0"/>
        <v>320</v>
      </c>
      <c r="F33" s="229">
        <v>50</v>
      </c>
      <c r="G33" s="25">
        <f t="shared" si="5"/>
        <v>370</v>
      </c>
      <c r="H33" s="23">
        <v>4.5</v>
      </c>
      <c r="I33" s="229">
        <f t="shared" si="2"/>
        <v>360</v>
      </c>
      <c r="J33" s="229">
        <v>50</v>
      </c>
      <c r="K33" s="229">
        <f>VLOOKUP(C33,'Datos Aceites'!$A$5:$U$203,20,FALSE)</f>
        <v>8</v>
      </c>
      <c r="L33" s="229">
        <f t="shared" si="8"/>
        <v>64.400000000000006</v>
      </c>
      <c r="M33" s="32">
        <f t="shared" ref="M33:M47" si="10">J33+(K33*2.5)+I33</f>
        <v>430</v>
      </c>
      <c r="N33" s="26" t="s">
        <v>123</v>
      </c>
      <c r="O33" s="26" t="s">
        <v>123</v>
      </c>
      <c r="P33" s="27" t="s">
        <v>123</v>
      </c>
      <c r="Q33" s="26" t="s">
        <v>123</v>
      </c>
      <c r="R33" s="26" t="s">
        <v>123</v>
      </c>
      <c r="S33" s="232" t="s">
        <v>123</v>
      </c>
      <c r="T33" s="232" t="s">
        <v>123</v>
      </c>
      <c r="U33" s="232" t="s">
        <v>123</v>
      </c>
      <c r="V33" s="232" t="s">
        <v>123</v>
      </c>
      <c r="W33" s="28" t="s">
        <v>123</v>
      </c>
      <c r="X33" s="2"/>
      <c r="Y33" s="2"/>
    </row>
    <row r="34" spans="1:25" ht="20.100000000000001" customHeight="1" x14ac:dyDescent="0.2">
      <c r="A34" s="2" t="s">
        <v>197</v>
      </c>
      <c r="B34" s="21" t="s">
        <v>235</v>
      </c>
      <c r="C34" s="22" t="s">
        <v>234</v>
      </c>
      <c r="D34" s="23">
        <v>4</v>
      </c>
      <c r="E34" s="229">
        <f t="shared" si="0"/>
        <v>320</v>
      </c>
      <c r="F34" s="229">
        <v>50</v>
      </c>
      <c r="G34" s="25">
        <f>E34+F34</f>
        <v>370</v>
      </c>
      <c r="H34" s="23">
        <v>4.5</v>
      </c>
      <c r="I34" s="229">
        <f t="shared" si="2"/>
        <v>360</v>
      </c>
      <c r="J34" s="229">
        <v>50</v>
      </c>
      <c r="K34" s="229">
        <f>VLOOKUP(C34,'Datos Aceites'!$A$5:$U$203,20,FALSE)</f>
        <v>8</v>
      </c>
      <c r="L34" s="229">
        <f>J34+(K34*1.8)</f>
        <v>64.400000000000006</v>
      </c>
      <c r="M34" s="32">
        <f t="shared" si="10"/>
        <v>430</v>
      </c>
      <c r="N34" s="26" t="s">
        <v>123</v>
      </c>
      <c r="O34" s="26" t="s">
        <v>123</v>
      </c>
      <c r="P34" s="27" t="s">
        <v>123</v>
      </c>
      <c r="Q34" s="26" t="s">
        <v>123</v>
      </c>
      <c r="R34" s="26" t="s">
        <v>123</v>
      </c>
      <c r="S34" s="232" t="s">
        <v>123</v>
      </c>
      <c r="T34" s="232" t="s">
        <v>123</v>
      </c>
      <c r="U34" s="232" t="s">
        <v>123</v>
      </c>
      <c r="V34" s="232" t="s">
        <v>123</v>
      </c>
      <c r="W34" s="28" t="s">
        <v>123</v>
      </c>
      <c r="X34" s="2"/>
      <c r="Y34" s="2"/>
    </row>
    <row r="35" spans="1:25" ht="20.100000000000001" customHeight="1" x14ac:dyDescent="0.2">
      <c r="A35" s="2" t="s">
        <v>197</v>
      </c>
      <c r="B35" s="21" t="s">
        <v>236</v>
      </c>
      <c r="C35" s="22" t="s">
        <v>234</v>
      </c>
      <c r="D35" s="23">
        <v>4</v>
      </c>
      <c r="E35" s="229">
        <f>D35*$B$3</f>
        <v>320</v>
      </c>
      <c r="F35" s="229">
        <v>50</v>
      </c>
      <c r="G35" s="25">
        <f>E35+F35</f>
        <v>370</v>
      </c>
      <c r="H35" s="23">
        <v>4.5</v>
      </c>
      <c r="I35" s="229">
        <f>H35*$B$3</f>
        <v>360</v>
      </c>
      <c r="J35" s="229">
        <v>50</v>
      </c>
      <c r="K35" s="229">
        <f>VLOOKUP(C35,'Datos Aceites'!$A$5:$U$203,20,FALSE)</f>
        <v>8</v>
      </c>
      <c r="L35" s="229">
        <f>J35+(K35*1.8)</f>
        <v>64.400000000000006</v>
      </c>
      <c r="M35" s="32">
        <f t="shared" si="10"/>
        <v>430</v>
      </c>
      <c r="N35" s="26" t="s">
        <v>123</v>
      </c>
      <c r="O35" s="26" t="s">
        <v>123</v>
      </c>
      <c r="P35" s="27" t="s">
        <v>123</v>
      </c>
      <c r="Q35" s="26" t="s">
        <v>123</v>
      </c>
      <c r="R35" s="26" t="s">
        <v>123</v>
      </c>
      <c r="S35" s="232" t="s">
        <v>123</v>
      </c>
      <c r="T35" s="232" t="s">
        <v>123</v>
      </c>
      <c r="U35" s="232" t="s">
        <v>123</v>
      </c>
      <c r="V35" s="232" t="s">
        <v>123</v>
      </c>
      <c r="W35" s="28" t="s">
        <v>123</v>
      </c>
      <c r="X35" s="2"/>
      <c r="Y35" s="2"/>
    </row>
    <row r="36" spans="1:25" ht="20.100000000000001" customHeight="1" x14ac:dyDescent="0.2">
      <c r="A36" s="2" t="s">
        <v>192</v>
      </c>
      <c r="B36" s="21" t="s">
        <v>237</v>
      </c>
      <c r="C36" s="22" t="s">
        <v>234</v>
      </c>
      <c r="D36" s="23">
        <v>3.5</v>
      </c>
      <c r="E36" s="229">
        <f t="shared" si="0"/>
        <v>280</v>
      </c>
      <c r="F36" s="229">
        <v>50</v>
      </c>
      <c r="G36" s="25">
        <f t="shared" si="5"/>
        <v>330</v>
      </c>
      <c r="H36" s="23">
        <v>4</v>
      </c>
      <c r="I36" s="229">
        <f t="shared" si="2"/>
        <v>320</v>
      </c>
      <c r="J36" s="229">
        <v>50</v>
      </c>
      <c r="K36" s="229">
        <f>VLOOKUP(C36,'Datos Aceites'!$A$5:$U$203,20,FALSE)</f>
        <v>8</v>
      </c>
      <c r="L36" s="229">
        <f t="shared" si="8"/>
        <v>64.400000000000006</v>
      </c>
      <c r="M36" s="32">
        <f t="shared" si="10"/>
        <v>390</v>
      </c>
      <c r="N36" s="26" t="s">
        <v>123</v>
      </c>
      <c r="O36" s="26" t="s">
        <v>123</v>
      </c>
      <c r="P36" s="27" t="s">
        <v>123</v>
      </c>
      <c r="Q36" s="26" t="s">
        <v>123</v>
      </c>
      <c r="R36" s="26" t="s">
        <v>123</v>
      </c>
      <c r="S36" s="232" t="s">
        <v>123</v>
      </c>
      <c r="T36" s="232" t="s">
        <v>123</v>
      </c>
      <c r="U36" s="232" t="s">
        <v>123</v>
      </c>
      <c r="V36" s="232" t="s">
        <v>123</v>
      </c>
      <c r="W36" s="28" t="s">
        <v>123</v>
      </c>
      <c r="X36" s="2"/>
      <c r="Y36" s="2"/>
    </row>
    <row r="37" spans="1:25" ht="20.100000000000001" customHeight="1" x14ac:dyDescent="0.2">
      <c r="A37" s="2" t="s">
        <v>192</v>
      </c>
      <c r="B37" s="30" t="s">
        <v>238</v>
      </c>
      <c r="C37" s="30" t="s">
        <v>238</v>
      </c>
      <c r="D37" s="23">
        <v>3.5</v>
      </c>
      <c r="E37" s="229">
        <f t="shared" si="0"/>
        <v>280</v>
      </c>
      <c r="F37" s="229">
        <v>50</v>
      </c>
      <c r="G37" s="32">
        <f t="shared" si="5"/>
        <v>330</v>
      </c>
      <c r="H37" s="23">
        <v>4</v>
      </c>
      <c r="I37" s="229">
        <f t="shared" si="2"/>
        <v>320</v>
      </c>
      <c r="J37" s="229">
        <v>50</v>
      </c>
      <c r="K37" s="229">
        <f>VLOOKUP(C37,'Datos Aceites'!$A$5:$U$203,20,FALSE)</f>
        <v>0</v>
      </c>
      <c r="L37" s="229">
        <f t="shared" ref="L37:L74" si="11">J37+(K37*2.5)</f>
        <v>50</v>
      </c>
      <c r="M37" s="32">
        <f t="shared" si="10"/>
        <v>370</v>
      </c>
      <c r="N37" s="23">
        <v>6</v>
      </c>
      <c r="O37" s="24">
        <f t="shared" ref="O37:O47" si="12">N37*$B$3</f>
        <v>480</v>
      </c>
      <c r="P37" s="24">
        <v>80</v>
      </c>
      <c r="Q37" s="24"/>
      <c r="R37" s="23">
        <v>5</v>
      </c>
      <c r="S37" s="229">
        <f t="shared" ref="S37:S59" si="13">R37*$B$3</f>
        <v>400</v>
      </c>
      <c r="T37" s="229">
        <v>50</v>
      </c>
      <c r="U37" s="229">
        <f>VLOOKUP(C37,'Datos Aceites'!$A$5:$U$203,21,FALSE)</f>
        <v>157.5</v>
      </c>
      <c r="V37" s="229">
        <f>T37+(U37*1.8)</f>
        <v>333.5</v>
      </c>
      <c r="W37" s="35">
        <f t="shared" ref="W37:W74" si="14">T37+(U37*2)+S37</f>
        <v>765</v>
      </c>
      <c r="X37" s="2"/>
      <c r="Y37" s="2"/>
    </row>
    <row r="38" spans="1:25" ht="20.100000000000001" customHeight="1" x14ac:dyDescent="0.2">
      <c r="A38" s="2" t="s">
        <v>192</v>
      </c>
      <c r="B38" s="30" t="s">
        <v>239</v>
      </c>
      <c r="C38" s="31" t="s">
        <v>240</v>
      </c>
      <c r="D38" s="23">
        <v>4</v>
      </c>
      <c r="E38" s="229">
        <f t="shared" si="0"/>
        <v>320</v>
      </c>
      <c r="F38" s="229">
        <v>50</v>
      </c>
      <c r="G38" s="32">
        <f t="shared" si="5"/>
        <v>370</v>
      </c>
      <c r="H38" s="23">
        <v>4.5</v>
      </c>
      <c r="I38" s="229">
        <f t="shared" si="2"/>
        <v>360</v>
      </c>
      <c r="J38" s="229">
        <v>50</v>
      </c>
      <c r="K38" s="229">
        <f>VLOOKUP(C38,'Datos Aceites'!$A$5:$U$203,20,FALSE)</f>
        <v>19</v>
      </c>
      <c r="L38" s="229">
        <f t="shared" si="11"/>
        <v>97.5</v>
      </c>
      <c r="M38" s="32">
        <f t="shared" si="10"/>
        <v>457.5</v>
      </c>
      <c r="N38" s="23">
        <v>6</v>
      </c>
      <c r="O38" s="24">
        <f t="shared" si="12"/>
        <v>480</v>
      </c>
      <c r="P38" s="24">
        <v>80</v>
      </c>
      <c r="Q38" s="24"/>
      <c r="R38" s="23">
        <v>5</v>
      </c>
      <c r="S38" s="229">
        <f t="shared" si="13"/>
        <v>400</v>
      </c>
      <c r="T38" s="229">
        <v>50</v>
      </c>
      <c r="U38" s="229">
        <f>VLOOKUP(C38,'Datos Aceites'!$A$5:$U$203,21,FALSE)</f>
        <v>101.8</v>
      </c>
      <c r="V38" s="229">
        <f>T38+(U38*1.8)</f>
        <v>233.24</v>
      </c>
      <c r="W38" s="35">
        <f t="shared" si="14"/>
        <v>653.6</v>
      </c>
      <c r="X38" s="2"/>
      <c r="Y38" s="2"/>
    </row>
    <row r="39" spans="1:25" ht="20.100000000000001" customHeight="1" x14ac:dyDescent="0.2">
      <c r="A39" s="2" t="s">
        <v>192</v>
      </c>
      <c r="B39" s="30" t="s">
        <v>241</v>
      </c>
      <c r="C39" s="31" t="s">
        <v>242</v>
      </c>
      <c r="D39" s="23">
        <v>4</v>
      </c>
      <c r="E39" s="229">
        <f t="shared" si="0"/>
        <v>320</v>
      </c>
      <c r="F39" s="229">
        <v>50</v>
      </c>
      <c r="G39" s="32">
        <f t="shared" si="5"/>
        <v>370</v>
      </c>
      <c r="H39" s="23">
        <v>4.5</v>
      </c>
      <c r="I39" s="229">
        <f t="shared" si="2"/>
        <v>360</v>
      </c>
      <c r="J39" s="229">
        <v>50</v>
      </c>
      <c r="K39" s="229">
        <f>VLOOKUP(C39,'Datos Aceites'!$A$5:$U$203,20,FALSE)</f>
        <v>19</v>
      </c>
      <c r="L39" s="229">
        <f t="shared" si="11"/>
        <v>97.5</v>
      </c>
      <c r="M39" s="32">
        <f t="shared" si="10"/>
        <v>457.5</v>
      </c>
      <c r="N39" s="23">
        <v>6</v>
      </c>
      <c r="O39" s="24">
        <f t="shared" si="12"/>
        <v>480</v>
      </c>
      <c r="P39" s="24">
        <v>80</v>
      </c>
      <c r="Q39" s="24"/>
      <c r="R39" s="23">
        <v>5</v>
      </c>
      <c r="S39" s="229">
        <f t="shared" si="13"/>
        <v>400</v>
      </c>
      <c r="T39" s="229">
        <v>50</v>
      </c>
      <c r="U39" s="229">
        <f>VLOOKUP(C39,'Datos Aceites'!$A$5:$U$203,21,FALSE)</f>
        <v>119.625</v>
      </c>
      <c r="V39" s="229">
        <f>T39+(U39*1.8)</f>
        <v>265.32500000000005</v>
      </c>
      <c r="W39" s="35">
        <f t="shared" si="14"/>
        <v>689.25</v>
      </c>
      <c r="X39" s="2"/>
      <c r="Y39" s="2"/>
    </row>
    <row r="40" spans="1:25" ht="20.100000000000001" customHeight="1" x14ac:dyDescent="0.2">
      <c r="A40" s="2" t="s">
        <v>183</v>
      </c>
      <c r="B40" s="30" t="s">
        <v>243</v>
      </c>
      <c r="C40" s="31"/>
      <c r="D40" s="23">
        <v>3</v>
      </c>
      <c r="E40" s="229">
        <f t="shared" si="0"/>
        <v>240</v>
      </c>
      <c r="F40" s="229">
        <v>50</v>
      </c>
      <c r="G40" s="32">
        <f t="shared" si="5"/>
        <v>290</v>
      </c>
      <c r="H40" s="26" t="s">
        <v>123</v>
      </c>
      <c r="I40" s="232" t="s">
        <v>123</v>
      </c>
      <c r="J40" s="232" t="s">
        <v>123</v>
      </c>
      <c r="K40" s="232" t="s">
        <v>123</v>
      </c>
      <c r="L40" s="232" t="s">
        <v>123</v>
      </c>
      <c r="M40" s="28" t="s">
        <v>123</v>
      </c>
      <c r="N40" s="23">
        <v>6</v>
      </c>
      <c r="O40" s="24">
        <f t="shared" si="12"/>
        <v>480</v>
      </c>
      <c r="P40" s="24">
        <v>80</v>
      </c>
      <c r="Q40" s="24"/>
      <c r="R40" s="26" t="s">
        <v>123</v>
      </c>
      <c r="S40" s="232" t="s">
        <v>123</v>
      </c>
      <c r="T40" s="232" t="s">
        <v>123</v>
      </c>
      <c r="U40" s="232" t="s">
        <v>123</v>
      </c>
      <c r="V40" s="232" t="s">
        <v>123</v>
      </c>
      <c r="W40" s="28" t="s">
        <v>123</v>
      </c>
      <c r="X40" s="2"/>
      <c r="Y40" s="2"/>
    </row>
    <row r="41" spans="1:25" ht="20.100000000000001" customHeight="1" x14ac:dyDescent="0.2">
      <c r="A41" s="2" t="s">
        <v>183</v>
      </c>
      <c r="B41" s="30" t="s">
        <v>244</v>
      </c>
      <c r="C41" s="31"/>
      <c r="D41" s="23">
        <v>3</v>
      </c>
      <c r="E41" s="229">
        <f t="shared" si="0"/>
        <v>240</v>
      </c>
      <c r="F41" s="229">
        <v>50</v>
      </c>
      <c r="G41" s="32">
        <f t="shared" si="5"/>
        <v>290</v>
      </c>
      <c r="H41" s="26" t="s">
        <v>123</v>
      </c>
      <c r="I41" s="232" t="s">
        <v>123</v>
      </c>
      <c r="J41" s="232" t="s">
        <v>123</v>
      </c>
      <c r="K41" s="232" t="s">
        <v>123</v>
      </c>
      <c r="L41" s="232" t="s">
        <v>123</v>
      </c>
      <c r="M41" s="28" t="s">
        <v>123</v>
      </c>
      <c r="N41" s="23">
        <v>6</v>
      </c>
      <c r="O41" s="24">
        <f t="shared" si="12"/>
        <v>480</v>
      </c>
      <c r="P41" s="24">
        <v>80</v>
      </c>
      <c r="Q41" s="24"/>
      <c r="R41" s="26" t="s">
        <v>123</v>
      </c>
      <c r="S41" s="232" t="s">
        <v>123</v>
      </c>
      <c r="T41" s="232" t="s">
        <v>123</v>
      </c>
      <c r="U41" s="232" t="s">
        <v>123</v>
      </c>
      <c r="V41" s="232" t="s">
        <v>123</v>
      </c>
      <c r="W41" s="28" t="s">
        <v>123</v>
      </c>
      <c r="X41" s="2"/>
      <c r="Y41" s="2"/>
    </row>
    <row r="42" spans="1:25" ht="20.100000000000001" customHeight="1" x14ac:dyDescent="0.2">
      <c r="A42" s="2" t="s">
        <v>192</v>
      </c>
      <c r="B42" s="30" t="s">
        <v>245</v>
      </c>
      <c r="C42" s="31"/>
      <c r="D42" s="23">
        <v>3.5</v>
      </c>
      <c r="E42" s="229">
        <f>D42*$B$3</f>
        <v>280</v>
      </c>
      <c r="F42" s="229">
        <v>50</v>
      </c>
      <c r="G42" s="32">
        <f>E42+F42</f>
        <v>330</v>
      </c>
      <c r="H42" s="23">
        <v>4</v>
      </c>
      <c r="I42" s="229">
        <f>H42*$B$3</f>
        <v>320</v>
      </c>
      <c r="J42" s="229">
        <v>50</v>
      </c>
      <c r="K42" s="229" t="e">
        <f>VLOOKUP(C42,'Datos Aceites'!$A$5:$U$203,20,FALSE)</f>
        <v>#N/A</v>
      </c>
      <c r="L42" s="229" t="e">
        <f>J42+(K42*2.5)</f>
        <v>#N/A</v>
      </c>
      <c r="M42" s="32" t="e">
        <f>J42+(K42*2.5)+I42</f>
        <v>#N/A</v>
      </c>
      <c r="N42" s="23">
        <v>6</v>
      </c>
      <c r="O42" s="24">
        <f>N42*$B$3</f>
        <v>480</v>
      </c>
      <c r="P42" s="24">
        <v>80</v>
      </c>
      <c r="Q42" s="24"/>
      <c r="R42" s="23">
        <v>5</v>
      </c>
      <c r="S42" s="229">
        <f>R42*$B$3</f>
        <v>400</v>
      </c>
      <c r="T42" s="229">
        <v>50</v>
      </c>
      <c r="U42" s="229" t="e">
        <f>VLOOKUP(C42,'Datos Aceites'!$A$5:$U$203,21,FALSE)</f>
        <v>#N/A</v>
      </c>
      <c r="V42" s="229" t="e">
        <v>#N/A</v>
      </c>
      <c r="W42" s="35" t="e">
        <f t="shared" ref="W42:W48" si="15">T42+(U42*2)+S42</f>
        <v>#N/A</v>
      </c>
      <c r="X42" s="2"/>
      <c r="Y42" s="2"/>
    </row>
    <row r="43" spans="1:25" ht="20.100000000000001" customHeight="1" x14ac:dyDescent="0.2">
      <c r="A43" s="2" t="s">
        <v>193</v>
      </c>
      <c r="B43" s="21" t="s">
        <v>246</v>
      </c>
      <c r="C43" s="22" t="s">
        <v>247</v>
      </c>
      <c r="D43" s="23">
        <v>5</v>
      </c>
      <c r="E43" s="229">
        <f t="shared" si="0"/>
        <v>400</v>
      </c>
      <c r="F43" s="229">
        <v>80</v>
      </c>
      <c r="G43" s="25">
        <f t="shared" si="5"/>
        <v>480</v>
      </c>
      <c r="H43" s="23">
        <v>5.5</v>
      </c>
      <c r="I43" s="229">
        <f t="shared" si="2"/>
        <v>440</v>
      </c>
      <c r="J43" s="229">
        <v>80</v>
      </c>
      <c r="K43" s="229">
        <f>VLOOKUP(C43,'Datos Aceites'!$A$5:$U$203,20,FALSE)</f>
        <v>26.454999999999998</v>
      </c>
      <c r="L43" s="229">
        <f t="shared" si="11"/>
        <v>146.13749999999999</v>
      </c>
      <c r="M43" s="25">
        <f t="shared" si="10"/>
        <v>586.13750000000005</v>
      </c>
      <c r="N43" s="23">
        <v>6</v>
      </c>
      <c r="O43" s="24">
        <f t="shared" si="12"/>
        <v>480</v>
      </c>
      <c r="P43" s="24">
        <v>80</v>
      </c>
      <c r="Q43" s="24"/>
      <c r="R43" s="23">
        <v>7.5</v>
      </c>
      <c r="S43" s="229">
        <f t="shared" si="13"/>
        <v>600</v>
      </c>
      <c r="T43" s="229">
        <v>80</v>
      </c>
      <c r="U43" s="229">
        <f>VLOOKUP(C43,'Datos Aceites'!$A$5:$U$203,21,FALSE)</f>
        <v>98.089999999999989</v>
      </c>
      <c r="V43" s="229">
        <f t="shared" ref="V43:V74" si="16">T43+(U43*2)</f>
        <v>276.17999999999995</v>
      </c>
      <c r="W43" s="36">
        <f t="shared" si="15"/>
        <v>876.18</v>
      </c>
      <c r="X43" s="2"/>
      <c r="Y43" s="2"/>
    </row>
    <row r="44" spans="1:25" ht="20.100000000000001" customHeight="1" x14ac:dyDescent="0.2">
      <c r="A44" s="2" t="s">
        <v>193</v>
      </c>
      <c r="B44" s="21" t="s">
        <v>248</v>
      </c>
      <c r="C44" s="22" t="s">
        <v>249</v>
      </c>
      <c r="D44" s="23">
        <v>5</v>
      </c>
      <c r="E44" s="229">
        <f>D44*$B$3</f>
        <v>400</v>
      </c>
      <c r="F44" s="229">
        <v>80</v>
      </c>
      <c r="G44" s="25">
        <f>E44+F44</f>
        <v>480</v>
      </c>
      <c r="H44" s="23">
        <v>5.5</v>
      </c>
      <c r="I44" s="229">
        <f>H44*$B$3</f>
        <v>440</v>
      </c>
      <c r="J44" s="229">
        <v>80</v>
      </c>
      <c r="K44" s="229">
        <f>VLOOKUP(C44,'Datos Aceites'!$A$5:$U$203,20,FALSE)</f>
        <v>3.7049999999999996</v>
      </c>
      <c r="L44" s="229">
        <f>J44+(K44*2.5)</f>
        <v>89.262500000000003</v>
      </c>
      <c r="M44" s="25">
        <f t="shared" si="10"/>
        <v>529.26250000000005</v>
      </c>
      <c r="N44" s="23">
        <v>6</v>
      </c>
      <c r="O44" s="24">
        <f t="shared" si="12"/>
        <v>480</v>
      </c>
      <c r="P44" s="24">
        <v>80</v>
      </c>
      <c r="Q44" s="24"/>
      <c r="R44" s="23">
        <v>7.5</v>
      </c>
      <c r="S44" s="229">
        <f>R44*$B$3</f>
        <v>600</v>
      </c>
      <c r="T44" s="229">
        <v>80</v>
      </c>
      <c r="U44" s="229">
        <f>VLOOKUP(C44,'Datos Aceites'!$A$5:$U$203,21,FALSE)</f>
        <v>54.339999999999996</v>
      </c>
      <c r="V44" s="229">
        <f t="shared" si="16"/>
        <v>188.68</v>
      </c>
      <c r="W44" s="36">
        <f t="shared" si="15"/>
        <v>788.68000000000006</v>
      </c>
      <c r="X44" s="2"/>
      <c r="Y44" s="2"/>
    </row>
    <row r="45" spans="1:25" ht="20.100000000000001" customHeight="1" x14ac:dyDescent="0.2">
      <c r="A45" s="2" t="s">
        <v>197</v>
      </c>
      <c r="B45" s="21" t="s">
        <v>250</v>
      </c>
      <c r="C45" s="22" t="s">
        <v>249</v>
      </c>
      <c r="D45" s="23">
        <v>5</v>
      </c>
      <c r="E45" s="229">
        <f>D45*$B$3</f>
        <v>400</v>
      </c>
      <c r="F45" s="229">
        <v>80</v>
      </c>
      <c r="G45" s="25">
        <f>E45+F45</f>
        <v>480</v>
      </c>
      <c r="H45" s="23">
        <v>5.5</v>
      </c>
      <c r="I45" s="229">
        <f>H45*$B$3</f>
        <v>440</v>
      </c>
      <c r="J45" s="229">
        <v>80</v>
      </c>
      <c r="K45" s="229">
        <f>VLOOKUP(C45,'Datos Aceites'!$A$5:$U$203,20,FALSE)</f>
        <v>3.7049999999999996</v>
      </c>
      <c r="L45" s="229">
        <f>J45+(K45*2.5)</f>
        <v>89.262500000000003</v>
      </c>
      <c r="M45" s="25">
        <f>J45+(K45*2.5)+I45</f>
        <v>529.26250000000005</v>
      </c>
      <c r="N45" s="23">
        <v>6</v>
      </c>
      <c r="O45" s="24">
        <f>N45*$B$3</f>
        <v>480</v>
      </c>
      <c r="P45" s="24">
        <v>80</v>
      </c>
      <c r="Q45" s="24"/>
      <c r="R45" s="23">
        <v>7.5</v>
      </c>
      <c r="S45" s="229">
        <f>R45*$B$3</f>
        <v>600</v>
      </c>
      <c r="T45" s="229">
        <v>80</v>
      </c>
      <c r="U45" s="229">
        <f>VLOOKUP(C45,'Datos Aceites'!$A$5:$U$203,21,FALSE)</f>
        <v>54.339999999999996</v>
      </c>
      <c r="V45" s="229">
        <f t="shared" si="16"/>
        <v>188.68</v>
      </c>
      <c r="W45" s="36">
        <f t="shared" si="15"/>
        <v>788.68000000000006</v>
      </c>
      <c r="X45" s="2" t="s">
        <v>207</v>
      </c>
      <c r="Y45" s="2"/>
    </row>
    <row r="46" spans="1:25" ht="20.100000000000001" customHeight="1" x14ac:dyDescent="0.2">
      <c r="A46" s="2" t="s">
        <v>193</v>
      </c>
      <c r="B46" s="30" t="s">
        <v>251</v>
      </c>
      <c r="C46" s="31" t="s">
        <v>252</v>
      </c>
      <c r="D46" s="23">
        <v>5</v>
      </c>
      <c r="E46" s="229">
        <f t="shared" si="0"/>
        <v>400</v>
      </c>
      <c r="F46" s="229">
        <v>80</v>
      </c>
      <c r="G46" s="32">
        <f t="shared" si="5"/>
        <v>480</v>
      </c>
      <c r="H46" s="23">
        <v>5.5</v>
      </c>
      <c r="I46" s="229">
        <f t="shared" si="2"/>
        <v>440</v>
      </c>
      <c r="J46" s="229">
        <v>80</v>
      </c>
      <c r="K46" s="229">
        <f>VLOOKUP(C46,'Datos Aceites'!$A$5:$U$203,20,FALSE)</f>
        <v>27.69</v>
      </c>
      <c r="L46" s="229">
        <f t="shared" si="11"/>
        <v>149.22500000000002</v>
      </c>
      <c r="M46" s="32">
        <f t="shared" si="10"/>
        <v>589.22500000000002</v>
      </c>
      <c r="N46" s="23"/>
      <c r="O46" s="24">
        <f t="shared" si="12"/>
        <v>0</v>
      </c>
      <c r="P46" s="24">
        <v>80</v>
      </c>
      <c r="Q46" s="24"/>
      <c r="R46" s="23">
        <v>8</v>
      </c>
      <c r="S46" s="229">
        <f t="shared" si="13"/>
        <v>640</v>
      </c>
      <c r="T46" s="229">
        <v>80</v>
      </c>
      <c r="U46" s="229">
        <f>VLOOKUP(C46,'Datos Aceites'!$A$5:$U$203,21,FALSE)</f>
        <v>170.14</v>
      </c>
      <c r="V46" s="229">
        <f t="shared" si="16"/>
        <v>420.28</v>
      </c>
      <c r="W46" s="35">
        <f t="shared" si="15"/>
        <v>1060.28</v>
      </c>
      <c r="X46" s="2"/>
      <c r="Y46" s="2"/>
    </row>
    <row r="47" spans="1:25" ht="20.100000000000001" customHeight="1" x14ac:dyDescent="0.2">
      <c r="A47" s="2" t="s">
        <v>197</v>
      </c>
      <c r="B47" s="30" t="s">
        <v>126</v>
      </c>
      <c r="C47" s="31" t="s">
        <v>252</v>
      </c>
      <c r="D47" s="23">
        <v>5</v>
      </c>
      <c r="E47" s="229">
        <f t="shared" si="0"/>
        <v>400</v>
      </c>
      <c r="F47" s="229">
        <v>80</v>
      </c>
      <c r="G47" s="32">
        <f>E47+F47</f>
        <v>480</v>
      </c>
      <c r="H47" s="23">
        <v>5.5</v>
      </c>
      <c r="I47" s="229">
        <f t="shared" si="2"/>
        <v>440</v>
      </c>
      <c r="J47" s="229">
        <v>80</v>
      </c>
      <c r="K47" s="229">
        <f>VLOOKUP(C47,'Datos Aceites'!$A$5:$U$203,20,FALSE)</f>
        <v>27.69</v>
      </c>
      <c r="L47" s="229">
        <f>J47+(K47*2.5)</f>
        <v>149.22500000000002</v>
      </c>
      <c r="M47" s="32">
        <f t="shared" si="10"/>
        <v>589.22500000000002</v>
      </c>
      <c r="N47" s="23"/>
      <c r="O47" s="24">
        <f t="shared" si="12"/>
        <v>0</v>
      </c>
      <c r="P47" s="24">
        <v>80</v>
      </c>
      <c r="Q47" s="24"/>
      <c r="R47" s="23">
        <v>8</v>
      </c>
      <c r="S47" s="229">
        <f t="shared" si="13"/>
        <v>640</v>
      </c>
      <c r="T47" s="229">
        <v>80</v>
      </c>
      <c r="U47" s="229">
        <f>VLOOKUP(C47,'Datos Aceites'!$A$5:$U$203,21,FALSE)</f>
        <v>170.14</v>
      </c>
      <c r="V47" s="229">
        <f t="shared" si="16"/>
        <v>420.28</v>
      </c>
      <c r="W47" s="35">
        <f t="shared" si="15"/>
        <v>1060.28</v>
      </c>
      <c r="X47" s="2"/>
      <c r="Y47" s="2"/>
    </row>
    <row r="48" spans="1:25" ht="20.100000000000001" customHeight="1" x14ac:dyDescent="0.2">
      <c r="A48" s="2" t="s">
        <v>197</v>
      </c>
      <c r="B48" s="21" t="s">
        <v>253</v>
      </c>
      <c r="C48" s="22" t="s">
        <v>254</v>
      </c>
      <c r="D48" s="23">
        <v>5</v>
      </c>
      <c r="E48" s="229">
        <f t="shared" si="0"/>
        <v>400</v>
      </c>
      <c r="F48" s="229">
        <v>80</v>
      </c>
      <c r="G48" s="25">
        <f>E48+F48</f>
        <v>480</v>
      </c>
      <c r="H48" s="26" t="s">
        <v>123</v>
      </c>
      <c r="I48" s="232" t="s">
        <v>123</v>
      </c>
      <c r="J48" s="232" t="s">
        <v>123</v>
      </c>
      <c r="K48" s="229">
        <f>VLOOKUP(C48,'Datos Aceites'!$A$5:$U$203,20,FALSE)</f>
        <v>3.125</v>
      </c>
      <c r="L48" s="232" t="s">
        <v>123</v>
      </c>
      <c r="M48" s="37" t="s">
        <v>123</v>
      </c>
      <c r="N48" s="23"/>
      <c r="O48" s="24"/>
      <c r="P48" s="24"/>
      <c r="Q48" s="24"/>
      <c r="R48" s="23">
        <v>6</v>
      </c>
      <c r="S48" s="229">
        <f t="shared" si="13"/>
        <v>480</v>
      </c>
      <c r="T48" s="229">
        <v>80</v>
      </c>
      <c r="U48" s="229">
        <f>VLOOKUP(C48,'Datos Aceites'!$A$5:$U$203,21,FALSE)</f>
        <v>228.125</v>
      </c>
      <c r="V48" s="229">
        <f t="shared" si="16"/>
        <v>536.25</v>
      </c>
      <c r="W48" s="36">
        <f t="shared" si="15"/>
        <v>1016.25</v>
      </c>
      <c r="X48" s="2"/>
      <c r="Y48" s="2"/>
    </row>
    <row r="49" spans="1:25" ht="20.100000000000001" customHeight="1" x14ac:dyDescent="0.2">
      <c r="A49" s="2" t="s">
        <v>192</v>
      </c>
      <c r="B49" s="21" t="s">
        <v>255</v>
      </c>
      <c r="C49" s="22" t="s">
        <v>254</v>
      </c>
      <c r="D49" s="23">
        <v>4.5</v>
      </c>
      <c r="E49" s="229">
        <f t="shared" si="0"/>
        <v>360</v>
      </c>
      <c r="F49" s="229">
        <v>80</v>
      </c>
      <c r="G49" s="25">
        <f t="shared" si="5"/>
        <v>440</v>
      </c>
      <c r="H49" s="26" t="s">
        <v>123</v>
      </c>
      <c r="I49" s="232" t="s">
        <v>123</v>
      </c>
      <c r="J49" s="232" t="s">
        <v>123</v>
      </c>
      <c r="K49" s="229">
        <f>VLOOKUP(C49,'Datos Aceites'!$A$5:$U$203,20,FALSE)</f>
        <v>3.125</v>
      </c>
      <c r="L49" s="232" t="s">
        <v>123</v>
      </c>
      <c r="M49" s="37" t="s">
        <v>123</v>
      </c>
      <c r="N49" s="23"/>
      <c r="O49" s="24"/>
      <c r="P49" s="24"/>
      <c r="Q49" s="24"/>
      <c r="R49" s="23">
        <v>6</v>
      </c>
      <c r="S49" s="229">
        <f t="shared" si="13"/>
        <v>480</v>
      </c>
      <c r="T49" s="229">
        <v>80</v>
      </c>
      <c r="U49" s="229">
        <f>VLOOKUP(C49,'Datos Aceites'!$A$5:$U$203,21,FALSE)</f>
        <v>228.125</v>
      </c>
      <c r="V49" s="229">
        <f t="shared" si="16"/>
        <v>536.25</v>
      </c>
      <c r="W49" s="36">
        <f t="shared" si="14"/>
        <v>1016.25</v>
      </c>
      <c r="X49" s="2"/>
      <c r="Y49" s="2"/>
    </row>
    <row r="50" spans="1:25" ht="20.100000000000001" customHeight="1" x14ac:dyDescent="0.2">
      <c r="A50" s="2" t="s">
        <v>197</v>
      </c>
      <c r="B50" s="38" t="s">
        <v>256</v>
      </c>
      <c r="C50" s="39" t="s">
        <v>573</v>
      </c>
      <c r="D50" s="23">
        <v>5</v>
      </c>
      <c r="E50" s="229">
        <f t="shared" si="0"/>
        <v>400</v>
      </c>
      <c r="F50" s="229">
        <v>80</v>
      </c>
      <c r="G50" s="32">
        <f t="shared" si="5"/>
        <v>480</v>
      </c>
      <c r="H50" s="23">
        <v>5.5</v>
      </c>
      <c r="I50" s="229">
        <f t="shared" ref="I50:I59" si="17">H50*$B$3</f>
        <v>440</v>
      </c>
      <c r="J50" s="229">
        <v>80</v>
      </c>
      <c r="K50" s="229">
        <f>VLOOKUP(C50,'Datos Aceites'!$A$5:$U$203,20,FALSE)</f>
        <v>29</v>
      </c>
      <c r="L50" s="229">
        <f t="shared" si="11"/>
        <v>152.5</v>
      </c>
      <c r="M50" s="32">
        <f t="shared" ref="M50:M59" si="18">J50+(K50*2.5)+I50</f>
        <v>592.5</v>
      </c>
      <c r="N50" s="23">
        <v>6</v>
      </c>
      <c r="O50" s="24">
        <f t="shared" ref="O50:O59" si="19">N50*$B$3</f>
        <v>480</v>
      </c>
      <c r="P50" s="24">
        <v>80</v>
      </c>
      <c r="Q50" s="24"/>
      <c r="R50" s="23">
        <v>7</v>
      </c>
      <c r="S50" s="229">
        <f t="shared" si="13"/>
        <v>560</v>
      </c>
      <c r="T50" s="229">
        <v>80</v>
      </c>
      <c r="U50" s="229">
        <f>VLOOKUP(C50,'Datos Aceites'!$A$5:$U$203,21,FALSE)</f>
        <v>191.9</v>
      </c>
      <c r="V50" s="229">
        <f t="shared" si="16"/>
        <v>463.8</v>
      </c>
      <c r="W50" s="35">
        <f t="shared" si="14"/>
        <v>1023.8</v>
      </c>
      <c r="X50" s="2"/>
      <c r="Y50" s="2"/>
    </row>
    <row r="51" spans="1:25" ht="20.100000000000001" customHeight="1" x14ac:dyDescent="0.2">
      <c r="A51" s="2" t="s">
        <v>192</v>
      </c>
      <c r="B51" s="38" t="s">
        <v>257</v>
      </c>
      <c r="C51" s="39" t="s">
        <v>573</v>
      </c>
      <c r="D51" s="23">
        <v>5</v>
      </c>
      <c r="E51" s="229">
        <f t="shared" si="0"/>
        <v>400</v>
      </c>
      <c r="F51" s="229">
        <v>80</v>
      </c>
      <c r="G51" s="32">
        <f t="shared" si="5"/>
        <v>480</v>
      </c>
      <c r="H51" s="23">
        <v>5</v>
      </c>
      <c r="I51" s="229">
        <f t="shared" si="17"/>
        <v>400</v>
      </c>
      <c r="J51" s="229">
        <v>80</v>
      </c>
      <c r="K51" s="229">
        <f>VLOOKUP(C51,'Datos Aceites'!$A$5:$U$203,20,FALSE)</f>
        <v>29</v>
      </c>
      <c r="L51" s="229">
        <f t="shared" si="11"/>
        <v>152.5</v>
      </c>
      <c r="M51" s="32">
        <f t="shared" si="18"/>
        <v>552.5</v>
      </c>
      <c r="N51" s="23">
        <v>6</v>
      </c>
      <c r="O51" s="24">
        <f t="shared" si="19"/>
        <v>480</v>
      </c>
      <c r="P51" s="24">
        <v>80</v>
      </c>
      <c r="Q51" s="24"/>
      <c r="R51" s="23">
        <v>6.5</v>
      </c>
      <c r="S51" s="229">
        <f t="shared" si="13"/>
        <v>520</v>
      </c>
      <c r="T51" s="229">
        <v>80</v>
      </c>
      <c r="U51" s="229">
        <f>VLOOKUP(C51,'Datos Aceites'!$A$5:$U$203,21,FALSE)</f>
        <v>191.9</v>
      </c>
      <c r="V51" s="229">
        <f t="shared" si="16"/>
        <v>463.8</v>
      </c>
      <c r="W51" s="35">
        <f t="shared" si="14"/>
        <v>983.8</v>
      </c>
      <c r="X51" s="2"/>
      <c r="Y51" s="2"/>
    </row>
    <row r="52" spans="1:25" ht="20.100000000000001" customHeight="1" x14ac:dyDescent="0.2">
      <c r="A52" s="2" t="s">
        <v>192</v>
      </c>
      <c r="B52" s="40" t="s">
        <v>127</v>
      </c>
      <c r="C52" s="41" t="s">
        <v>258</v>
      </c>
      <c r="D52" s="23">
        <v>4.5</v>
      </c>
      <c r="E52" s="229">
        <f>D52*$B$3</f>
        <v>360</v>
      </c>
      <c r="F52" s="229">
        <v>80</v>
      </c>
      <c r="G52" s="25">
        <f t="shared" si="5"/>
        <v>440</v>
      </c>
      <c r="H52" s="23">
        <v>5.5</v>
      </c>
      <c r="I52" s="229">
        <f>H52*$B$3</f>
        <v>440</v>
      </c>
      <c r="J52" s="229">
        <v>80</v>
      </c>
      <c r="K52" s="229">
        <f>VLOOKUP(C52,'Datos Aceites'!$A$5:$U$203,20,FALSE)</f>
        <v>27.75</v>
      </c>
      <c r="L52" s="229">
        <f t="shared" si="11"/>
        <v>149.375</v>
      </c>
      <c r="M52" s="25">
        <f>J52+(K52*2.5)+I52</f>
        <v>589.375</v>
      </c>
      <c r="N52" s="23">
        <v>6</v>
      </c>
      <c r="O52" s="24">
        <f>N52*$B$3</f>
        <v>480</v>
      </c>
      <c r="P52" s="24">
        <v>80</v>
      </c>
      <c r="Q52" s="24"/>
      <c r="R52" s="23">
        <v>7</v>
      </c>
      <c r="S52" s="229">
        <f>R52*$B$3</f>
        <v>560</v>
      </c>
      <c r="T52" s="229">
        <v>80</v>
      </c>
      <c r="U52" s="229">
        <f>VLOOKUP(C52,'Datos Aceites'!$A$5:$U$203,21,FALSE)</f>
        <v>237</v>
      </c>
      <c r="V52" s="229">
        <f t="shared" si="16"/>
        <v>554</v>
      </c>
      <c r="W52" s="36">
        <f t="shared" si="14"/>
        <v>1114</v>
      </c>
      <c r="X52" s="2"/>
      <c r="Y52" s="2"/>
    </row>
    <row r="53" spans="1:25" ht="20.100000000000001" customHeight="1" x14ac:dyDescent="0.2">
      <c r="A53" s="2" t="s">
        <v>197</v>
      </c>
      <c r="B53" s="42" t="s">
        <v>259</v>
      </c>
      <c r="C53" s="43" t="s">
        <v>260</v>
      </c>
      <c r="D53" s="23">
        <v>5</v>
      </c>
      <c r="E53" s="229">
        <f t="shared" si="0"/>
        <v>400</v>
      </c>
      <c r="F53" s="229">
        <v>80</v>
      </c>
      <c r="G53" s="25">
        <f>E53+F53</f>
        <v>480</v>
      </c>
      <c r="H53" s="23">
        <v>5.5</v>
      </c>
      <c r="I53" s="229">
        <f t="shared" si="17"/>
        <v>440</v>
      </c>
      <c r="J53" s="229">
        <v>80</v>
      </c>
      <c r="K53" s="229">
        <f>VLOOKUP(C53,'Datos Aceites'!$A$5:$U$203,20,FALSE)</f>
        <v>24.15</v>
      </c>
      <c r="L53" s="229">
        <f>J53+(K53*2.5)</f>
        <v>140.375</v>
      </c>
      <c r="M53" s="25">
        <f t="shared" si="18"/>
        <v>580.375</v>
      </c>
      <c r="N53" s="23">
        <v>6</v>
      </c>
      <c r="O53" s="24">
        <f t="shared" si="19"/>
        <v>480</v>
      </c>
      <c r="P53" s="24">
        <v>80</v>
      </c>
      <c r="Q53" s="24"/>
      <c r="R53" s="23">
        <v>7</v>
      </c>
      <c r="S53" s="229">
        <f t="shared" si="13"/>
        <v>560</v>
      </c>
      <c r="T53" s="229">
        <v>80</v>
      </c>
      <c r="U53" s="229">
        <f>VLOOKUP(C53,'Datos Aceites'!$A$5:$U$203,21,FALSE)</f>
        <v>252.15</v>
      </c>
      <c r="V53" s="229">
        <f>T53+(U53*2)</f>
        <v>584.29999999999995</v>
      </c>
      <c r="W53" s="36">
        <f>T53+(U53*2)+S53</f>
        <v>1144.3</v>
      </c>
      <c r="X53" s="2"/>
      <c r="Y53" s="2"/>
    </row>
    <row r="54" spans="1:25" ht="20.100000000000001" customHeight="1" x14ac:dyDescent="0.2">
      <c r="A54" s="2" t="s">
        <v>192</v>
      </c>
      <c r="B54" s="42" t="s">
        <v>261</v>
      </c>
      <c r="C54" s="43" t="s">
        <v>260</v>
      </c>
      <c r="D54" s="23">
        <v>4.5</v>
      </c>
      <c r="E54" s="229">
        <f t="shared" si="0"/>
        <v>360</v>
      </c>
      <c r="F54" s="229">
        <v>80</v>
      </c>
      <c r="G54" s="25">
        <f>E54+F54</f>
        <v>440</v>
      </c>
      <c r="H54" s="23">
        <v>5</v>
      </c>
      <c r="I54" s="229">
        <f t="shared" si="17"/>
        <v>400</v>
      </c>
      <c r="J54" s="229">
        <v>80</v>
      </c>
      <c r="K54" s="229">
        <f>VLOOKUP(C54,'Datos Aceites'!$A$5:$U$203,20,FALSE)</f>
        <v>24.15</v>
      </c>
      <c r="L54" s="229">
        <f>J54+(K54*2.5)</f>
        <v>140.375</v>
      </c>
      <c r="M54" s="25">
        <f t="shared" si="18"/>
        <v>540.375</v>
      </c>
      <c r="N54" s="23">
        <v>6</v>
      </c>
      <c r="O54" s="24">
        <f t="shared" si="19"/>
        <v>480</v>
      </c>
      <c r="P54" s="24">
        <v>80</v>
      </c>
      <c r="Q54" s="24"/>
      <c r="R54" s="23">
        <v>6.5</v>
      </c>
      <c r="S54" s="229">
        <f t="shared" si="13"/>
        <v>520</v>
      </c>
      <c r="T54" s="229">
        <v>80</v>
      </c>
      <c r="U54" s="229">
        <f>VLOOKUP(C54,'Datos Aceites'!$A$5:$U$203,21,FALSE)</f>
        <v>252.15</v>
      </c>
      <c r="V54" s="229">
        <f>T54+(U54*2)</f>
        <v>584.29999999999995</v>
      </c>
      <c r="W54" s="36">
        <f>T54+(U54*2)+S54</f>
        <v>1104.3</v>
      </c>
      <c r="X54" s="2"/>
      <c r="Y54" s="2"/>
    </row>
    <row r="55" spans="1:25" ht="20.100000000000001" customHeight="1" x14ac:dyDescent="0.2">
      <c r="A55" s="2" t="s">
        <v>197</v>
      </c>
      <c r="B55" s="38" t="s">
        <v>262</v>
      </c>
      <c r="C55" s="39" t="s">
        <v>572</v>
      </c>
      <c r="D55" s="23">
        <v>5</v>
      </c>
      <c r="E55" s="229">
        <f t="shared" si="0"/>
        <v>400</v>
      </c>
      <c r="F55" s="229">
        <v>80</v>
      </c>
      <c r="G55" s="32">
        <f t="shared" si="5"/>
        <v>480</v>
      </c>
      <c r="H55" s="23">
        <v>5.5</v>
      </c>
      <c r="I55" s="229">
        <f t="shared" si="17"/>
        <v>440</v>
      </c>
      <c r="J55" s="229">
        <v>80</v>
      </c>
      <c r="K55" s="229">
        <f>VLOOKUP(C55,'Datos Aceites'!$A$5:$U$203,20,FALSE)</f>
        <v>30.75</v>
      </c>
      <c r="L55" s="229">
        <f t="shared" si="11"/>
        <v>156.875</v>
      </c>
      <c r="M55" s="32">
        <f t="shared" si="18"/>
        <v>596.875</v>
      </c>
      <c r="N55" s="23">
        <v>6</v>
      </c>
      <c r="O55" s="24">
        <f t="shared" si="19"/>
        <v>480</v>
      </c>
      <c r="P55" s="24">
        <v>80</v>
      </c>
      <c r="Q55" s="24"/>
      <c r="R55" s="23">
        <v>7</v>
      </c>
      <c r="S55" s="229">
        <f t="shared" si="13"/>
        <v>560</v>
      </c>
      <c r="T55" s="229">
        <v>80</v>
      </c>
      <c r="U55" s="229">
        <f>VLOOKUP(C55,'Datos Aceites'!$A$5:$U$203,21,FALSE)</f>
        <v>244.75</v>
      </c>
      <c r="V55" s="229">
        <f t="shared" si="16"/>
        <v>569.5</v>
      </c>
      <c r="W55" s="35">
        <f t="shared" si="14"/>
        <v>1129.5</v>
      </c>
      <c r="X55" s="2"/>
      <c r="Y55" s="2"/>
    </row>
    <row r="56" spans="1:25" ht="20.100000000000001" customHeight="1" x14ac:dyDescent="0.2">
      <c r="A56" s="2" t="s">
        <v>192</v>
      </c>
      <c r="B56" s="38" t="s">
        <v>263</v>
      </c>
      <c r="C56" s="39" t="s">
        <v>572</v>
      </c>
      <c r="D56" s="23">
        <v>4.5</v>
      </c>
      <c r="E56" s="229">
        <f t="shared" si="0"/>
        <v>360</v>
      </c>
      <c r="F56" s="229">
        <v>80</v>
      </c>
      <c r="G56" s="32">
        <f t="shared" si="5"/>
        <v>440</v>
      </c>
      <c r="H56" s="23">
        <v>5</v>
      </c>
      <c r="I56" s="229">
        <f t="shared" si="17"/>
        <v>400</v>
      </c>
      <c r="J56" s="229">
        <v>80</v>
      </c>
      <c r="K56" s="229">
        <f>VLOOKUP(C56,'Datos Aceites'!$A$5:$U$203,20,FALSE)</f>
        <v>30.75</v>
      </c>
      <c r="L56" s="229">
        <f t="shared" si="11"/>
        <v>156.875</v>
      </c>
      <c r="M56" s="32">
        <f t="shared" si="18"/>
        <v>556.875</v>
      </c>
      <c r="N56" s="23">
        <v>6</v>
      </c>
      <c r="O56" s="24">
        <f t="shared" si="19"/>
        <v>480</v>
      </c>
      <c r="P56" s="24">
        <v>80</v>
      </c>
      <c r="Q56" s="24"/>
      <c r="R56" s="23">
        <v>6.5</v>
      </c>
      <c r="S56" s="229">
        <f t="shared" si="13"/>
        <v>520</v>
      </c>
      <c r="T56" s="229">
        <v>80</v>
      </c>
      <c r="U56" s="229">
        <f>VLOOKUP(C56,'Datos Aceites'!$A$5:$U$203,21,FALSE)</f>
        <v>244.75</v>
      </c>
      <c r="V56" s="229">
        <f t="shared" si="16"/>
        <v>569.5</v>
      </c>
      <c r="W56" s="35">
        <f t="shared" si="14"/>
        <v>1089.5</v>
      </c>
      <c r="X56" s="2"/>
      <c r="Y56" s="2"/>
    </row>
    <row r="57" spans="1:25" ht="20.100000000000001" customHeight="1" x14ac:dyDescent="0.2">
      <c r="A57" s="2" t="s">
        <v>197</v>
      </c>
      <c r="B57" s="42" t="s">
        <v>264</v>
      </c>
      <c r="C57" s="43" t="s">
        <v>573</v>
      </c>
      <c r="D57" s="23">
        <v>5</v>
      </c>
      <c r="E57" s="229">
        <f t="shared" si="0"/>
        <v>400</v>
      </c>
      <c r="F57" s="229">
        <v>80</v>
      </c>
      <c r="G57" s="25">
        <f>E57+F57</f>
        <v>480</v>
      </c>
      <c r="H57" s="23">
        <v>5.5</v>
      </c>
      <c r="I57" s="229">
        <f t="shared" si="17"/>
        <v>440</v>
      </c>
      <c r="J57" s="229">
        <v>80</v>
      </c>
      <c r="K57" s="229">
        <f>VLOOKUP(C57,'Datos Aceites'!$A$5:$U$203,20,FALSE)</f>
        <v>29</v>
      </c>
      <c r="L57" s="229">
        <f>J57+(K57*2.5)</f>
        <v>152.5</v>
      </c>
      <c r="M57" s="25">
        <f t="shared" si="18"/>
        <v>592.5</v>
      </c>
      <c r="N57" s="23">
        <v>6</v>
      </c>
      <c r="O57" s="24">
        <f t="shared" si="19"/>
        <v>480</v>
      </c>
      <c r="P57" s="24">
        <v>80</v>
      </c>
      <c r="Q57" s="24"/>
      <c r="R57" s="23">
        <v>7</v>
      </c>
      <c r="S57" s="229">
        <f t="shared" si="13"/>
        <v>560</v>
      </c>
      <c r="T57" s="229">
        <v>80</v>
      </c>
      <c r="U57" s="229">
        <f>VLOOKUP(C57,'Datos Aceites'!$A$5:$U$203,21,FALSE)</f>
        <v>191.9</v>
      </c>
      <c r="V57" s="229">
        <f>T57+(U57*2)</f>
        <v>463.8</v>
      </c>
      <c r="W57" s="36">
        <f>T57+(U57*2)+S57</f>
        <v>1023.8</v>
      </c>
      <c r="X57" s="2"/>
      <c r="Y57" s="2"/>
    </row>
    <row r="58" spans="1:25" ht="20.100000000000001" customHeight="1" x14ac:dyDescent="0.2">
      <c r="A58" s="2" t="s">
        <v>192</v>
      </c>
      <c r="B58" s="42" t="s">
        <v>265</v>
      </c>
      <c r="C58" s="43" t="s">
        <v>572</v>
      </c>
      <c r="D58" s="23">
        <v>4.5</v>
      </c>
      <c r="E58" s="229">
        <f t="shared" si="0"/>
        <v>360</v>
      </c>
      <c r="F58" s="229">
        <v>80</v>
      </c>
      <c r="G58" s="25">
        <f>E58+F58</f>
        <v>440</v>
      </c>
      <c r="H58" s="23">
        <v>5</v>
      </c>
      <c r="I58" s="229">
        <f t="shared" si="17"/>
        <v>400</v>
      </c>
      <c r="J58" s="229">
        <v>80</v>
      </c>
      <c r="K58" s="229">
        <f>VLOOKUP(C58,'Datos Aceites'!$A$5:$U$203,20,FALSE)</f>
        <v>30.75</v>
      </c>
      <c r="L58" s="229">
        <f>J58+(K58*2.5)</f>
        <v>156.875</v>
      </c>
      <c r="M58" s="25">
        <f t="shared" si="18"/>
        <v>556.875</v>
      </c>
      <c r="N58" s="23">
        <v>6</v>
      </c>
      <c r="O58" s="24">
        <f t="shared" si="19"/>
        <v>480</v>
      </c>
      <c r="P58" s="24">
        <v>80</v>
      </c>
      <c r="Q58" s="24"/>
      <c r="R58" s="23">
        <v>6.5</v>
      </c>
      <c r="S58" s="229">
        <f t="shared" si="13"/>
        <v>520</v>
      </c>
      <c r="T58" s="229">
        <v>80</v>
      </c>
      <c r="U58" s="229">
        <f>VLOOKUP(C58,'Datos Aceites'!$A$5:$U$203,21,FALSE)</f>
        <v>244.75</v>
      </c>
      <c r="V58" s="229">
        <f>T58+(U58*2)</f>
        <v>569.5</v>
      </c>
      <c r="W58" s="36">
        <f>T58+(U58*2)+S58</f>
        <v>1089.5</v>
      </c>
      <c r="X58" s="2"/>
      <c r="Y58" s="2"/>
    </row>
    <row r="59" spans="1:25" ht="20.100000000000001" customHeight="1" x14ac:dyDescent="0.2">
      <c r="A59" s="2" t="s">
        <v>192</v>
      </c>
      <c r="B59" s="30" t="s">
        <v>266</v>
      </c>
      <c r="C59" s="31" t="s">
        <v>267</v>
      </c>
      <c r="D59" s="23">
        <v>4.5</v>
      </c>
      <c r="E59" s="229">
        <f t="shared" si="0"/>
        <v>360</v>
      </c>
      <c r="F59" s="229">
        <v>80</v>
      </c>
      <c r="G59" s="32">
        <f t="shared" si="5"/>
        <v>440</v>
      </c>
      <c r="H59" s="23">
        <v>5</v>
      </c>
      <c r="I59" s="229">
        <f t="shared" si="17"/>
        <v>400</v>
      </c>
      <c r="J59" s="229">
        <v>80</v>
      </c>
      <c r="K59" s="229">
        <f>VLOOKUP(C59,'Datos Aceites'!$A$5:$U$203,20,FALSE)</f>
        <v>15.5</v>
      </c>
      <c r="L59" s="229">
        <f t="shared" si="11"/>
        <v>118.75</v>
      </c>
      <c r="M59" s="32">
        <f t="shared" si="18"/>
        <v>518.75</v>
      </c>
      <c r="N59" s="23"/>
      <c r="O59" s="24">
        <f t="shared" si="19"/>
        <v>0</v>
      </c>
      <c r="P59" s="24">
        <v>80</v>
      </c>
      <c r="Q59" s="24"/>
      <c r="R59" s="23">
        <v>6.5</v>
      </c>
      <c r="S59" s="229">
        <f t="shared" si="13"/>
        <v>520</v>
      </c>
      <c r="T59" s="229">
        <v>80</v>
      </c>
      <c r="U59" s="229">
        <f>VLOOKUP(C59,'Datos Aceites'!$A$5:$U$203,21,FALSE)</f>
        <v>184.75</v>
      </c>
      <c r="V59" s="229">
        <f t="shared" si="16"/>
        <v>449.5</v>
      </c>
      <c r="W59" s="35">
        <f t="shared" si="14"/>
        <v>969.5</v>
      </c>
      <c r="X59" s="2"/>
      <c r="Y59" s="2"/>
    </row>
    <row r="60" spans="1:25" ht="20.100000000000001" customHeight="1" x14ac:dyDescent="0.2">
      <c r="B60" s="30" t="s">
        <v>268</v>
      </c>
      <c r="C60" s="31" t="s">
        <v>268</v>
      </c>
      <c r="D60" s="23">
        <v>4.5</v>
      </c>
      <c r="E60" s="229">
        <f>D60*$B$3</f>
        <v>360</v>
      </c>
      <c r="F60" s="229">
        <v>80</v>
      </c>
      <c r="G60" s="32">
        <f>E60+F60</f>
        <v>440</v>
      </c>
      <c r="H60" s="23">
        <v>5</v>
      </c>
      <c r="I60" s="229">
        <f>H60*$B$3</f>
        <v>400</v>
      </c>
      <c r="J60" s="229">
        <v>80</v>
      </c>
      <c r="K60" s="229">
        <f>VLOOKUP(C60,'Datos Aceites'!$A$5:$U$203,20,FALSE)</f>
        <v>15.5</v>
      </c>
      <c r="L60" s="229">
        <f>J60+(K60*2.5)</f>
        <v>118.75</v>
      </c>
      <c r="M60" s="32">
        <f>J60+(K60*2.5)+I60</f>
        <v>518.75</v>
      </c>
      <c r="N60" s="23"/>
      <c r="O60" s="24">
        <f>N60*$B$3</f>
        <v>0</v>
      </c>
      <c r="P60" s="24">
        <v>80</v>
      </c>
      <c r="Q60" s="24"/>
      <c r="R60" s="23">
        <v>6.5</v>
      </c>
      <c r="S60" s="229">
        <f>R60*$B$3</f>
        <v>520</v>
      </c>
      <c r="T60" s="229">
        <v>80</v>
      </c>
      <c r="U60" s="229">
        <f>VLOOKUP(C60,'Datos Aceites'!$A$5:$U$203,21,FALSE)</f>
        <v>214.75</v>
      </c>
      <c r="V60" s="229">
        <f>T60+(U60*2)</f>
        <v>509.5</v>
      </c>
      <c r="W60" s="35">
        <f>T60+(U60*2)+S60</f>
        <v>1029.5</v>
      </c>
      <c r="X60" s="2"/>
      <c r="Y60" s="2"/>
    </row>
    <row r="61" spans="1:25" ht="20.100000000000001" customHeight="1" x14ac:dyDescent="0.2">
      <c r="A61" s="2" t="s">
        <v>192</v>
      </c>
      <c r="B61" s="21" t="s">
        <v>127</v>
      </c>
      <c r="C61" s="22" t="s">
        <v>258</v>
      </c>
      <c r="D61" s="23">
        <v>4.5</v>
      </c>
      <c r="E61" s="229">
        <f t="shared" ref="E61:E75" si="20">D61*$B$3</f>
        <v>360</v>
      </c>
      <c r="F61" s="229">
        <v>80</v>
      </c>
      <c r="G61" s="25">
        <f t="shared" si="5"/>
        <v>440</v>
      </c>
      <c r="H61" s="23">
        <v>5</v>
      </c>
      <c r="I61" s="229">
        <f t="shared" ref="I61:I75" si="21">H61*$B$3</f>
        <v>400</v>
      </c>
      <c r="J61" s="229">
        <v>80</v>
      </c>
      <c r="K61" s="229">
        <f>VLOOKUP(C61,'Datos Aceites'!$A$5:$U$203,20,FALSE)</f>
        <v>27.75</v>
      </c>
      <c r="L61" s="229">
        <f t="shared" si="11"/>
        <v>149.375</v>
      </c>
      <c r="M61" s="25">
        <f t="shared" ref="M61:M75" si="22">J61+(K61*2.5)+I61</f>
        <v>549.375</v>
      </c>
      <c r="N61" s="23"/>
      <c r="O61" s="24">
        <f t="shared" ref="O61:O66" si="23">N61*$B$3</f>
        <v>0</v>
      </c>
      <c r="P61" s="24">
        <v>80</v>
      </c>
      <c r="Q61" s="24"/>
      <c r="R61" s="23">
        <v>6.5</v>
      </c>
      <c r="S61" s="229">
        <f t="shared" ref="S61:S75" si="24">R61*$B$3</f>
        <v>520</v>
      </c>
      <c r="T61" s="229">
        <v>80</v>
      </c>
      <c r="U61" s="229">
        <f>VLOOKUP(C61,'Datos Aceites'!$A$5:$U$203,21,FALSE)</f>
        <v>237</v>
      </c>
      <c r="V61" s="229">
        <f t="shared" si="16"/>
        <v>554</v>
      </c>
      <c r="W61" s="36">
        <f t="shared" si="14"/>
        <v>1074</v>
      </c>
      <c r="X61" s="2"/>
      <c r="Y61" s="2"/>
    </row>
    <row r="62" spans="1:25" ht="20.100000000000001" customHeight="1" x14ac:dyDescent="0.2">
      <c r="A62" s="2" t="s">
        <v>192</v>
      </c>
      <c r="B62" s="30" t="s">
        <v>269</v>
      </c>
      <c r="C62" s="31" t="s">
        <v>270</v>
      </c>
      <c r="D62" s="23">
        <v>4.5</v>
      </c>
      <c r="E62" s="229">
        <f t="shared" si="20"/>
        <v>360</v>
      </c>
      <c r="F62" s="229">
        <v>80</v>
      </c>
      <c r="G62" s="32">
        <f t="shared" si="5"/>
        <v>440</v>
      </c>
      <c r="H62" s="23">
        <v>5</v>
      </c>
      <c r="I62" s="229">
        <f t="shared" si="21"/>
        <v>400</v>
      </c>
      <c r="J62" s="229">
        <v>80</v>
      </c>
      <c r="K62" s="229">
        <f>VLOOKUP(C62,'Datos Aceites'!$A$5:$U$203,20,FALSE)</f>
        <v>29.074999999999999</v>
      </c>
      <c r="L62" s="229">
        <f t="shared" si="11"/>
        <v>152.6875</v>
      </c>
      <c r="M62" s="32">
        <f t="shared" si="22"/>
        <v>552.6875</v>
      </c>
      <c r="N62" s="23"/>
      <c r="O62" s="24">
        <f t="shared" si="23"/>
        <v>0</v>
      </c>
      <c r="P62" s="24">
        <v>80</v>
      </c>
      <c r="Q62" s="24"/>
      <c r="R62" s="23">
        <v>6.5</v>
      </c>
      <c r="S62" s="229">
        <f t="shared" si="24"/>
        <v>520</v>
      </c>
      <c r="T62" s="229">
        <v>80</v>
      </c>
      <c r="U62" s="229">
        <f>VLOOKUP(C62,'Datos Aceites'!$A$5:$U$203,21,FALSE)</f>
        <v>282.42500000000001</v>
      </c>
      <c r="V62" s="229">
        <f t="shared" si="16"/>
        <v>644.85</v>
      </c>
      <c r="W62" s="35">
        <f t="shared" si="14"/>
        <v>1164.8499999999999</v>
      </c>
      <c r="X62" s="2"/>
      <c r="Y62" s="2"/>
    </row>
    <row r="63" spans="1:25" ht="20.100000000000001" customHeight="1" x14ac:dyDescent="0.2">
      <c r="A63" s="2" t="s">
        <v>192</v>
      </c>
      <c r="B63" s="42" t="s">
        <v>271</v>
      </c>
      <c r="C63" s="43" t="s">
        <v>272</v>
      </c>
      <c r="D63" s="23">
        <v>4.5</v>
      </c>
      <c r="E63" s="229">
        <f t="shared" si="20"/>
        <v>360</v>
      </c>
      <c r="F63" s="229">
        <v>80</v>
      </c>
      <c r="G63" s="25">
        <f t="shared" si="5"/>
        <v>440</v>
      </c>
      <c r="H63" s="23">
        <v>5</v>
      </c>
      <c r="I63" s="229">
        <f t="shared" si="21"/>
        <v>400</v>
      </c>
      <c r="J63" s="229">
        <v>80</v>
      </c>
      <c r="K63" s="229">
        <f>VLOOKUP(C63,'Datos Aceites'!$A$5:$U$203,20,FALSE)</f>
        <v>18.5</v>
      </c>
      <c r="L63" s="229">
        <f t="shared" si="11"/>
        <v>126.25</v>
      </c>
      <c r="M63" s="25">
        <f t="shared" si="22"/>
        <v>526.25</v>
      </c>
      <c r="N63" s="23"/>
      <c r="O63" s="24">
        <f t="shared" si="23"/>
        <v>0</v>
      </c>
      <c r="P63" s="24">
        <v>80</v>
      </c>
      <c r="Q63" s="24"/>
      <c r="R63" s="23">
        <v>6.5</v>
      </c>
      <c r="S63" s="229">
        <f t="shared" si="24"/>
        <v>520</v>
      </c>
      <c r="T63" s="229">
        <v>80</v>
      </c>
      <c r="U63" s="229">
        <f>VLOOKUP(C63,'Datos Aceites'!$A$5:$U$203,21,FALSE)</f>
        <v>161.75</v>
      </c>
      <c r="V63" s="229">
        <f>T63+(U63*2)</f>
        <v>403.5</v>
      </c>
      <c r="W63" s="36">
        <f t="shared" si="14"/>
        <v>923.5</v>
      </c>
      <c r="X63" s="2"/>
      <c r="Y63" s="2"/>
    </row>
    <row r="64" spans="1:25" ht="20.100000000000001" customHeight="1" x14ac:dyDescent="0.2">
      <c r="A64" s="2" t="s">
        <v>192</v>
      </c>
      <c r="B64" s="42" t="s">
        <v>273</v>
      </c>
      <c r="C64" s="43" t="s">
        <v>272</v>
      </c>
      <c r="D64" s="23">
        <v>4.5</v>
      </c>
      <c r="E64" s="229">
        <f t="shared" si="20"/>
        <v>360</v>
      </c>
      <c r="F64" s="229">
        <v>80</v>
      </c>
      <c r="G64" s="25">
        <f>E64+F64</f>
        <v>440</v>
      </c>
      <c r="H64" s="23">
        <v>5</v>
      </c>
      <c r="I64" s="229">
        <f t="shared" si="21"/>
        <v>400</v>
      </c>
      <c r="J64" s="229">
        <v>80</v>
      </c>
      <c r="K64" s="229">
        <f>VLOOKUP(C64,'Datos Aceites'!$A$5:$U$203,20,FALSE)</f>
        <v>18.5</v>
      </c>
      <c r="L64" s="229">
        <f>J64+(K64*2.5)</f>
        <v>126.25</v>
      </c>
      <c r="M64" s="25">
        <f t="shared" si="22"/>
        <v>526.25</v>
      </c>
      <c r="N64" s="23"/>
      <c r="O64" s="24">
        <f t="shared" si="23"/>
        <v>0</v>
      </c>
      <c r="P64" s="24">
        <v>80</v>
      </c>
      <c r="Q64" s="24"/>
      <c r="R64" s="23">
        <v>6.5</v>
      </c>
      <c r="S64" s="229">
        <f t="shared" si="24"/>
        <v>520</v>
      </c>
      <c r="T64" s="229">
        <v>80</v>
      </c>
      <c r="U64" s="229">
        <f>VLOOKUP(C64,'Datos Aceites'!$A$5:$U$203,21,FALSE)</f>
        <v>161.75</v>
      </c>
      <c r="V64" s="229">
        <f>T64+(U64*2)</f>
        <v>403.5</v>
      </c>
      <c r="W64" s="36">
        <f>T64+(U64*2)+S64</f>
        <v>923.5</v>
      </c>
      <c r="X64" s="2"/>
      <c r="Y64" s="2"/>
    </row>
    <row r="65" spans="1:25" ht="20.100000000000001" customHeight="1" x14ac:dyDescent="0.2">
      <c r="A65" s="2" t="s">
        <v>192</v>
      </c>
      <c r="B65" s="42" t="s">
        <v>274</v>
      </c>
      <c r="C65" s="43" t="s">
        <v>272</v>
      </c>
      <c r="D65" s="23">
        <v>4.5</v>
      </c>
      <c r="E65" s="229">
        <f t="shared" si="20"/>
        <v>360</v>
      </c>
      <c r="F65" s="229">
        <v>80</v>
      </c>
      <c r="G65" s="25">
        <f>E65+F65</f>
        <v>440</v>
      </c>
      <c r="H65" s="23">
        <v>5</v>
      </c>
      <c r="I65" s="229">
        <f t="shared" si="21"/>
        <v>400</v>
      </c>
      <c r="J65" s="229">
        <v>80</v>
      </c>
      <c r="K65" s="229">
        <f>VLOOKUP(C65,'Datos Aceites'!$A$5:$U$203,20,FALSE)</f>
        <v>18.5</v>
      </c>
      <c r="L65" s="229">
        <f>J65+(K65*2.5)</f>
        <v>126.25</v>
      </c>
      <c r="M65" s="25">
        <f t="shared" si="22"/>
        <v>526.25</v>
      </c>
      <c r="N65" s="23"/>
      <c r="O65" s="24">
        <f t="shared" si="23"/>
        <v>0</v>
      </c>
      <c r="P65" s="24">
        <v>80</v>
      </c>
      <c r="Q65" s="24"/>
      <c r="R65" s="23">
        <v>6.5</v>
      </c>
      <c r="S65" s="229">
        <f t="shared" si="24"/>
        <v>520</v>
      </c>
      <c r="T65" s="229">
        <v>80</v>
      </c>
      <c r="U65" s="229">
        <f>VLOOKUP(C65,'Datos Aceites'!$A$5:$U$203,21,FALSE)</f>
        <v>161.75</v>
      </c>
      <c r="V65" s="229">
        <f>T65+(U65*2)</f>
        <v>403.5</v>
      </c>
      <c r="W65" s="36">
        <f>T65+(U65*2)+S65</f>
        <v>923.5</v>
      </c>
      <c r="X65" s="2"/>
      <c r="Y65" s="2"/>
    </row>
    <row r="66" spans="1:25" ht="20.100000000000001" customHeight="1" x14ac:dyDescent="0.2">
      <c r="A66" s="2" t="s">
        <v>192</v>
      </c>
      <c r="B66" s="42" t="s">
        <v>275</v>
      </c>
      <c r="C66" s="43" t="s">
        <v>276</v>
      </c>
      <c r="D66" s="23">
        <v>4.5</v>
      </c>
      <c r="E66" s="229">
        <f t="shared" si="20"/>
        <v>360</v>
      </c>
      <c r="F66" s="229">
        <v>80</v>
      </c>
      <c r="G66" s="25">
        <f>E66+F66</f>
        <v>440</v>
      </c>
      <c r="H66" s="23">
        <v>5</v>
      </c>
      <c r="I66" s="229">
        <f t="shared" si="21"/>
        <v>400</v>
      </c>
      <c r="J66" s="229">
        <v>80</v>
      </c>
      <c r="K66" s="229">
        <f>VLOOKUP(C66,'Datos Aceites'!$A$5:$U$203,20,FALSE)</f>
        <v>13.75</v>
      </c>
      <c r="L66" s="229">
        <f>J66+(K66*2.5)</f>
        <v>114.375</v>
      </c>
      <c r="M66" s="25">
        <f t="shared" si="22"/>
        <v>514.375</v>
      </c>
      <c r="N66" s="23"/>
      <c r="O66" s="24">
        <f t="shared" si="23"/>
        <v>0</v>
      </c>
      <c r="P66" s="24">
        <v>80</v>
      </c>
      <c r="Q66" s="24"/>
      <c r="R66" s="23">
        <v>6.5</v>
      </c>
      <c r="S66" s="229">
        <f t="shared" si="24"/>
        <v>520</v>
      </c>
      <c r="T66" s="229">
        <v>80</v>
      </c>
      <c r="U66" s="229">
        <f>VLOOKUP(C66,'Datos Aceites'!$A$5:$U$203,21,FALSE)</f>
        <v>153.5</v>
      </c>
      <c r="V66" s="229">
        <f>T66+(U66*2)</f>
        <v>387</v>
      </c>
      <c r="W66" s="36">
        <f>T66+(U66*2)+S66</f>
        <v>907</v>
      </c>
      <c r="X66" s="2"/>
      <c r="Y66" s="2"/>
    </row>
    <row r="67" spans="1:25" ht="20.100000000000001" customHeight="1" x14ac:dyDescent="0.2">
      <c r="A67" s="2" t="s">
        <v>192</v>
      </c>
      <c r="B67" s="42" t="s">
        <v>277</v>
      </c>
      <c r="C67" s="43" t="s">
        <v>276</v>
      </c>
      <c r="D67" s="23">
        <v>4.5</v>
      </c>
      <c r="E67" s="229">
        <f t="shared" si="20"/>
        <v>360</v>
      </c>
      <c r="F67" s="229">
        <v>80</v>
      </c>
      <c r="G67" s="25">
        <f t="shared" si="5"/>
        <v>440</v>
      </c>
      <c r="H67" s="23">
        <v>5</v>
      </c>
      <c r="I67" s="229">
        <f t="shared" si="21"/>
        <v>400</v>
      </c>
      <c r="J67" s="229">
        <v>80</v>
      </c>
      <c r="K67" s="229">
        <f>VLOOKUP(C67,'Datos Aceites'!$A$5:$U$203,20,FALSE)</f>
        <v>13.75</v>
      </c>
      <c r="L67" s="229">
        <f t="shared" si="11"/>
        <v>114.375</v>
      </c>
      <c r="M67" s="25">
        <f t="shared" si="22"/>
        <v>514.375</v>
      </c>
      <c r="N67" s="23"/>
      <c r="O67" s="24"/>
      <c r="P67" s="24"/>
      <c r="Q67" s="24"/>
      <c r="R67" s="23">
        <v>6.5</v>
      </c>
      <c r="S67" s="229">
        <f t="shared" si="24"/>
        <v>520</v>
      </c>
      <c r="T67" s="229">
        <v>80</v>
      </c>
      <c r="U67" s="229">
        <f>VLOOKUP(C67,'Datos Aceites'!$A$5:$U$203,21,FALSE)</f>
        <v>153.5</v>
      </c>
      <c r="V67" s="229">
        <f t="shared" si="16"/>
        <v>387</v>
      </c>
      <c r="W67" s="36">
        <f t="shared" si="14"/>
        <v>907</v>
      </c>
      <c r="X67" s="2"/>
      <c r="Y67" s="2"/>
    </row>
    <row r="68" spans="1:25" ht="20.100000000000001" customHeight="1" x14ac:dyDescent="0.2">
      <c r="A68" s="2" t="s">
        <v>192</v>
      </c>
      <c r="B68" s="42" t="s">
        <v>278</v>
      </c>
      <c r="C68" s="43" t="s">
        <v>272</v>
      </c>
      <c r="D68" s="23">
        <v>4.5</v>
      </c>
      <c r="E68" s="229">
        <f t="shared" si="20"/>
        <v>360</v>
      </c>
      <c r="F68" s="229">
        <v>80</v>
      </c>
      <c r="G68" s="25">
        <f>E68+F68</f>
        <v>440</v>
      </c>
      <c r="H68" s="23">
        <v>5</v>
      </c>
      <c r="I68" s="229">
        <f t="shared" si="21"/>
        <v>400</v>
      </c>
      <c r="J68" s="229">
        <v>80</v>
      </c>
      <c r="K68" s="229">
        <f>VLOOKUP(C68,'Datos Aceites'!$A$5:$U$203,20,FALSE)</f>
        <v>18.5</v>
      </c>
      <c r="L68" s="229">
        <f>J68+(K68*2.5)</f>
        <v>126.25</v>
      </c>
      <c r="M68" s="25">
        <f t="shared" si="22"/>
        <v>526.25</v>
      </c>
      <c r="N68" s="23"/>
      <c r="O68" s="24"/>
      <c r="P68" s="24"/>
      <c r="Q68" s="24"/>
      <c r="R68" s="23">
        <v>6.5</v>
      </c>
      <c r="S68" s="229">
        <f t="shared" si="24"/>
        <v>520</v>
      </c>
      <c r="T68" s="229">
        <v>80</v>
      </c>
      <c r="U68" s="229">
        <f>VLOOKUP(C68,'Datos Aceites'!$A$5:$U$203,21,FALSE)</f>
        <v>161.75</v>
      </c>
      <c r="V68" s="229">
        <f>T68+(U68*2)</f>
        <v>403.5</v>
      </c>
      <c r="W68" s="36">
        <f>T68+(U68*2)+S68</f>
        <v>923.5</v>
      </c>
      <c r="X68" s="2"/>
      <c r="Y68" s="2"/>
    </row>
    <row r="69" spans="1:25" ht="20.100000000000001" customHeight="1" x14ac:dyDescent="0.2">
      <c r="A69" s="2" t="s">
        <v>192</v>
      </c>
      <c r="B69" s="42" t="s">
        <v>279</v>
      </c>
      <c r="C69" s="43" t="s">
        <v>280</v>
      </c>
      <c r="D69" s="23">
        <v>4.5</v>
      </c>
      <c r="E69" s="229">
        <f t="shared" si="20"/>
        <v>360</v>
      </c>
      <c r="F69" s="229">
        <v>80</v>
      </c>
      <c r="G69" s="25">
        <f t="shared" si="5"/>
        <v>440</v>
      </c>
      <c r="H69" s="23">
        <v>5</v>
      </c>
      <c r="I69" s="229">
        <f t="shared" si="21"/>
        <v>400</v>
      </c>
      <c r="J69" s="229">
        <v>80</v>
      </c>
      <c r="K69" s="229">
        <f>VLOOKUP(C69,'Datos Aceites'!$A$5:$U$203,20,FALSE)</f>
        <v>24.5</v>
      </c>
      <c r="L69" s="229">
        <f t="shared" si="11"/>
        <v>141.25</v>
      </c>
      <c r="M69" s="25">
        <f t="shared" si="22"/>
        <v>541.25</v>
      </c>
      <c r="N69" s="23"/>
      <c r="O69" s="24"/>
      <c r="P69" s="24"/>
      <c r="Q69" s="24"/>
      <c r="R69" s="23">
        <v>6.5</v>
      </c>
      <c r="S69" s="229">
        <f t="shared" si="24"/>
        <v>520</v>
      </c>
      <c r="T69" s="229">
        <v>80</v>
      </c>
      <c r="U69" s="229">
        <f>VLOOKUP(C69,'Datos Aceites'!$A$5:$U$203,21,FALSE)</f>
        <v>224.5</v>
      </c>
      <c r="V69" s="229">
        <f t="shared" si="16"/>
        <v>529</v>
      </c>
      <c r="W69" s="36">
        <f t="shared" si="14"/>
        <v>1049</v>
      </c>
      <c r="X69" s="2"/>
      <c r="Y69" s="2"/>
    </row>
    <row r="70" spans="1:25" ht="20.100000000000001" customHeight="1" x14ac:dyDescent="0.2">
      <c r="A70" s="2" t="s">
        <v>192</v>
      </c>
      <c r="B70" s="42" t="s">
        <v>281</v>
      </c>
      <c r="C70" s="43" t="s">
        <v>280</v>
      </c>
      <c r="D70" s="23">
        <v>4.5</v>
      </c>
      <c r="E70" s="229">
        <f t="shared" si="20"/>
        <v>360</v>
      </c>
      <c r="F70" s="229">
        <v>80</v>
      </c>
      <c r="G70" s="25">
        <f>E70+F70</f>
        <v>440</v>
      </c>
      <c r="H70" s="23">
        <v>5</v>
      </c>
      <c r="I70" s="229">
        <f t="shared" si="21"/>
        <v>400</v>
      </c>
      <c r="J70" s="229">
        <v>80</v>
      </c>
      <c r="K70" s="229">
        <f>VLOOKUP(C70,'Datos Aceites'!$A$5:$U$203,20,FALSE)</f>
        <v>24.5</v>
      </c>
      <c r="L70" s="229">
        <f>J70+(K70*2.5)</f>
        <v>141.25</v>
      </c>
      <c r="M70" s="25">
        <f t="shared" si="22"/>
        <v>541.25</v>
      </c>
      <c r="N70" s="23"/>
      <c r="O70" s="24"/>
      <c r="P70" s="24"/>
      <c r="Q70" s="24"/>
      <c r="R70" s="23">
        <v>6.5</v>
      </c>
      <c r="S70" s="229">
        <f t="shared" si="24"/>
        <v>520</v>
      </c>
      <c r="T70" s="229">
        <v>80</v>
      </c>
      <c r="U70" s="229">
        <f>VLOOKUP(C70,'Datos Aceites'!$A$5:$U$203,21,FALSE)</f>
        <v>224.5</v>
      </c>
      <c r="V70" s="229">
        <f>T70+(U70*2)</f>
        <v>529</v>
      </c>
      <c r="W70" s="36">
        <f>T70+(U70*2)+S70</f>
        <v>1049</v>
      </c>
      <c r="X70" s="2"/>
      <c r="Y70" s="2"/>
    </row>
    <row r="71" spans="1:25" ht="20.100000000000001" customHeight="1" x14ac:dyDescent="0.2">
      <c r="A71" s="2" t="s">
        <v>197</v>
      </c>
      <c r="B71" s="38" t="s">
        <v>282</v>
      </c>
      <c r="C71" s="39" t="s">
        <v>283</v>
      </c>
      <c r="D71" s="23">
        <v>6</v>
      </c>
      <c r="E71" s="229">
        <f t="shared" si="20"/>
        <v>480</v>
      </c>
      <c r="F71" s="229">
        <v>80</v>
      </c>
      <c r="G71" s="32">
        <f t="shared" si="5"/>
        <v>560</v>
      </c>
      <c r="H71" s="23">
        <v>6.5</v>
      </c>
      <c r="I71" s="229">
        <f t="shared" si="21"/>
        <v>520</v>
      </c>
      <c r="J71" s="229">
        <v>80</v>
      </c>
      <c r="K71" s="229">
        <f>VLOOKUP(C71,'Datos Aceites'!$A$5:$U$203,20,FALSE)</f>
        <v>29.175000000000001</v>
      </c>
      <c r="L71" s="229">
        <f t="shared" si="11"/>
        <v>152.9375</v>
      </c>
      <c r="M71" s="32">
        <f t="shared" si="22"/>
        <v>672.9375</v>
      </c>
      <c r="N71" s="23"/>
      <c r="O71" s="24">
        <f>N71*$B$3</f>
        <v>0</v>
      </c>
      <c r="P71" s="24">
        <v>80</v>
      </c>
      <c r="Q71" s="24"/>
      <c r="R71" s="23">
        <v>8</v>
      </c>
      <c r="S71" s="229">
        <f t="shared" si="24"/>
        <v>640</v>
      </c>
      <c r="T71" s="229">
        <v>80</v>
      </c>
      <c r="U71" s="229">
        <f>VLOOKUP(C71,'Datos Aceites'!$A$5:$U$203,21,FALSE)</f>
        <v>195.22499999999999</v>
      </c>
      <c r="V71" s="229">
        <f t="shared" si="16"/>
        <v>470.45</v>
      </c>
      <c r="W71" s="35">
        <f t="shared" si="14"/>
        <v>1110.45</v>
      </c>
      <c r="X71" s="2"/>
      <c r="Y71" s="2"/>
    </row>
    <row r="72" spans="1:25" ht="20.100000000000001" customHeight="1" x14ac:dyDescent="0.2">
      <c r="A72" s="2" t="s">
        <v>192</v>
      </c>
      <c r="B72" s="38" t="s">
        <v>284</v>
      </c>
      <c r="C72" s="39" t="s">
        <v>283</v>
      </c>
      <c r="D72" s="23">
        <v>5.5</v>
      </c>
      <c r="E72" s="229">
        <f t="shared" si="20"/>
        <v>440</v>
      </c>
      <c r="F72" s="229">
        <v>80</v>
      </c>
      <c r="G72" s="32">
        <f t="shared" si="5"/>
        <v>520</v>
      </c>
      <c r="H72" s="23">
        <v>7</v>
      </c>
      <c r="I72" s="229">
        <f t="shared" si="21"/>
        <v>560</v>
      </c>
      <c r="J72" s="229">
        <v>80</v>
      </c>
      <c r="K72" s="229">
        <f>VLOOKUP(C72,'Datos Aceites'!$A$5:$U$203,20,FALSE)</f>
        <v>29.175000000000001</v>
      </c>
      <c r="L72" s="229">
        <f t="shared" si="11"/>
        <v>152.9375</v>
      </c>
      <c r="M72" s="32">
        <f t="shared" si="22"/>
        <v>712.9375</v>
      </c>
      <c r="N72" s="23">
        <v>6</v>
      </c>
      <c r="O72" s="24">
        <f>N72*$B$3</f>
        <v>480</v>
      </c>
      <c r="P72" s="24">
        <v>80</v>
      </c>
      <c r="Q72" s="24"/>
      <c r="R72" s="23">
        <v>7.5</v>
      </c>
      <c r="S72" s="229">
        <f t="shared" si="24"/>
        <v>600</v>
      </c>
      <c r="T72" s="229">
        <v>80</v>
      </c>
      <c r="U72" s="229">
        <f>VLOOKUP(C72,'Datos Aceites'!$A$5:$U$203,21,FALSE)</f>
        <v>195.22499999999999</v>
      </c>
      <c r="V72" s="229">
        <f t="shared" si="16"/>
        <v>470.45</v>
      </c>
      <c r="W72" s="35">
        <f t="shared" si="14"/>
        <v>1070.45</v>
      </c>
      <c r="X72" s="2"/>
      <c r="Y72" s="2"/>
    </row>
    <row r="73" spans="1:25" ht="20.100000000000001" customHeight="1" x14ac:dyDescent="0.2">
      <c r="A73" s="2" t="s">
        <v>197</v>
      </c>
      <c r="B73" s="38" t="s">
        <v>285</v>
      </c>
      <c r="C73" s="39" t="s">
        <v>286</v>
      </c>
      <c r="D73" s="23">
        <v>6</v>
      </c>
      <c r="E73" s="229">
        <f t="shared" si="20"/>
        <v>480</v>
      </c>
      <c r="F73" s="229">
        <v>80</v>
      </c>
      <c r="G73" s="32">
        <f t="shared" si="5"/>
        <v>560</v>
      </c>
      <c r="H73" s="23">
        <v>7.5</v>
      </c>
      <c r="I73" s="229">
        <f t="shared" si="21"/>
        <v>600</v>
      </c>
      <c r="J73" s="229">
        <v>80</v>
      </c>
      <c r="K73" s="229">
        <f>VLOOKUP(C73,'Datos Aceites'!$A$5:$U$203,20,FALSE)</f>
        <v>30.925000000000001</v>
      </c>
      <c r="L73" s="229">
        <f t="shared" si="11"/>
        <v>157.3125</v>
      </c>
      <c r="M73" s="32">
        <f t="shared" si="22"/>
        <v>757.3125</v>
      </c>
      <c r="N73" s="23"/>
      <c r="O73" s="24">
        <f>N73*$B$3</f>
        <v>0</v>
      </c>
      <c r="P73" s="24">
        <v>80</v>
      </c>
      <c r="Q73" s="24"/>
      <c r="R73" s="23">
        <v>9</v>
      </c>
      <c r="S73" s="229">
        <f t="shared" si="24"/>
        <v>720</v>
      </c>
      <c r="T73" s="229">
        <v>80</v>
      </c>
      <c r="U73" s="229">
        <f>VLOOKUP(C73,'Datos Aceites'!$A$5:$U$203,21,FALSE)</f>
        <v>261.55</v>
      </c>
      <c r="V73" s="229">
        <f t="shared" si="16"/>
        <v>603.1</v>
      </c>
      <c r="W73" s="35">
        <f t="shared" si="14"/>
        <v>1323.1</v>
      </c>
      <c r="X73" s="2"/>
      <c r="Y73" s="2"/>
    </row>
    <row r="74" spans="1:25" ht="20.100000000000001" customHeight="1" x14ac:dyDescent="0.2">
      <c r="A74" s="2" t="s">
        <v>192</v>
      </c>
      <c r="B74" s="38" t="s">
        <v>287</v>
      </c>
      <c r="C74" s="39" t="s">
        <v>286</v>
      </c>
      <c r="D74" s="23">
        <v>5.5</v>
      </c>
      <c r="E74" s="229">
        <f t="shared" si="20"/>
        <v>440</v>
      </c>
      <c r="F74" s="229">
        <v>80</v>
      </c>
      <c r="G74" s="32">
        <f t="shared" si="5"/>
        <v>520</v>
      </c>
      <c r="H74" s="23">
        <v>7</v>
      </c>
      <c r="I74" s="229">
        <f t="shared" si="21"/>
        <v>560</v>
      </c>
      <c r="J74" s="229">
        <v>80</v>
      </c>
      <c r="K74" s="229">
        <f>VLOOKUP(C74,'Datos Aceites'!$A$5:$U$203,20,FALSE)</f>
        <v>30.925000000000001</v>
      </c>
      <c r="L74" s="229">
        <f t="shared" si="11"/>
        <v>157.3125</v>
      </c>
      <c r="M74" s="32">
        <f t="shared" si="22"/>
        <v>717.3125</v>
      </c>
      <c r="N74" s="23">
        <v>6</v>
      </c>
      <c r="O74" s="24">
        <f>N74*$B$3</f>
        <v>480</v>
      </c>
      <c r="P74" s="24">
        <v>80</v>
      </c>
      <c r="Q74" s="24"/>
      <c r="R74" s="23">
        <v>8.5</v>
      </c>
      <c r="S74" s="229">
        <f t="shared" si="24"/>
        <v>680</v>
      </c>
      <c r="T74" s="229">
        <v>80</v>
      </c>
      <c r="U74" s="229">
        <f>VLOOKUP(C74,'Datos Aceites'!$A$5:$U$203,21,FALSE)</f>
        <v>261.55</v>
      </c>
      <c r="V74" s="229">
        <f t="shared" si="16"/>
        <v>603.1</v>
      </c>
      <c r="W74" s="35">
        <f t="shared" si="14"/>
        <v>1283.0999999999999</v>
      </c>
      <c r="X74" s="2"/>
      <c r="Y74" s="2"/>
    </row>
    <row r="75" spans="1:25" ht="20.100000000000001" customHeight="1" x14ac:dyDescent="0.2">
      <c r="B75" s="42" t="s">
        <v>288</v>
      </c>
      <c r="C75" s="43" t="s">
        <v>288</v>
      </c>
      <c r="D75" s="23">
        <v>6</v>
      </c>
      <c r="E75" s="229">
        <f t="shared" si="20"/>
        <v>480</v>
      </c>
      <c r="F75" s="229">
        <v>80</v>
      </c>
      <c r="G75" s="25">
        <f>E75+F75</f>
        <v>560</v>
      </c>
      <c r="H75" s="23">
        <v>7.5</v>
      </c>
      <c r="I75" s="229">
        <f t="shared" si="21"/>
        <v>600</v>
      </c>
      <c r="J75" s="229">
        <v>80</v>
      </c>
      <c r="K75" s="229">
        <f>VLOOKUP(C75,'Datos Aceites'!$A$5:$U$203,20,FALSE)</f>
        <v>110.02499999999999</v>
      </c>
      <c r="L75" s="229">
        <f>J75+(K75*2.5)</f>
        <v>355.0625</v>
      </c>
      <c r="M75" s="25">
        <f t="shared" si="22"/>
        <v>955.0625</v>
      </c>
      <c r="N75" s="23"/>
      <c r="O75" s="24"/>
      <c r="P75" s="24"/>
      <c r="Q75" s="24"/>
      <c r="R75" s="23">
        <v>9</v>
      </c>
      <c r="S75" s="229">
        <f t="shared" si="24"/>
        <v>720</v>
      </c>
      <c r="T75" s="229">
        <v>80</v>
      </c>
      <c r="U75" s="229">
        <f>VLOOKUP(C75,'Datos Aceites'!$A$5:$U$203,21,FALSE)</f>
        <v>343.15</v>
      </c>
      <c r="V75" s="229">
        <f>T75+(U75*2)</f>
        <v>766.3</v>
      </c>
      <c r="W75" s="36">
        <f>T75+(U75*2)+S75</f>
        <v>1486.3</v>
      </c>
      <c r="X75" s="2"/>
      <c r="Y75" s="2"/>
    </row>
    <row r="76" spans="1:25" ht="20.100000000000001" customHeight="1" x14ac:dyDescent="0.2">
      <c r="B76" s="42" t="s">
        <v>289</v>
      </c>
      <c r="C76" s="43" t="s">
        <v>290</v>
      </c>
      <c r="D76" s="23">
        <v>6</v>
      </c>
      <c r="E76" s="229">
        <f>D76*$B$3</f>
        <v>480</v>
      </c>
      <c r="F76" s="229">
        <v>80</v>
      </c>
      <c r="G76" s="25">
        <f>E76+F76</f>
        <v>560</v>
      </c>
      <c r="H76" s="23">
        <v>7.5</v>
      </c>
      <c r="I76" s="229">
        <f>H76*$B$3</f>
        <v>600</v>
      </c>
      <c r="J76" s="229">
        <v>80</v>
      </c>
      <c r="K76" s="229">
        <f>VLOOKUP(C76,'Datos Aceites'!$A$5:$U$203,20,FALSE)</f>
        <v>60</v>
      </c>
      <c r="L76" s="229">
        <f>J76+(K76*2.5)</f>
        <v>230</v>
      </c>
      <c r="M76" s="25">
        <f>J76+(K76*2.5)+I76</f>
        <v>830</v>
      </c>
      <c r="N76" s="23"/>
      <c r="O76" s="24"/>
      <c r="P76" s="24"/>
      <c r="Q76" s="24"/>
      <c r="R76" s="23">
        <v>9</v>
      </c>
      <c r="S76" s="229">
        <f t="shared" ref="S76:S84" si="25">R76*$B$3</f>
        <v>720</v>
      </c>
      <c r="T76" s="229">
        <v>80</v>
      </c>
      <c r="U76" s="229">
        <f>VLOOKUP(C76,'Datos Aceites'!$A$5:$U$203,21,FALSE)</f>
        <v>148.89999999999998</v>
      </c>
      <c r="V76" s="229">
        <f>T76+(U76*2)</f>
        <v>377.79999999999995</v>
      </c>
      <c r="W76" s="36">
        <f>T76+(U76*2)+S76</f>
        <v>1097.8</v>
      </c>
      <c r="X76" s="2"/>
      <c r="Y76" s="2"/>
    </row>
    <row r="77" spans="1:25" ht="20.100000000000001" customHeight="1" x14ac:dyDescent="0.2">
      <c r="B77" s="42" t="s">
        <v>291</v>
      </c>
      <c r="C77" s="43" t="s">
        <v>292</v>
      </c>
      <c r="D77" s="23">
        <v>6</v>
      </c>
      <c r="E77" s="229">
        <f>D77*$B$3</f>
        <v>480</v>
      </c>
      <c r="F77" s="229">
        <v>80</v>
      </c>
      <c r="G77" s="25">
        <f>E77+F77</f>
        <v>560</v>
      </c>
      <c r="H77" s="23">
        <v>7.5</v>
      </c>
      <c r="I77" s="229">
        <f>H77*$B$3</f>
        <v>600</v>
      </c>
      <c r="J77" s="229">
        <v>80</v>
      </c>
      <c r="K77" s="229">
        <f>VLOOKUP(C77,'Datos Aceites'!$A$5:$U$203,20,FALSE)</f>
        <v>0</v>
      </c>
      <c r="L77" s="229">
        <f>J77+(K77*2.5)</f>
        <v>80</v>
      </c>
      <c r="M77" s="25">
        <f>J77+(K77*2.5)+I77</f>
        <v>680</v>
      </c>
      <c r="N77" s="23"/>
      <c r="O77" s="24"/>
      <c r="P77" s="24"/>
      <c r="Q77" s="24"/>
      <c r="R77" s="23">
        <v>9</v>
      </c>
      <c r="S77" s="229">
        <f t="shared" si="25"/>
        <v>720</v>
      </c>
      <c r="T77" s="229">
        <v>80</v>
      </c>
      <c r="U77" s="229">
        <f>VLOOKUP(C77,'Datos Aceites'!$A$5:$U$203,21,FALSE)</f>
        <v>0</v>
      </c>
      <c r="V77" s="229">
        <f t="shared" ref="V77:V84" si="26">T77+(U77*2)</f>
        <v>80</v>
      </c>
      <c r="W77" s="36">
        <f>T77+(U77*2)+S77</f>
        <v>800</v>
      </c>
      <c r="X77" s="2"/>
      <c r="Y77" s="2"/>
    </row>
    <row r="78" spans="1:25" ht="20.100000000000001" customHeight="1" x14ac:dyDescent="0.2">
      <c r="B78" s="42" t="s">
        <v>658</v>
      </c>
      <c r="C78" s="42" t="s">
        <v>658</v>
      </c>
      <c r="D78" s="23">
        <v>2.5</v>
      </c>
      <c r="E78" s="229">
        <f t="shared" ref="E78:E84" si="27">D78*$B$3</f>
        <v>200</v>
      </c>
      <c r="F78" s="229">
        <v>80</v>
      </c>
      <c r="G78" s="25">
        <f t="shared" ref="G78:G84" si="28">E78+F78</f>
        <v>280</v>
      </c>
      <c r="H78" s="23">
        <v>4</v>
      </c>
      <c r="I78" s="229">
        <f t="shared" ref="I78:I84" si="29">H78*$B$3</f>
        <v>320</v>
      </c>
      <c r="J78" s="229">
        <v>80</v>
      </c>
      <c r="K78" s="229">
        <f>VLOOKUP(C78,'Datos Aceites'!$A$5:$U$203,20,FALSE)</f>
        <v>11.41728</v>
      </c>
      <c r="L78" s="229">
        <f t="shared" ref="L78:L84" si="30">J78+(K78*2.5)</f>
        <v>108.5432</v>
      </c>
      <c r="M78" s="25">
        <f t="shared" ref="M78:M84" si="31">J78+(K78*2.5)+I78</f>
        <v>428.54320000000001</v>
      </c>
      <c r="N78" s="23"/>
      <c r="O78" s="24"/>
      <c r="P78" s="24"/>
      <c r="Q78" s="24"/>
      <c r="R78" s="23">
        <v>8</v>
      </c>
      <c r="S78" s="229">
        <f t="shared" si="25"/>
        <v>640</v>
      </c>
      <c r="T78" s="229">
        <v>80</v>
      </c>
      <c r="U78" s="229">
        <f>VLOOKUP(C78,'Datos Aceites'!$A$5:$U$203,21,FALSE)</f>
        <v>44.177280000000003</v>
      </c>
      <c r="V78" s="229">
        <f t="shared" si="26"/>
        <v>168.35455999999999</v>
      </c>
      <c r="W78" s="36">
        <f>T78+(U78*2)+S78</f>
        <v>808.35455999999999</v>
      </c>
      <c r="X78" s="2"/>
      <c r="Y78" s="2"/>
    </row>
    <row r="79" spans="1:25" ht="20.100000000000001" customHeight="1" x14ac:dyDescent="0.2">
      <c r="B79" s="42" t="s">
        <v>652</v>
      </c>
      <c r="C79" s="42" t="s">
        <v>652</v>
      </c>
      <c r="D79" s="23">
        <v>2.5</v>
      </c>
      <c r="E79" s="229">
        <f t="shared" si="27"/>
        <v>200</v>
      </c>
      <c r="F79" s="229">
        <v>80</v>
      </c>
      <c r="G79" s="25">
        <f t="shared" si="28"/>
        <v>280</v>
      </c>
      <c r="H79" s="23">
        <v>4</v>
      </c>
      <c r="I79" s="229">
        <f t="shared" si="29"/>
        <v>320</v>
      </c>
      <c r="J79" s="229">
        <v>80</v>
      </c>
      <c r="K79" s="229">
        <f>VLOOKUP(C79,'Datos Aceites'!$A$5:$U$203,20,FALSE)</f>
        <v>27.377280000000003</v>
      </c>
      <c r="L79" s="229">
        <f t="shared" si="30"/>
        <v>148.44319999999999</v>
      </c>
      <c r="M79" s="25">
        <f t="shared" si="31"/>
        <v>468.44319999999999</v>
      </c>
      <c r="N79" s="23"/>
      <c r="O79" s="24"/>
      <c r="P79" s="24"/>
      <c r="Q79" s="24"/>
      <c r="R79" s="23">
        <v>9</v>
      </c>
      <c r="S79" s="229">
        <f t="shared" si="25"/>
        <v>720</v>
      </c>
      <c r="T79" s="229">
        <v>80</v>
      </c>
      <c r="U79" s="229">
        <f>VLOOKUP(C79,'Datos Aceites'!$A$5:$U$203,21,FALSE)</f>
        <v>123.97727999999999</v>
      </c>
      <c r="V79" s="229">
        <f t="shared" si="26"/>
        <v>327.95456000000001</v>
      </c>
      <c r="W79" s="36">
        <f t="shared" ref="W79:W84" si="32">T79+(U79*2)+S79</f>
        <v>1047.9545600000001</v>
      </c>
      <c r="X79" s="2"/>
      <c r="Y79" s="2"/>
    </row>
    <row r="80" spans="1:25" ht="20.100000000000001" customHeight="1" x14ac:dyDescent="0.2">
      <c r="B80" s="42" t="s">
        <v>653</v>
      </c>
      <c r="C80" s="42" t="s">
        <v>653</v>
      </c>
      <c r="D80" s="23">
        <v>2.5</v>
      </c>
      <c r="E80" s="229">
        <f t="shared" si="27"/>
        <v>200</v>
      </c>
      <c r="F80" s="229">
        <v>80</v>
      </c>
      <c r="G80" s="25">
        <f t="shared" si="28"/>
        <v>280</v>
      </c>
      <c r="H80" s="23">
        <v>4</v>
      </c>
      <c r="I80" s="229">
        <f t="shared" si="29"/>
        <v>320</v>
      </c>
      <c r="J80" s="229">
        <v>80</v>
      </c>
      <c r="K80" s="229">
        <f>VLOOKUP(C80,'Datos Aceites'!$A$5:$U$203,20,FALSE)</f>
        <v>27.377280000000003</v>
      </c>
      <c r="L80" s="229">
        <f t="shared" si="30"/>
        <v>148.44319999999999</v>
      </c>
      <c r="M80" s="25">
        <f t="shared" si="31"/>
        <v>468.44319999999999</v>
      </c>
      <c r="N80" s="23"/>
      <c r="O80" s="24"/>
      <c r="P80" s="24"/>
      <c r="Q80" s="24"/>
      <c r="R80" s="23">
        <v>9</v>
      </c>
      <c r="S80" s="229">
        <f t="shared" si="25"/>
        <v>720</v>
      </c>
      <c r="T80" s="229">
        <v>80</v>
      </c>
      <c r="U80" s="229">
        <f>VLOOKUP(C80,'Datos Aceites'!$A$5:$U$203,21,FALSE)</f>
        <v>123.97727999999999</v>
      </c>
      <c r="V80" s="229">
        <f t="shared" si="26"/>
        <v>327.95456000000001</v>
      </c>
      <c r="W80" s="36">
        <f t="shared" si="32"/>
        <v>1047.9545600000001</v>
      </c>
      <c r="X80" s="2"/>
      <c r="Y80" s="2"/>
    </row>
    <row r="81" spans="1:25" ht="20.100000000000001" customHeight="1" x14ac:dyDescent="0.2">
      <c r="B81" s="42" t="s">
        <v>654</v>
      </c>
      <c r="C81" s="42" t="s">
        <v>654</v>
      </c>
      <c r="D81" s="23">
        <v>2.5</v>
      </c>
      <c r="E81" s="229">
        <f t="shared" si="27"/>
        <v>200</v>
      </c>
      <c r="F81" s="229">
        <v>80</v>
      </c>
      <c r="G81" s="25">
        <f t="shared" si="28"/>
        <v>280</v>
      </c>
      <c r="H81" s="23">
        <v>4</v>
      </c>
      <c r="I81" s="229">
        <f t="shared" si="29"/>
        <v>320</v>
      </c>
      <c r="J81" s="229">
        <v>80</v>
      </c>
      <c r="K81" s="229">
        <f>VLOOKUP(C81,'Datos Aceites'!$A$5:$U$203,20,FALSE)</f>
        <v>37.877280000000006</v>
      </c>
      <c r="L81" s="229">
        <f t="shared" si="30"/>
        <v>174.69320000000002</v>
      </c>
      <c r="M81" s="25">
        <f t="shared" si="31"/>
        <v>494.69320000000005</v>
      </c>
      <c r="N81" s="23"/>
      <c r="O81" s="24"/>
      <c r="P81" s="24"/>
      <c r="Q81" s="24"/>
      <c r="R81" s="23">
        <v>9</v>
      </c>
      <c r="S81" s="229">
        <f t="shared" si="25"/>
        <v>720</v>
      </c>
      <c r="T81" s="229">
        <v>80</v>
      </c>
      <c r="U81" s="229">
        <f>VLOOKUP(C81,'Datos Aceites'!$A$5:$U$203,21,FALSE)</f>
        <v>176.47728000000001</v>
      </c>
      <c r="V81" s="229">
        <f t="shared" si="26"/>
        <v>432.95456000000001</v>
      </c>
      <c r="W81" s="36">
        <f t="shared" si="32"/>
        <v>1152.9545600000001</v>
      </c>
      <c r="X81" s="2"/>
      <c r="Y81" s="2"/>
    </row>
    <row r="82" spans="1:25" ht="20.100000000000001" customHeight="1" x14ac:dyDescent="0.2">
      <c r="B82" s="42" t="s">
        <v>655</v>
      </c>
      <c r="C82" s="42" t="s">
        <v>655</v>
      </c>
      <c r="D82" s="23">
        <v>2.5</v>
      </c>
      <c r="E82" s="229">
        <f t="shared" si="27"/>
        <v>200</v>
      </c>
      <c r="F82" s="229">
        <v>80</v>
      </c>
      <c r="G82" s="25">
        <f t="shared" si="28"/>
        <v>280</v>
      </c>
      <c r="H82" s="23">
        <v>4</v>
      </c>
      <c r="I82" s="229">
        <f t="shared" si="29"/>
        <v>320</v>
      </c>
      <c r="J82" s="229">
        <v>80</v>
      </c>
      <c r="K82" s="229">
        <f>VLOOKUP(C82,'Datos Aceites'!$A$5:$U$203,20,FALSE)</f>
        <v>125.02728000000002</v>
      </c>
      <c r="L82" s="229">
        <f t="shared" si="30"/>
        <v>392.56820000000005</v>
      </c>
      <c r="M82" s="25">
        <f t="shared" si="31"/>
        <v>712.56820000000005</v>
      </c>
      <c r="N82" s="23"/>
      <c r="O82" s="24"/>
      <c r="P82" s="24"/>
      <c r="Q82" s="24"/>
      <c r="R82" s="23">
        <v>10</v>
      </c>
      <c r="S82" s="229">
        <f t="shared" si="25"/>
        <v>800</v>
      </c>
      <c r="T82" s="229">
        <v>80</v>
      </c>
      <c r="U82" s="229">
        <f>VLOOKUP(C82,'Datos Aceites'!$A$5:$U$203,21,FALSE)</f>
        <v>612.22727999999995</v>
      </c>
      <c r="V82" s="229">
        <f t="shared" si="26"/>
        <v>1304.4545599999999</v>
      </c>
      <c r="W82" s="36">
        <f t="shared" si="32"/>
        <v>2104.4545600000001</v>
      </c>
      <c r="X82" s="2"/>
      <c r="Y82" s="2"/>
    </row>
    <row r="83" spans="1:25" ht="20.100000000000001" customHeight="1" x14ac:dyDescent="0.2">
      <c r="B83" s="42" t="s">
        <v>656</v>
      </c>
      <c r="C83" s="42" t="s">
        <v>656</v>
      </c>
      <c r="D83" s="23">
        <v>2.5</v>
      </c>
      <c r="E83" s="229">
        <f t="shared" si="27"/>
        <v>200</v>
      </c>
      <c r="F83" s="229">
        <v>80</v>
      </c>
      <c r="G83" s="25">
        <f t="shared" si="28"/>
        <v>280</v>
      </c>
      <c r="H83" s="23">
        <v>4</v>
      </c>
      <c r="I83" s="229">
        <f t="shared" si="29"/>
        <v>320</v>
      </c>
      <c r="J83" s="229">
        <v>80</v>
      </c>
      <c r="K83" s="229">
        <f>VLOOKUP(C83,'Datos Aceites'!$A$5:$U$203,20,FALSE)</f>
        <v>8.8972800000000003</v>
      </c>
      <c r="L83" s="229">
        <f t="shared" si="30"/>
        <v>102.2432</v>
      </c>
      <c r="M83" s="25">
        <f t="shared" si="31"/>
        <v>422.2432</v>
      </c>
      <c r="N83" s="23"/>
      <c r="O83" s="24"/>
      <c r="P83" s="24"/>
      <c r="Q83" s="24"/>
      <c r="R83" s="23">
        <v>8</v>
      </c>
      <c r="S83" s="229">
        <f t="shared" si="25"/>
        <v>640</v>
      </c>
      <c r="T83" s="229">
        <v>80</v>
      </c>
      <c r="U83" s="229">
        <f>VLOOKUP(C83,'Datos Aceites'!$A$5:$U$203,21,FALSE)</f>
        <v>104.47727999999999</v>
      </c>
      <c r="V83" s="229">
        <f t="shared" si="26"/>
        <v>288.95456000000001</v>
      </c>
      <c r="W83" s="36">
        <f t="shared" si="32"/>
        <v>928.95456000000001</v>
      </c>
      <c r="X83" s="2"/>
      <c r="Y83" s="2"/>
    </row>
    <row r="84" spans="1:25" ht="20.100000000000001" customHeight="1" x14ac:dyDescent="0.2">
      <c r="B84" s="42" t="s">
        <v>657</v>
      </c>
      <c r="C84" s="42" t="s">
        <v>657</v>
      </c>
      <c r="D84" s="23">
        <v>2.5</v>
      </c>
      <c r="E84" s="229">
        <f t="shared" si="27"/>
        <v>200</v>
      </c>
      <c r="F84" s="229">
        <v>80</v>
      </c>
      <c r="G84" s="25">
        <f t="shared" si="28"/>
        <v>280</v>
      </c>
      <c r="H84" s="23">
        <v>4</v>
      </c>
      <c r="I84" s="229">
        <f t="shared" si="29"/>
        <v>320</v>
      </c>
      <c r="J84" s="229">
        <v>80</v>
      </c>
      <c r="K84" s="229">
        <f>VLOOKUP(C84,'Datos Aceites'!$A$5:$U$203,20,FALSE)</f>
        <v>31.577280000000002</v>
      </c>
      <c r="L84" s="229">
        <f t="shared" si="30"/>
        <v>158.94319999999999</v>
      </c>
      <c r="M84" s="25">
        <f t="shared" si="31"/>
        <v>478.94319999999999</v>
      </c>
      <c r="N84" s="23"/>
      <c r="O84" s="24"/>
      <c r="P84" s="24"/>
      <c r="Q84" s="24"/>
      <c r="R84" s="23">
        <v>8</v>
      </c>
      <c r="S84" s="229">
        <f t="shared" si="25"/>
        <v>640</v>
      </c>
      <c r="T84" s="229">
        <v>80</v>
      </c>
      <c r="U84" s="229">
        <f>VLOOKUP(C84,'Datos Aceites'!$A$5:$U$203,21,FALSE)</f>
        <v>144.97728000000001</v>
      </c>
      <c r="V84" s="229">
        <f t="shared" si="26"/>
        <v>369.95456000000001</v>
      </c>
      <c r="W84" s="36">
        <f t="shared" si="32"/>
        <v>1009.95456</v>
      </c>
      <c r="X84" s="2"/>
      <c r="Y84" s="2"/>
    </row>
    <row r="85" spans="1:25" ht="20.100000000000001" customHeight="1" x14ac:dyDescent="0.25">
      <c r="B85" s="44" t="s">
        <v>293</v>
      </c>
      <c r="C85" s="45"/>
      <c r="D85" s="46"/>
      <c r="E85" s="230"/>
      <c r="F85" s="230"/>
      <c r="G85" s="47"/>
      <c r="H85" s="46"/>
      <c r="I85" s="230"/>
      <c r="J85" s="230"/>
      <c r="K85" s="229"/>
      <c r="L85" s="230"/>
      <c r="M85" s="47"/>
      <c r="N85" s="46"/>
      <c r="O85" s="46"/>
      <c r="P85" s="46"/>
      <c r="Q85" s="46"/>
      <c r="R85" s="46"/>
      <c r="S85" s="230"/>
      <c r="T85" s="230"/>
      <c r="U85" s="229"/>
      <c r="V85" s="230"/>
      <c r="W85" s="48"/>
      <c r="X85" s="2"/>
      <c r="Y85" s="2"/>
    </row>
    <row r="86" spans="1:25" ht="20.100000000000001" customHeight="1" x14ac:dyDescent="0.2">
      <c r="B86" s="49" t="s">
        <v>294</v>
      </c>
      <c r="C86" s="49" t="s">
        <v>294</v>
      </c>
      <c r="D86" s="23">
        <v>2</v>
      </c>
      <c r="E86" s="229">
        <f>D86*$B$3</f>
        <v>160</v>
      </c>
      <c r="F86" s="229">
        <v>150</v>
      </c>
      <c r="G86" s="32">
        <f>E86+F86</f>
        <v>310</v>
      </c>
      <c r="H86" s="23">
        <v>2</v>
      </c>
      <c r="I86" s="229">
        <f>H86*$B$3</f>
        <v>160</v>
      </c>
      <c r="J86" s="229">
        <v>80</v>
      </c>
      <c r="K86" s="229">
        <f>VLOOKUP(C86,'Datos Aceites'!$A$5:$U$203,20,FALSE)</f>
        <v>2.1</v>
      </c>
      <c r="L86" s="229">
        <f>J86+(K86*2.5)</f>
        <v>85.25</v>
      </c>
      <c r="M86" s="32">
        <f>J86+(K86*2.5)+I86</f>
        <v>245.25</v>
      </c>
      <c r="N86" s="23">
        <v>6</v>
      </c>
      <c r="O86" s="24">
        <f>N86*$B$3</f>
        <v>480</v>
      </c>
      <c r="P86" s="24">
        <v>80</v>
      </c>
      <c r="Q86" s="24"/>
      <c r="R86" s="23">
        <v>2</v>
      </c>
      <c r="S86" s="229">
        <f>R86*$B$3</f>
        <v>160</v>
      </c>
      <c r="T86" s="229">
        <v>80</v>
      </c>
      <c r="U86" s="229">
        <f>VLOOKUP(C86,'Datos Aceites'!$A$5:$U$203,21,FALSE)</f>
        <v>10.446599999999998</v>
      </c>
      <c r="V86" s="229">
        <f>T86+(U86*2)+21</f>
        <v>121.89319999999999</v>
      </c>
      <c r="W86" s="35">
        <f>T86+(U86*2)+S86</f>
        <v>260.89319999999998</v>
      </c>
      <c r="X86" s="2"/>
      <c r="Y86" s="2"/>
    </row>
    <row r="87" spans="1:25" ht="20.100000000000001" customHeight="1" x14ac:dyDescent="0.25">
      <c r="B87" s="44" t="s">
        <v>295</v>
      </c>
      <c r="C87" s="45"/>
      <c r="D87" s="46"/>
      <c r="E87" s="230"/>
      <c r="F87" s="230"/>
      <c r="G87" s="47"/>
      <c r="H87" s="46"/>
      <c r="I87" s="230"/>
      <c r="J87" s="230"/>
      <c r="K87" s="229"/>
      <c r="L87" s="230"/>
      <c r="M87" s="47"/>
      <c r="N87" s="46"/>
      <c r="O87" s="46"/>
      <c r="P87" s="46"/>
      <c r="Q87" s="46"/>
      <c r="R87" s="46"/>
      <c r="S87" s="230"/>
      <c r="T87" s="230"/>
      <c r="U87" s="229"/>
      <c r="V87" s="230"/>
      <c r="W87" s="48"/>
      <c r="X87" s="2"/>
      <c r="Y87" s="2"/>
    </row>
    <row r="88" spans="1:25" ht="20.100000000000001" customHeight="1" x14ac:dyDescent="0.2">
      <c r="B88" s="50" t="s">
        <v>296</v>
      </c>
      <c r="C88" s="49" t="s">
        <v>296</v>
      </c>
      <c r="D88" s="23">
        <v>2</v>
      </c>
      <c r="E88" s="229">
        <f>D88*$B$3</f>
        <v>160</v>
      </c>
      <c r="F88" s="229">
        <v>150</v>
      </c>
      <c r="G88" s="32">
        <f>E88+F88</f>
        <v>310</v>
      </c>
      <c r="H88" s="23">
        <v>2</v>
      </c>
      <c r="I88" s="229">
        <f>H88*$B$3</f>
        <v>160</v>
      </c>
      <c r="J88" s="229">
        <v>80</v>
      </c>
      <c r="K88" s="229">
        <f>VLOOKUP(C88,'Datos Aceites'!$A$5:$U$203,20,FALSE)</f>
        <v>0</v>
      </c>
      <c r="L88" s="229">
        <f>J88+(K88*2.5)</f>
        <v>80</v>
      </c>
      <c r="M88" s="32">
        <f>J88+(K88*2.5)+I88</f>
        <v>240</v>
      </c>
      <c r="N88" s="23">
        <v>6</v>
      </c>
      <c r="O88" s="24">
        <f>N88*$B$3</f>
        <v>480</v>
      </c>
      <c r="P88" s="24">
        <v>80</v>
      </c>
      <c r="Q88" s="24"/>
      <c r="R88" s="23">
        <v>2</v>
      </c>
      <c r="S88" s="229">
        <f>R88*$B$3</f>
        <v>160</v>
      </c>
      <c r="T88" s="229">
        <v>80</v>
      </c>
      <c r="U88" s="229">
        <f>VLOOKUP(C88,'Datos Aceites'!$A$5:$U$203,21,FALSE)</f>
        <v>0</v>
      </c>
      <c r="V88" s="229">
        <f>T88+(U88*2)+21</f>
        <v>101</v>
      </c>
      <c r="W88" s="35">
        <f>T88+(U88*2)+S88</f>
        <v>240</v>
      </c>
      <c r="X88" s="2"/>
      <c r="Y88" s="2"/>
    </row>
    <row r="89" spans="1:25" ht="20.100000000000001" customHeight="1" x14ac:dyDescent="0.25">
      <c r="B89" s="44" t="s">
        <v>297</v>
      </c>
      <c r="C89" s="45"/>
      <c r="D89" s="46"/>
      <c r="E89" s="230"/>
      <c r="F89" s="230"/>
      <c r="G89" s="47"/>
      <c r="H89" s="46"/>
      <c r="I89" s="230"/>
      <c r="J89" s="230"/>
      <c r="K89" s="229"/>
      <c r="L89" s="230"/>
      <c r="M89" s="47"/>
      <c r="N89" s="46"/>
      <c r="O89" s="46"/>
      <c r="P89" s="46"/>
      <c r="Q89" s="46"/>
      <c r="R89" s="46"/>
      <c r="S89" s="230"/>
      <c r="T89" s="230"/>
      <c r="U89" s="229"/>
      <c r="V89" s="230"/>
      <c r="W89" s="48"/>
      <c r="X89" s="2"/>
      <c r="Y89" s="2"/>
    </row>
    <row r="90" spans="1:25" ht="20.100000000000001" customHeight="1" x14ac:dyDescent="0.2">
      <c r="A90" s="2" t="s">
        <v>298</v>
      </c>
      <c r="B90" s="50" t="s">
        <v>299</v>
      </c>
      <c r="C90" s="49" t="s">
        <v>300</v>
      </c>
      <c r="D90" s="23">
        <v>1.5</v>
      </c>
      <c r="E90" s="229">
        <f t="shared" ref="E90:E136" si="33">D90*$B$3</f>
        <v>120</v>
      </c>
      <c r="F90" s="229">
        <v>150</v>
      </c>
      <c r="G90" s="32">
        <f t="shared" ref="G90:G136" si="34">E90+F90</f>
        <v>270</v>
      </c>
      <c r="H90" s="23">
        <v>2</v>
      </c>
      <c r="I90" s="229">
        <f t="shared" ref="I90:I136" si="35">H90*$B$3</f>
        <v>160</v>
      </c>
      <c r="J90" s="229">
        <v>80</v>
      </c>
      <c r="K90" s="229">
        <f>VLOOKUP(C90,'Datos Aceites'!$A$5:$U$203,20,FALSE)</f>
        <v>1.2</v>
      </c>
      <c r="L90" s="229">
        <f t="shared" ref="L90:L136" si="36">J90+(K90*2.5)</f>
        <v>83</v>
      </c>
      <c r="M90" s="32">
        <f t="shared" ref="M90:M136" si="37">J90+(K90*2.5)+I90</f>
        <v>243</v>
      </c>
      <c r="N90" s="23">
        <v>6</v>
      </c>
      <c r="O90" s="24">
        <f t="shared" ref="O90:O108" si="38">N90*$B$3</f>
        <v>480</v>
      </c>
      <c r="P90" s="24">
        <v>80</v>
      </c>
      <c r="Q90" s="24"/>
      <c r="R90" s="23">
        <v>3.5</v>
      </c>
      <c r="S90" s="229">
        <f t="shared" ref="S90:S136" si="39">R90*$B$3</f>
        <v>280</v>
      </c>
      <c r="T90" s="229">
        <v>80</v>
      </c>
      <c r="U90" s="229">
        <f>VLOOKUP(C90,'Datos Aceites'!$A$5:$U$203,21,FALSE)</f>
        <v>1.5499999999999998</v>
      </c>
      <c r="V90" s="229">
        <f t="shared" ref="V90:V108" si="40">T90+(U90*2)+21</f>
        <v>104.1</v>
      </c>
      <c r="W90" s="35">
        <f t="shared" ref="W90:W136" si="41">T90+(U90*2)+S90</f>
        <v>363.1</v>
      </c>
      <c r="X90" s="2"/>
      <c r="Y90" s="2"/>
    </row>
    <row r="91" spans="1:25" ht="20.100000000000001" customHeight="1" x14ac:dyDescent="0.2">
      <c r="A91" s="2" t="s">
        <v>298</v>
      </c>
      <c r="B91" s="50" t="s">
        <v>301</v>
      </c>
      <c r="C91" s="49" t="s">
        <v>302</v>
      </c>
      <c r="D91" s="23">
        <v>1.5</v>
      </c>
      <c r="E91" s="229">
        <f t="shared" si="33"/>
        <v>120</v>
      </c>
      <c r="F91" s="229">
        <v>150</v>
      </c>
      <c r="G91" s="32">
        <f t="shared" si="34"/>
        <v>270</v>
      </c>
      <c r="H91" s="23">
        <v>2</v>
      </c>
      <c r="I91" s="229">
        <f t="shared" si="35"/>
        <v>160</v>
      </c>
      <c r="J91" s="229">
        <v>80</v>
      </c>
      <c r="K91" s="229">
        <f>VLOOKUP(C91,'Datos Aceites'!$A$5:$U$203,20,FALSE)</f>
        <v>1.2</v>
      </c>
      <c r="L91" s="229">
        <f t="shared" si="36"/>
        <v>83</v>
      </c>
      <c r="M91" s="32">
        <f t="shared" si="37"/>
        <v>243</v>
      </c>
      <c r="N91" s="23">
        <v>6</v>
      </c>
      <c r="O91" s="24">
        <f t="shared" si="38"/>
        <v>480</v>
      </c>
      <c r="P91" s="24">
        <v>80</v>
      </c>
      <c r="Q91" s="24"/>
      <c r="R91" s="23">
        <v>3</v>
      </c>
      <c r="S91" s="229">
        <f t="shared" si="39"/>
        <v>240</v>
      </c>
      <c r="T91" s="229">
        <v>80</v>
      </c>
      <c r="U91" s="229">
        <f>VLOOKUP(C91,'Datos Aceites'!$A$5:$U$203,21,FALSE)</f>
        <v>1.5499999999999998</v>
      </c>
      <c r="V91" s="229">
        <f t="shared" si="40"/>
        <v>104.1</v>
      </c>
      <c r="W91" s="35">
        <f t="shared" si="41"/>
        <v>323.10000000000002</v>
      </c>
      <c r="X91" s="2"/>
      <c r="Y91" s="2"/>
    </row>
    <row r="92" spans="1:25" ht="20.100000000000001" customHeight="1" x14ac:dyDescent="0.2">
      <c r="A92" s="2" t="s">
        <v>298</v>
      </c>
      <c r="B92" s="50" t="s">
        <v>303</v>
      </c>
      <c r="C92" s="49" t="s">
        <v>304</v>
      </c>
      <c r="D92" s="23">
        <v>3.5</v>
      </c>
      <c r="E92" s="229">
        <f t="shared" si="33"/>
        <v>280</v>
      </c>
      <c r="F92" s="229">
        <v>150</v>
      </c>
      <c r="G92" s="32">
        <f t="shared" si="34"/>
        <v>430</v>
      </c>
      <c r="H92" s="23">
        <v>4</v>
      </c>
      <c r="I92" s="229">
        <f t="shared" si="35"/>
        <v>320</v>
      </c>
      <c r="J92" s="229">
        <v>80</v>
      </c>
      <c r="K92" s="229">
        <f>VLOOKUP(C92,'Datos Aceites'!$A$5:$U$203,20,FALSE)</f>
        <v>14</v>
      </c>
      <c r="L92" s="229">
        <f t="shared" si="36"/>
        <v>115</v>
      </c>
      <c r="M92" s="32">
        <f t="shared" si="37"/>
        <v>435</v>
      </c>
      <c r="N92" s="23">
        <v>6</v>
      </c>
      <c r="O92" s="24">
        <f t="shared" si="38"/>
        <v>480</v>
      </c>
      <c r="P92" s="24">
        <v>80</v>
      </c>
      <c r="Q92" s="24"/>
      <c r="R92" s="23">
        <v>5</v>
      </c>
      <c r="S92" s="229">
        <f t="shared" si="39"/>
        <v>400</v>
      </c>
      <c r="T92" s="229">
        <v>80</v>
      </c>
      <c r="U92" s="229">
        <f>VLOOKUP(C92,'Datos Aceites'!$A$5:$U$203,21,FALSE)</f>
        <v>45.141800000000003</v>
      </c>
      <c r="V92" s="229">
        <f t="shared" si="40"/>
        <v>191.28360000000001</v>
      </c>
      <c r="W92" s="35">
        <f t="shared" si="41"/>
        <v>570.28359999999998</v>
      </c>
      <c r="X92" s="2"/>
      <c r="Y92" s="2"/>
    </row>
    <row r="93" spans="1:25" ht="20.100000000000001" customHeight="1" x14ac:dyDescent="0.2">
      <c r="A93" s="2" t="s">
        <v>298</v>
      </c>
      <c r="B93" s="50" t="s">
        <v>305</v>
      </c>
      <c r="C93" s="49" t="s">
        <v>306</v>
      </c>
      <c r="D93" s="23">
        <v>3.5</v>
      </c>
      <c r="E93" s="229">
        <f t="shared" si="33"/>
        <v>280</v>
      </c>
      <c r="F93" s="229">
        <v>150</v>
      </c>
      <c r="G93" s="32">
        <f t="shared" si="34"/>
        <v>430</v>
      </c>
      <c r="H93" s="23">
        <v>4</v>
      </c>
      <c r="I93" s="229">
        <f t="shared" si="35"/>
        <v>320</v>
      </c>
      <c r="J93" s="229">
        <v>80</v>
      </c>
      <c r="K93" s="229">
        <f>VLOOKUP(C93,'Datos Aceites'!$A$5:$U$203,20,FALSE)</f>
        <v>11.9</v>
      </c>
      <c r="L93" s="229">
        <f t="shared" si="36"/>
        <v>109.75</v>
      </c>
      <c r="M93" s="32">
        <f t="shared" si="37"/>
        <v>429.75</v>
      </c>
      <c r="N93" s="23">
        <v>6</v>
      </c>
      <c r="O93" s="24">
        <f t="shared" si="38"/>
        <v>480</v>
      </c>
      <c r="P93" s="24">
        <v>80</v>
      </c>
      <c r="Q93" s="24"/>
      <c r="R93" s="23">
        <v>5</v>
      </c>
      <c r="S93" s="229">
        <f t="shared" si="39"/>
        <v>400</v>
      </c>
      <c r="T93" s="229">
        <v>80</v>
      </c>
      <c r="U93" s="229">
        <f>VLOOKUP(C93,'Datos Aceites'!$A$5:$U$203,21,FALSE)</f>
        <v>69.190000000000012</v>
      </c>
      <c r="V93" s="229">
        <f t="shared" si="40"/>
        <v>239.38000000000002</v>
      </c>
      <c r="W93" s="35">
        <f t="shared" si="41"/>
        <v>618.38</v>
      </c>
      <c r="X93" s="2"/>
      <c r="Y93" s="2"/>
    </row>
    <row r="94" spans="1:25" ht="20.100000000000001" customHeight="1" x14ac:dyDescent="0.2">
      <c r="A94" s="2" t="s">
        <v>298</v>
      </c>
      <c r="B94" s="50" t="s">
        <v>307</v>
      </c>
      <c r="C94" s="49" t="s">
        <v>308</v>
      </c>
      <c r="D94" s="23">
        <v>3.5</v>
      </c>
      <c r="E94" s="229">
        <f t="shared" si="33"/>
        <v>280</v>
      </c>
      <c r="F94" s="229">
        <v>150</v>
      </c>
      <c r="G94" s="32">
        <f t="shared" si="34"/>
        <v>430</v>
      </c>
      <c r="H94" s="23">
        <v>4</v>
      </c>
      <c r="I94" s="229">
        <f t="shared" si="35"/>
        <v>320</v>
      </c>
      <c r="J94" s="229">
        <v>80</v>
      </c>
      <c r="K94" s="229">
        <f>VLOOKUP(C94,'Datos Aceites'!$A$5:$U$203,20,FALSE)</f>
        <v>28.7</v>
      </c>
      <c r="L94" s="229">
        <f t="shared" si="36"/>
        <v>151.75</v>
      </c>
      <c r="M94" s="32">
        <f t="shared" si="37"/>
        <v>471.75</v>
      </c>
      <c r="N94" s="23">
        <v>6</v>
      </c>
      <c r="O94" s="24">
        <f t="shared" si="38"/>
        <v>480</v>
      </c>
      <c r="P94" s="24">
        <v>80</v>
      </c>
      <c r="Q94" s="24"/>
      <c r="R94" s="23">
        <v>5</v>
      </c>
      <c r="S94" s="229">
        <f t="shared" si="39"/>
        <v>400</v>
      </c>
      <c r="T94" s="229">
        <v>80</v>
      </c>
      <c r="U94" s="229">
        <f>VLOOKUP(C94,'Datos Aceites'!$A$5:$U$203,21,FALSE)</f>
        <v>85.257499999999993</v>
      </c>
      <c r="V94" s="229">
        <f t="shared" si="40"/>
        <v>271.51499999999999</v>
      </c>
      <c r="W94" s="35">
        <f t="shared" si="41"/>
        <v>650.51499999999999</v>
      </c>
      <c r="X94" s="2"/>
      <c r="Y94" s="2"/>
    </row>
    <row r="95" spans="1:25" ht="20.100000000000001" customHeight="1" x14ac:dyDescent="0.2">
      <c r="A95" s="2" t="s">
        <v>298</v>
      </c>
      <c r="B95" s="50" t="s">
        <v>309</v>
      </c>
      <c r="C95" s="49" t="s">
        <v>310</v>
      </c>
      <c r="D95" s="23">
        <v>3.5</v>
      </c>
      <c r="E95" s="229">
        <f t="shared" si="33"/>
        <v>280</v>
      </c>
      <c r="F95" s="229">
        <v>150</v>
      </c>
      <c r="G95" s="32">
        <f t="shared" si="34"/>
        <v>430</v>
      </c>
      <c r="H95" s="23">
        <v>4</v>
      </c>
      <c r="I95" s="229">
        <f t="shared" si="35"/>
        <v>320</v>
      </c>
      <c r="J95" s="229">
        <v>80</v>
      </c>
      <c r="K95" s="229">
        <f>VLOOKUP(C95,'Datos Aceites'!$A$5:$U$203,20,FALSE)</f>
        <v>28</v>
      </c>
      <c r="L95" s="229">
        <f t="shared" si="36"/>
        <v>150</v>
      </c>
      <c r="M95" s="32">
        <f t="shared" si="37"/>
        <v>470</v>
      </c>
      <c r="N95" s="23">
        <v>6</v>
      </c>
      <c r="O95" s="24">
        <f t="shared" si="38"/>
        <v>480</v>
      </c>
      <c r="P95" s="24">
        <v>80</v>
      </c>
      <c r="Q95" s="24"/>
      <c r="R95" s="23">
        <v>5</v>
      </c>
      <c r="S95" s="229">
        <f t="shared" si="39"/>
        <v>400</v>
      </c>
      <c r="T95" s="229">
        <v>80</v>
      </c>
      <c r="U95" s="229">
        <f>VLOOKUP(C95,'Datos Aceites'!$A$5:$U$203,21,FALSE)</f>
        <v>86.730500000000006</v>
      </c>
      <c r="V95" s="229">
        <f t="shared" si="40"/>
        <v>274.46100000000001</v>
      </c>
      <c r="W95" s="35">
        <f t="shared" si="41"/>
        <v>653.46100000000001</v>
      </c>
      <c r="X95" s="2"/>
      <c r="Y95" s="2"/>
    </row>
    <row r="96" spans="1:25" ht="20.100000000000001" customHeight="1" x14ac:dyDescent="0.2">
      <c r="B96" s="50" t="s">
        <v>311</v>
      </c>
      <c r="C96" s="49" t="s">
        <v>311</v>
      </c>
      <c r="D96" s="23">
        <v>3.5</v>
      </c>
      <c r="E96" s="229">
        <f t="shared" si="33"/>
        <v>280</v>
      </c>
      <c r="F96" s="229">
        <v>150</v>
      </c>
      <c r="G96" s="32">
        <f t="shared" si="34"/>
        <v>430</v>
      </c>
      <c r="H96" s="23">
        <v>4</v>
      </c>
      <c r="I96" s="229">
        <f t="shared" si="35"/>
        <v>320</v>
      </c>
      <c r="J96" s="229">
        <v>80</v>
      </c>
      <c r="K96" s="229">
        <f>VLOOKUP(C96,'Datos Aceites'!$A$5:$U$203,20,FALSE)</f>
        <v>14</v>
      </c>
      <c r="L96" s="229">
        <f t="shared" si="36"/>
        <v>115</v>
      </c>
      <c r="M96" s="32">
        <f t="shared" si="37"/>
        <v>435</v>
      </c>
      <c r="N96" s="23">
        <v>6</v>
      </c>
      <c r="O96" s="24">
        <f t="shared" si="38"/>
        <v>480</v>
      </c>
      <c r="P96" s="24">
        <v>80</v>
      </c>
      <c r="Q96" s="24"/>
      <c r="R96" s="23">
        <v>5</v>
      </c>
      <c r="S96" s="229">
        <f t="shared" si="39"/>
        <v>400</v>
      </c>
      <c r="T96" s="229">
        <v>80</v>
      </c>
      <c r="U96" s="229">
        <f>VLOOKUP(C96,'Datos Aceites'!$A$5:$U$203,21,FALSE)</f>
        <v>45.141800000000003</v>
      </c>
      <c r="V96" s="229">
        <f t="shared" si="40"/>
        <v>191.28360000000001</v>
      </c>
      <c r="W96" s="35">
        <f t="shared" si="41"/>
        <v>570.28359999999998</v>
      </c>
      <c r="X96" s="2"/>
      <c r="Y96" s="2"/>
    </row>
    <row r="97" spans="1:25" ht="20.100000000000001" customHeight="1" x14ac:dyDescent="0.2">
      <c r="A97" s="2" t="s">
        <v>298</v>
      </c>
      <c r="B97" s="50" t="s">
        <v>312</v>
      </c>
      <c r="C97" s="49" t="s">
        <v>313</v>
      </c>
      <c r="D97" s="23">
        <v>3.5</v>
      </c>
      <c r="E97" s="229">
        <f t="shared" si="33"/>
        <v>280</v>
      </c>
      <c r="F97" s="229">
        <v>150</v>
      </c>
      <c r="G97" s="32">
        <f t="shared" si="34"/>
        <v>430</v>
      </c>
      <c r="H97" s="23">
        <v>4</v>
      </c>
      <c r="I97" s="229">
        <f t="shared" si="35"/>
        <v>320</v>
      </c>
      <c r="J97" s="229">
        <v>80</v>
      </c>
      <c r="K97" s="229">
        <f>VLOOKUP(C97,'Datos Aceites'!$A$5:$U$203,20,FALSE)</f>
        <v>11.9</v>
      </c>
      <c r="L97" s="229">
        <f t="shared" si="36"/>
        <v>109.75</v>
      </c>
      <c r="M97" s="32">
        <f t="shared" si="37"/>
        <v>429.75</v>
      </c>
      <c r="N97" s="23">
        <v>6</v>
      </c>
      <c r="O97" s="24">
        <f t="shared" si="38"/>
        <v>480</v>
      </c>
      <c r="P97" s="24">
        <v>80</v>
      </c>
      <c r="Q97" s="24"/>
      <c r="R97" s="23">
        <v>5</v>
      </c>
      <c r="S97" s="229">
        <f t="shared" si="39"/>
        <v>400</v>
      </c>
      <c r="T97" s="229">
        <v>80</v>
      </c>
      <c r="U97" s="229">
        <f>VLOOKUP(C97,'Datos Aceites'!$A$5:$U$203,21,FALSE)</f>
        <v>69.190000000000012</v>
      </c>
      <c r="V97" s="229">
        <f t="shared" si="40"/>
        <v>239.38000000000002</v>
      </c>
      <c r="W97" s="35">
        <f t="shared" si="41"/>
        <v>618.38</v>
      </c>
      <c r="X97" s="2"/>
      <c r="Y97" s="2"/>
    </row>
    <row r="98" spans="1:25" ht="20.100000000000001" customHeight="1" x14ac:dyDescent="0.2">
      <c r="A98" s="2" t="s">
        <v>298</v>
      </c>
      <c r="B98" s="50" t="s">
        <v>314</v>
      </c>
      <c r="C98" s="49" t="s">
        <v>315</v>
      </c>
      <c r="D98" s="23">
        <v>3.5</v>
      </c>
      <c r="E98" s="229">
        <f t="shared" si="33"/>
        <v>280</v>
      </c>
      <c r="F98" s="229">
        <v>150</v>
      </c>
      <c r="G98" s="32">
        <f t="shared" si="34"/>
        <v>430</v>
      </c>
      <c r="H98" s="23">
        <v>4</v>
      </c>
      <c r="I98" s="229">
        <f t="shared" si="35"/>
        <v>320</v>
      </c>
      <c r="J98" s="229">
        <v>80</v>
      </c>
      <c r="K98" s="229">
        <f>VLOOKUP(C98,'Datos Aceites'!$A$5:$U$203,20,FALSE)</f>
        <v>28.7</v>
      </c>
      <c r="L98" s="229">
        <f t="shared" si="36"/>
        <v>151.75</v>
      </c>
      <c r="M98" s="32">
        <f t="shared" si="37"/>
        <v>471.75</v>
      </c>
      <c r="N98" s="23">
        <v>6</v>
      </c>
      <c r="O98" s="24">
        <f t="shared" si="38"/>
        <v>480</v>
      </c>
      <c r="P98" s="24">
        <v>80</v>
      </c>
      <c r="Q98" s="24"/>
      <c r="R98" s="23">
        <v>5</v>
      </c>
      <c r="S98" s="229">
        <f t="shared" si="39"/>
        <v>400</v>
      </c>
      <c r="T98" s="229">
        <v>80</v>
      </c>
      <c r="U98" s="229">
        <f>VLOOKUP(C98,'Datos Aceites'!$A$5:$U$203,21,FALSE)</f>
        <v>85.381</v>
      </c>
      <c r="V98" s="229">
        <f t="shared" si="40"/>
        <v>271.762</v>
      </c>
      <c r="W98" s="35">
        <f t="shared" si="41"/>
        <v>650.76199999999994</v>
      </c>
      <c r="X98" s="2"/>
      <c r="Y98" s="2"/>
    </row>
    <row r="99" spans="1:25" ht="20.100000000000001" customHeight="1" x14ac:dyDescent="0.2">
      <c r="A99" s="2" t="s">
        <v>298</v>
      </c>
      <c r="B99" s="50" t="s">
        <v>316</v>
      </c>
      <c r="C99" s="49" t="s">
        <v>317</v>
      </c>
      <c r="D99" s="23">
        <v>3.5</v>
      </c>
      <c r="E99" s="229">
        <f t="shared" si="33"/>
        <v>280</v>
      </c>
      <c r="F99" s="229">
        <v>150</v>
      </c>
      <c r="G99" s="32">
        <f t="shared" si="34"/>
        <v>430</v>
      </c>
      <c r="H99" s="23">
        <v>4</v>
      </c>
      <c r="I99" s="229">
        <f t="shared" si="35"/>
        <v>320</v>
      </c>
      <c r="J99" s="229">
        <v>80</v>
      </c>
      <c r="K99" s="229">
        <f>VLOOKUP(C99,'Datos Aceites'!$A$5:$U$203,20,FALSE)</f>
        <v>28</v>
      </c>
      <c r="L99" s="229">
        <f t="shared" si="36"/>
        <v>150</v>
      </c>
      <c r="M99" s="32">
        <f t="shared" si="37"/>
        <v>470</v>
      </c>
      <c r="N99" s="23">
        <v>6</v>
      </c>
      <c r="O99" s="24">
        <f t="shared" si="38"/>
        <v>480</v>
      </c>
      <c r="P99" s="24">
        <v>80</v>
      </c>
      <c r="Q99" s="24"/>
      <c r="R99" s="23">
        <v>5</v>
      </c>
      <c r="S99" s="229">
        <f t="shared" si="39"/>
        <v>400</v>
      </c>
      <c r="T99" s="229">
        <v>80</v>
      </c>
      <c r="U99" s="229">
        <f>VLOOKUP(C99,'Datos Aceites'!$A$5:$U$203,21,FALSE)</f>
        <v>86.730500000000006</v>
      </c>
      <c r="V99" s="229">
        <f t="shared" si="40"/>
        <v>274.46100000000001</v>
      </c>
      <c r="W99" s="35">
        <f t="shared" si="41"/>
        <v>653.46100000000001</v>
      </c>
      <c r="X99" s="2"/>
      <c r="Y99" s="2"/>
    </row>
    <row r="100" spans="1:25" ht="20.100000000000001" customHeight="1" x14ac:dyDescent="0.2">
      <c r="A100" s="2" t="s">
        <v>298</v>
      </c>
      <c r="B100" s="50" t="s">
        <v>299</v>
      </c>
      <c r="C100" s="49" t="s">
        <v>300</v>
      </c>
      <c r="D100" s="23">
        <v>3.5</v>
      </c>
      <c r="E100" s="229">
        <f t="shared" si="33"/>
        <v>280</v>
      </c>
      <c r="F100" s="229">
        <v>150</v>
      </c>
      <c r="G100" s="32">
        <f t="shared" si="34"/>
        <v>430</v>
      </c>
      <c r="H100" s="23">
        <v>4</v>
      </c>
      <c r="I100" s="229">
        <f t="shared" si="35"/>
        <v>320</v>
      </c>
      <c r="J100" s="229">
        <v>80</v>
      </c>
      <c r="K100" s="229">
        <f>VLOOKUP(C100,'Datos Aceites'!$A$5:$U$203,20,FALSE)</f>
        <v>1.2</v>
      </c>
      <c r="L100" s="229">
        <f t="shared" si="36"/>
        <v>83</v>
      </c>
      <c r="M100" s="32">
        <f t="shared" si="37"/>
        <v>403</v>
      </c>
      <c r="N100" s="23">
        <v>6</v>
      </c>
      <c r="O100" s="24">
        <f t="shared" si="38"/>
        <v>480</v>
      </c>
      <c r="P100" s="24">
        <v>80</v>
      </c>
      <c r="Q100" s="24"/>
      <c r="R100" s="23">
        <v>5</v>
      </c>
      <c r="S100" s="229">
        <f t="shared" si="39"/>
        <v>400</v>
      </c>
      <c r="T100" s="229">
        <v>80</v>
      </c>
      <c r="U100" s="229">
        <f>VLOOKUP(C100,'Datos Aceites'!$A$5:$U$203,21,FALSE)</f>
        <v>1.5499999999999998</v>
      </c>
      <c r="V100" s="229">
        <f t="shared" si="40"/>
        <v>104.1</v>
      </c>
      <c r="W100" s="35">
        <f t="shared" si="41"/>
        <v>483.1</v>
      </c>
      <c r="X100" s="2"/>
      <c r="Y100" s="2"/>
    </row>
    <row r="101" spans="1:25" ht="20.100000000000001" customHeight="1" x14ac:dyDescent="0.2">
      <c r="A101" s="2" t="s">
        <v>318</v>
      </c>
      <c r="B101" s="50" t="s">
        <v>319</v>
      </c>
      <c r="C101" s="49" t="s">
        <v>320</v>
      </c>
      <c r="D101" s="23">
        <v>5.5</v>
      </c>
      <c r="E101" s="229">
        <f t="shared" si="33"/>
        <v>440</v>
      </c>
      <c r="F101" s="229">
        <v>150</v>
      </c>
      <c r="G101" s="32">
        <f t="shared" si="34"/>
        <v>590</v>
      </c>
      <c r="H101" s="23">
        <v>7</v>
      </c>
      <c r="I101" s="229">
        <f t="shared" si="35"/>
        <v>560</v>
      </c>
      <c r="J101" s="229">
        <v>80</v>
      </c>
      <c r="K101" s="229">
        <f>VLOOKUP(C101,'Datos Aceites'!$A$5:$U$203,20,FALSE)</f>
        <v>24.7</v>
      </c>
      <c r="L101" s="229">
        <f t="shared" si="36"/>
        <v>141.75</v>
      </c>
      <c r="M101" s="32">
        <f t="shared" si="37"/>
        <v>701.75</v>
      </c>
      <c r="N101" s="23">
        <v>6</v>
      </c>
      <c r="O101" s="24">
        <f t="shared" si="38"/>
        <v>480</v>
      </c>
      <c r="P101" s="24">
        <v>80</v>
      </c>
      <c r="Q101" s="24"/>
      <c r="R101" s="23">
        <v>7</v>
      </c>
      <c r="S101" s="229">
        <f t="shared" si="39"/>
        <v>560</v>
      </c>
      <c r="T101" s="229">
        <v>80</v>
      </c>
      <c r="U101" s="229">
        <f>VLOOKUP(C101,'Datos Aceites'!$A$5:$U$203,21,FALSE)</f>
        <v>139.55499999999998</v>
      </c>
      <c r="V101" s="229">
        <f t="shared" si="40"/>
        <v>380.10999999999996</v>
      </c>
      <c r="W101" s="35">
        <f t="shared" si="41"/>
        <v>919.1099999999999</v>
      </c>
      <c r="X101" s="2"/>
      <c r="Y101" s="2"/>
    </row>
    <row r="102" spans="1:25" ht="20.100000000000001" customHeight="1" x14ac:dyDescent="0.2">
      <c r="A102" s="2" t="s">
        <v>321</v>
      </c>
      <c r="B102" s="50" t="s">
        <v>322</v>
      </c>
      <c r="C102" s="49" t="s">
        <v>323</v>
      </c>
      <c r="D102" s="23">
        <v>5.5</v>
      </c>
      <c r="E102" s="229">
        <f t="shared" si="33"/>
        <v>440</v>
      </c>
      <c r="F102" s="229">
        <v>150</v>
      </c>
      <c r="G102" s="32">
        <f t="shared" si="34"/>
        <v>590</v>
      </c>
      <c r="H102" s="23">
        <v>7</v>
      </c>
      <c r="I102" s="229">
        <f t="shared" si="35"/>
        <v>560</v>
      </c>
      <c r="J102" s="229">
        <v>80</v>
      </c>
      <c r="K102" s="229">
        <f>VLOOKUP(C102,'Datos Aceites'!$A$5:$U$203,20,FALSE)</f>
        <v>18.29</v>
      </c>
      <c r="L102" s="229">
        <f t="shared" si="36"/>
        <v>125.72499999999999</v>
      </c>
      <c r="M102" s="32">
        <f t="shared" si="37"/>
        <v>685.72500000000002</v>
      </c>
      <c r="N102" s="23">
        <v>6</v>
      </c>
      <c r="O102" s="24">
        <f t="shared" si="38"/>
        <v>480</v>
      </c>
      <c r="P102" s="24">
        <v>80</v>
      </c>
      <c r="Q102" s="24"/>
      <c r="R102" s="23">
        <v>7</v>
      </c>
      <c r="S102" s="229">
        <f t="shared" si="39"/>
        <v>560</v>
      </c>
      <c r="T102" s="229">
        <v>80</v>
      </c>
      <c r="U102" s="229">
        <f>VLOOKUP(C102,'Datos Aceites'!$A$5:$U$203,21,FALSE)</f>
        <v>166.11949999999999</v>
      </c>
      <c r="V102" s="229">
        <f t="shared" si="40"/>
        <v>433.23899999999998</v>
      </c>
      <c r="W102" s="35">
        <f t="shared" si="41"/>
        <v>972.23900000000003</v>
      </c>
      <c r="X102" s="2"/>
      <c r="Y102" s="2"/>
    </row>
    <row r="103" spans="1:25" ht="20.100000000000001" customHeight="1" x14ac:dyDescent="0.2">
      <c r="A103" s="2" t="s">
        <v>318</v>
      </c>
      <c r="B103" s="50" t="s">
        <v>324</v>
      </c>
      <c r="C103" s="49" t="s">
        <v>325</v>
      </c>
      <c r="D103" s="23">
        <v>5.5</v>
      </c>
      <c r="E103" s="229">
        <f t="shared" si="33"/>
        <v>440</v>
      </c>
      <c r="F103" s="229">
        <v>150</v>
      </c>
      <c r="G103" s="32">
        <f t="shared" si="34"/>
        <v>590</v>
      </c>
      <c r="H103" s="23">
        <v>7</v>
      </c>
      <c r="I103" s="229">
        <f t="shared" si="35"/>
        <v>560</v>
      </c>
      <c r="J103" s="229">
        <v>80</v>
      </c>
      <c r="K103" s="229">
        <f>VLOOKUP(C103,'Datos Aceites'!$A$5:$U$203,20,FALSE)</f>
        <v>18.724999999999998</v>
      </c>
      <c r="L103" s="229">
        <f t="shared" si="36"/>
        <v>126.8125</v>
      </c>
      <c r="M103" s="32">
        <f t="shared" si="37"/>
        <v>686.8125</v>
      </c>
      <c r="N103" s="23">
        <v>6</v>
      </c>
      <c r="O103" s="24">
        <f t="shared" si="38"/>
        <v>480</v>
      </c>
      <c r="P103" s="24">
        <v>80</v>
      </c>
      <c r="Q103" s="24"/>
      <c r="R103" s="23">
        <v>7</v>
      </c>
      <c r="S103" s="229">
        <f t="shared" si="39"/>
        <v>560</v>
      </c>
      <c r="T103" s="229">
        <v>80</v>
      </c>
      <c r="U103" s="229">
        <f>VLOOKUP(C103,'Datos Aceites'!$A$5:$U$203,21,FALSE)</f>
        <v>154.08099999999999</v>
      </c>
      <c r="V103" s="229">
        <f t="shared" si="40"/>
        <v>409.16199999999998</v>
      </c>
      <c r="W103" s="35">
        <f t="shared" si="41"/>
        <v>948.16200000000003</v>
      </c>
      <c r="X103" s="2"/>
      <c r="Y103" s="2"/>
    </row>
    <row r="104" spans="1:25" ht="20.100000000000001" customHeight="1" x14ac:dyDescent="0.2">
      <c r="A104" s="2" t="s">
        <v>298</v>
      </c>
      <c r="B104" s="50" t="s">
        <v>326</v>
      </c>
      <c r="C104" s="49" t="s">
        <v>327</v>
      </c>
      <c r="D104" s="23">
        <v>5</v>
      </c>
      <c r="E104" s="229">
        <f t="shared" si="33"/>
        <v>400</v>
      </c>
      <c r="F104" s="229">
        <v>150</v>
      </c>
      <c r="G104" s="32">
        <f t="shared" si="34"/>
        <v>550</v>
      </c>
      <c r="H104" s="23">
        <v>7</v>
      </c>
      <c r="I104" s="229">
        <f t="shared" si="35"/>
        <v>560</v>
      </c>
      <c r="J104" s="229">
        <v>80</v>
      </c>
      <c r="K104" s="229">
        <f>VLOOKUP(C104,'Datos Aceites'!$A$5:$U$203,20,FALSE)</f>
        <v>18.29</v>
      </c>
      <c r="L104" s="229">
        <f t="shared" si="36"/>
        <v>125.72499999999999</v>
      </c>
      <c r="M104" s="32">
        <f t="shared" si="37"/>
        <v>685.72500000000002</v>
      </c>
      <c r="N104" s="23">
        <v>6</v>
      </c>
      <c r="O104" s="24">
        <f t="shared" si="38"/>
        <v>480</v>
      </c>
      <c r="P104" s="24">
        <v>80</v>
      </c>
      <c r="Q104" s="24"/>
      <c r="R104" s="23">
        <v>7</v>
      </c>
      <c r="S104" s="229">
        <f t="shared" si="39"/>
        <v>560</v>
      </c>
      <c r="T104" s="229">
        <v>80</v>
      </c>
      <c r="U104" s="229">
        <f>VLOOKUP(C104,'Datos Aceites'!$A$5:$U$203,21,FALSE)</f>
        <v>166.11949999999999</v>
      </c>
      <c r="V104" s="229">
        <f t="shared" si="40"/>
        <v>433.23899999999998</v>
      </c>
      <c r="W104" s="35">
        <f t="shared" si="41"/>
        <v>972.23900000000003</v>
      </c>
      <c r="X104" s="2"/>
      <c r="Y104" s="2"/>
    </row>
    <row r="105" spans="1:25" ht="20.100000000000001" customHeight="1" x14ac:dyDescent="0.2">
      <c r="A105" s="2" t="s">
        <v>318</v>
      </c>
      <c r="B105" s="50" t="s">
        <v>328</v>
      </c>
      <c r="C105" s="49" t="s">
        <v>329</v>
      </c>
      <c r="D105" s="23">
        <v>5</v>
      </c>
      <c r="E105" s="229">
        <f t="shared" si="33"/>
        <v>400</v>
      </c>
      <c r="F105" s="229">
        <v>150</v>
      </c>
      <c r="G105" s="32">
        <f t="shared" si="34"/>
        <v>550</v>
      </c>
      <c r="H105" s="23">
        <v>7</v>
      </c>
      <c r="I105" s="229">
        <f t="shared" si="35"/>
        <v>560</v>
      </c>
      <c r="J105" s="229">
        <v>80</v>
      </c>
      <c r="K105" s="229">
        <f>VLOOKUP(C105,'Datos Aceites'!$A$5:$U$203,20,FALSE)</f>
        <v>8.5335000000000001</v>
      </c>
      <c r="L105" s="229">
        <f t="shared" si="36"/>
        <v>101.33375000000001</v>
      </c>
      <c r="M105" s="32">
        <f t="shared" si="37"/>
        <v>661.33375000000001</v>
      </c>
      <c r="N105" s="23">
        <v>6</v>
      </c>
      <c r="O105" s="24">
        <f t="shared" si="38"/>
        <v>480</v>
      </c>
      <c r="P105" s="24">
        <v>80</v>
      </c>
      <c r="Q105" s="24"/>
      <c r="R105" s="23">
        <v>7</v>
      </c>
      <c r="S105" s="229">
        <f t="shared" si="39"/>
        <v>560</v>
      </c>
      <c r="T105" s="229">
        <v>80</v>
      </c>
      <c r="U105" s="229">
        <f>VLOOKUP(C105,'Datos Aceites'!$A$5:$U$203,21,FALSE)</f>
        <v>94.242499999999993</v>
      </c>
      <c r="V105" s="229">
        <f t="shared" si="40"/>
        <v>289.48500000000001</v>
      </c>
      <c r="W105" s="35">
        <f t="shared" si="41"/>
        <v>828.48500000000001</v>
      </c>
      <c r="X105" s="2"/>
      <c r="Y105" s="2"/>
    </row>
    <row r="106" spans="1:25" ht="20.100000000000001" customHeight="1" x14ac:dyDescent="0.2">
      <c r="A106" s="2" t="s">
        <v>298</v>
      </c>
      <c r="B106" s="50" t="s">
        <v>330</v>
      </c>
      <c r="C106" s="49" t="s">
        <v>331</v>
      </c>
      <c r="D106" s="23">
        <v>5</v>
      </c>
      <c r="E106" s="229">
        <f t="shared" si="33"/>
        <v>400</v>
      </c>
      <c r="F106" s="229">
        <v>150</v>
      </c>
      <c r="G106" s="32">
        <f t="shared" si="34"/>
        <v>550</v>
      </c>
      <c r="H106" s="23">
        <v>7</v>
      </c>
      <c r="I106" s="229">
        <f t="shared" si="35"/>
        <v>560</v>
      </c>
      <c r="J106" s="229">
        <v>80</v>
      </c>
      <c r="K106" s="229">
        <f>VLOOKUP(C106,'Datos Aceites'!$A$5:$U$203,20,FALSE)</f>
        <v>8.5335000000000001</v>
      </c>
      <c r="L106" s="229">
        <f t="shared" si="36"/>
        <v>101.33375000000001</v>
      </c>
      <c r="M106" s="32">
        <f t="shared" si="37"/>
        <v>661.33375000000001</v>
      </c>
      <c r="N106" s="23">
        <v>6</v>
      </c>
      <c r="O106" s="24">
        <f t="shared" si="38"/>
        <v>480</v>
      </c>
      <c r="P106" s="24">
        <v>80</v>
      </c>
      <c r="Q106" s="24"/>
      <c r="R106" s="23">
        <v>7</v>
      </c>
      <c r="S106" s="229">
        <f t="shared" si="39"/>
        <v>560</v>
      </c>
      <c r="T106" s="229">
        <v>80</v>
      </c>
      <c r="U106" s="229">
        <f>VLOOKUP(C106,'Datos Aceites'!$A$5:$U$203,21,FALSE)</f>
        <v>94.242499999999993</v>
      </c>
      <c r="V106" s="229">
        <f t="shared" si="40"/>
        <v>289.48500000000001</v>
      </c>
      <c r="W106" s="35">
        <f t="shared" si="41"/>
        <v>828.48500000000001</v>
      </c>
      <c r="X106" s="2"/>
      <c r="Y106" s="2"/>
    </row>
    <row r="107" spans="1:25" ht="20.100000000000001" customHeight="1" x14ac:dyDescent="0.2">
      <c r="A107" s="2" t="s">
        <v>298</v>
      </c>
      <c r="B107" s="50" t="s">
        <v>332</v>
      </c>
      <c r="C107" s="49" t="s">
        <v>333</v>
      </c>
      <c r="D107" s="23">
        <v>5</v>
      </c>
      <c r="E107" s="229">
        <f t="shared" si="33"/>
        <v>400</v>
      </c>
      <c r="F107" s="229">
        <v>150</v>
      </c>
      <c r="G107" s="32">
        <f t="shared" si="34"/>
        <v>550</v>
      </c>
      <c r="H107" s="23">
        <v>7</v>
      </c>
      <c r="I107" s="229">
        <f t="shared" si="35"/>
        <v>560</v>
      </c>
      <c r="J107" s="229">
        <v>80</v>
      </c>
      <c r="K107" s="229">
        <f>VLOOKUP(C107,'Datos Aceites'!$A$5:$U$203,20,FALSE)</f>
        <v>8.5335000000000001</v>
      </c>
      <c r="L107" s="229">
        <f t="shared" si="36"/>
        <v>101.33375000000001</v>
      </c>
      <c r="M107" s="32">
        <f t="shared" si="37"/>
        <v>661.33375000000001</v>
      </c>
      <c r="N107" s="23">
        <v>6</v>
      </c>
      <c r="O107" s="24">
        <f t="shared" si="38"/>
        <v>480</v>
      </c>
      <c r="P107" s="24">
        <v>80</v>
      </c>
      <c r="Q107" s="24"/>
      <c r="R107" s="23">
        <v>7</v>
      </c>
      <c r="S107" s="229">
        <f t="shared" si="39"/>
        <v>560</v>
      </c>
      <c r="T107" s="229">
        <v>80</v>
      </c>
      <c r="U107" s="229">
        <f>VLOOKUP(C107,'Datos Aceites'!$A$5:$U$203,21,FALSE)</f>
        <v>94.242499999999993</v>
      </c>
      <c r="V107" s="229">
        <f t="shared" si="40"/>
        <v>289.48500000000001</v>
      </c>
      <c r="W107" s="35">
        <f t="shared" si="41"/>
        <v>828.48500000000001</v>
      </c>
      <c r="X107" s="2"/>
      <c r="Y107" s="2"/>
    </row>
    <row r="108" spans="1:25" ht="20.100000000000001" customHeight="1" x14ac:dyDescent="0.2">
      <c r="B108" s="50" t="s">
        <v>334</v>
      </c>
      <c r="C108" s="49" t="s">
        <v>335</v>
      </c>
      <c r="D108" s="23">
        <v>5</v>
      </c>
      <c r="E108" s="229">
        <f t="shared" si="33"/>
        <v>400</v>
      </c>
      <c r="F108" s="229">
        <v>150</v>
      </c>
      <c r="G108" s="32">
        <f t="shared" si="34"/>
        <v>550</v>
      </c>
      <c r="H108" s="23">
        <v>7</v>
      </c>
      <c r="I108" s="229">
        <f t="shared" si="35"/>
        <v>560</v>
      </c>
      <c r="J108" s="229">
        <v>80</v>
      </c>
      <c r="K108" s="229">
        <f>VLOOKUP(C108,'Datos Aceites'!$A$5:$U$203,20,FALSE)</f>
        <v>70.16</v>
      </c>
      <c r="L108" s="229">
        <f t="shared" si="36"/>
        <v>255.39999999999998</v>
      </c>
      <c r="M108" s="32">
        <f t="shared" si="37"/>
        <v>815.4</v>
      </c>
      <c r="N108" s="23">
        <v>6</v>
      </c>
      <c r="O108" s="24">
        <f t="shared" si="38"/>
        <v>480</v>
      </c>
      <c r="P108" s="24">
        <v>80</v>
      </c>
      <c r="Q108" s="24"/>
      <c r="R108" s="23">
        <v>8</v>
      </c>
      <c r="S108" s="229">
        <f t="shared" si="39"/>
        <v>640</v>
      </c>
      <c r="T108" s="229">
        <v>80</v>
      </c>
      <c r="U108" s="229">
        <f>VLOOKUP(C108,'Datos Aceites'!$A$5:$U$203,21,FALSE)</f>
        <v>341.85999999999996</v>
      </c>
      <c r="V108" s="229">
        <f t="shared" si="40"/>
        <v>784.71999999999991</v>
      </c>
      <c r="W108" s="35">
        <f t="shared" si="41"/>
        <v>1403.7199999999998</v>
      </c>
      <c r="X108" s="2"/>
      <c r="Y108" s="2"/>
    </row>
    <row r="109" spans="1:25" ht="20.100000000000001" customHeight="1" x14ac:dyDescent="0.2">
      <c r="B109" s="51" t="s">
        <v>336</v>
      </c>
      <c r="C109" s="49"/>
      <c r="D109" s="23"/>
      <c r="E109" s="229"/>
      <c r="F109" s="229"/>
      <c r="G109" s="32"/>
      <c r="H109" s="23"/>
      <c r="I109" s="229"/>
      <c r="J109" s="229"/>
      <c r="K109" s="229"/>
      <c r="L109" s="229"/>
      <c r="M109" s="32"/>
      <c r="N109" s="46"/>
      <c r="O109" s="46"/>
      <c r="P109" s="46"/>
      <c r="Q109" s="46"/>
      <c r="R109" s="23"/>
      <c r="S109" s="229"/>
      <c r="T109" s="229"/>
      <c r="U109" s="229"/>
      <c r="V109" s="229"/>
      <c r="W109" s="35"/>
      <c r="X109" s="2"/>
      <c r="Y109" s="2"/>
    </row>
    <row r="110" spans="1:25" ht="20.100000000000001" customHeight="1" x14ac:dyDescent="0.2">
      <c r="A110" s="2" t="s">
        <v>337</v>
      </c>
      <c r="B110" s="50" t="s">
        <v>338</v>
      </c>
      <c r="C110" s="49" t="s">
        <v>339</v>
      </c>
      <c r="D110" s="23">
        <v>1</v>
      </c>
      <c r="E110" s="229">
        <f t="shared" si="33"/>
        <v>80</v>
      </c>
      <c r="F110" s="229">
        <v>100</v>
      </c>
      <c r="G110" s="32">
        <f t="shared" si="34"/>
        <v>180</v>
      </c>
      <c r="H110" s="23">
        <v>1.5</v>
      </c>
      <c r="I110" s="229">
        <f t="shared" si="35"/>
        <v>120</v>
      </c>
      <c r="J110" s="229">
        <v>150</v>
      </c>
      <c r="K110" s="229">
        <f>VLOOKUP(C110,'Datos Aceites'!$A$5:$U$203,20,FALSE)</f>
        <v>10.5</v>
      </c>
      <c r="L110" s="229">
        <f t="shared" si="36"/>
        <v>176.25</v>
      </c>
      <c r="M110" s="32">
        <f t="shared" si="37"/>
        <v>296.25</v>
      </c>
      <c r="N110" s="46"/>
      <c r="O110" s="46"/>
      <c r="P110" s="46"/>
      <c r="Q110" s="46"/>
      <c r="R110" s="23">
        <v>2</v>
      </c>
      <c r="S110" s="229">
        <f t="shared" si="39"/>
        <v>160</v>
      </c>
      <c r="T110" s="229">
        <v>80</v>
      </c>
      <c r="U110" s="229">
        <f>VLOOKUP(C110,'Datos Aceites'!$A$5:$U$203,21,FALSE)</f>
        <v>10.5</v>
      </c>
      <c r="V110" s="229">
        <f>T110+(U110*2)</f>
        <v>101</v>
      </c>
      <c r="W110" s="35">
        <f t="shared" si="41"/>
        <v>261</v>
      </c>
      <c r="X110" s="2"/>
      <c r="Y110" s="2"/>
    </row>
    <row r="111" spans="1:25" ht="20.100000000000001" customHeight="1" x14ac:dyDescent="0.2">
      <c r="A111" s="2" t="s">
        <v>337</v>
      </c>
      <c r="B111" s="50" t="s">
        <v>340</v>
      </c>
      <c r="C111" s="49" t="s">
        <v>341</v>
      </c>
      <c r="D111" s="23">
        <v>1</v>
      </c>
      <c r="E111" s="229">
        <f t="shared" si="33"/>
        <v>80</v>
      </c>
      <c r="F111" s="229">
        <v>100</v>
      </c>
      <c r="G111" s="32">
        <f t="shared" si="34"/>
        <v>180</v>
      </c>
      <c r="H111" s="23">
        <v>1.5</v>
      </c>
      <c r="I111" s="229">
        <f t="shared" si="35"/>
        <v>120</v>
      </c>
      <c r="J111" s="229">
        <v>150</v>
      </c>
      <c r="K111" s="229">
        <f>VLOOKUP(C111,'Datos Aceites'!$A$5:$U$203,20,FALSE)</f>
        <v>10.5</v>
      </c>
      <c r="L111" s="229">
        <f t="shared" si="36"/>
        <v>176.25</v>
      </c>
      <c r="M111" s="32">
        <f t="shared" si="37"/>
        <v>296.25</v>
      </c>
      <c r="N111" s="46"/>
      <c r="O111" s="46"/>
      <c r="P111" s="46"/>
      <c r="Q111" s="46"/>
      <c r="R111" s="23">
        <v>2</v>
      </c>
      <c r="S111" s="229">
        <f t="shared" si="39"/>
        <v>160</v>
      </c>
      <c r="T111" s="229">
        <v>80</v>
      </c>
      <c r="U111" s="229">
        <f>VLOOKUP(C111,'Datos Aceites'!$A$5:$U$203,21,FALSE)</f>
        <v>10.5</v>
      </c>
      <c r="V111" s="229">
        <f t="shared" ref="V111:V136" si="42">T111+(U111*2)</f>
        <v>101</v>
      </c>
      <c r="W111" s="35">
        <f t="shared" si="41"/>
        <v>261</v>
      </c>
      <c r="X111" s="2"/>
      <c r="Y111" s="2"/>
    </row>
    <row r="112" spans="1:25" ht="20.100000000000001" customHeight="1" x14ac:dyDescent="0.2">
      <c r="A112" s="2" t="s">
        <v>33</v>
      </c>
      <c r="B112" s="50" t="s">
        <v>342</v>
      </c>
      <c r="C112" s="49" t="s">
        <v>343</v>
      </c>
      <c r="D112" s="23">
        <v>3.5</v>
      </c>
      <c r="E112" s="229">
        <f t="shared" si="33"/>
        <v>280</v>
      </c>
      <c r="F112" s="229">
        <v>100</v>
      </c>
      <c r="G112" s="32">
        <f t="shared" si="34"/>
        <v>380</v>
      </c>
      <c r="H112" s="23">
        <v>4.5</v>
      </c>
      <c r="I112" s="229">
        <f t="shared" si="35"/>
        <v>360</v>
      </c>
      <c r="J112" s="229">
        <v>150</v>
      </c>
      <c r="K112" s="229">
        <f>VLOOKUP(C112,'Datos Aceites'!$A$5:$U$203,20,FALSE)</f>
        <v>8.65</v>
      </c>
      <c r="L112" s="229">
        <f t="shared" si="36"/>
        <v>171.625</v>
      </c>
      <c r="M112" s="32">
        <f t="shared" si="37"/>
        <v>531.625</v>
      </c>
      <c r="N112" s="46"/>
      <c r="O112" s="46"/>
      <c r="P112" s="46"/>
      <c r="Q112" s="46"/>
      <c r="R112" s="23">
        <v>6</v>
      </c>
      <c r="S112" s="229">
        <f t="shared" si="39"/>
        <v>480</v>
      </c>
      <c r="T112" s="229">
        <v>80</v>
      </c>
      <c r="U112" s="229">
        <f>VLOOKUP(C112,'Datos Aceites'!$A$5:$U$203,21,FALSE)</f>
        <v>24.9</v>
      </c>
      <c r="V112" s="229">
        <f t="shared" si="42"/>
        <v>129.80000000000001</v>
      </c>
      <c r="W112" s="35">
        <f t="shared" si="41"/>
        <v>609.79999999999995</v>
      </c>
      <c r="X112" s="2"/>
      <c r="Y112" s="2"/>
    </row>
    <row r="113" spans="1:25" ht="20.100000000000001" customHeight="1" x14ac:dyDescent="0.2">
      <c r="A113" s="2" t="s">
        <v>30</v>
      </c>
      <c r="B113" s="50" t="s">
        <v>344</v>
      </c>
      <c r="C113" s="49" t="s">
        <v>345</v>
      </c>
      <c r="D113" s="23">
        <v>3.5</v>
      </c>
      <c r="E113" s="229">
        <f t="shared" si="33"/>
        <v>280</v>
      </c>
      <c r="F113" s="229">
        <v>100</v>
      </c>
      <c r="G113" s="32">
        <f t="shared" si="34"/>
        <v>380</v>
      </c>
      <c r="H113" s="23">
        <v>4.5</v>
      </c>
      <c r="I113" s="229">
        <f t="shared" si="35"/>
        <v>360</v>
      </c>
      <c r="J113" s="229">
        <v>150</v>
      </c>
      <c r="K113" s="229">
        <f>VLOOKUP(C113,'Datos Aceites'!$A$5:$U$203,20,FALSE)</f>
        <v>11.65</v>
      </c>
      <c r="L113" s="229">
        <f t="shared" si="36"/>
        <v>179.125</v>
      </c>
      <c r="M113" s="32">
        <f t="shared" si="37"/>
        <v>539.125</v>
      </c>
      <c r="N113" s="46"/>
      <c r="O113" s="46"/>
      <c r="P113" s="46"/>
      <c r="Q113" s="46"/>
      <c r="R113" s="23">
        <v>6</v>
      </c>
      <c r="S113" s="229">
        <f t="shared" si="39"/>
        <v>480</v>
      </c>
      <c r="T113" s="229">
        <v>80</v>
      </c>
      <c r="U113" s="229">
        <f>VLOOKUP(C113,'Datos Aceites'!$A$5:$U$203,21,FALSE)</f>
        <v>35.65</v>
      </c>
      <c r="V113" s="229">
        <f t="shared" si="42"/>
        <v>151.30000000000001</v>
      </c>
      <c r="W113" s="35">
        <f t="shared" si="41"/>
        <v>631.29999999999995</v>
      </c>
      <c r="X113" s="2"/>
      <c r="Y113" s="2"/>
    </row>
    <row r="114" spans="1:25" ht="20.100000000000001" customHeight="1" x14ac:dyDescent="0.2">
      <c r="A114" s="2" t="s">
        <v>30</v>
      </c>
      <c r="B114" s="50" t="s">
        <v>346</v>
      </c>
      <c r="C114" s="49" t="s">
        <v>347</v>
      </c>
      <c r="D114" s="23">
        <v>4</v>
      </c>
      <c r="E114" s="229">
        <f>D114*$B$3</f>
        <v>320</v>
      </c>
      <c r="F114" s="229">
        <v>100</v>
      </c>
      <c r="G114" s="32">
        <f>E114+F114</f>
        <v>420</v>
      </c>
      <c r="H114" s="23">
        <v>4.5</v>
      </c>
      <c r="I114" s="229">
        <f>H114*$B$3</f>
        <v>360</v>
      </c>
      <c r="J114" s="229">
        <v>150</v>
      </c>
      <c r="K114" s="229">
        <f>VLOOKUP(C114,'Datos Aceites'!$A$5:$U$203,20,FALSE)</f>
        <v>14.425000000000001</v>
      </c>
      <c r="L114" s="229">
        <f>J114+(K114*2.5)</f>
        <v>186.0625</v>
      </c>
      <c r="M114" s="32">
        <f>J114+(K114*2.5)+I114</f>
        <v>546.0625</v>
      </c>
      <c r="N114" s="46"/>
      <c r="O114" s="46"/>
      <c r="P114" s="46"/>
      <c r="Q114" s="46"/>
      <c r="R114" s="23">
        <v>6</v>
      </c>
      <c r="S114" s="229">
        <f>R114*$B$3</f>
        <v>480</v>
      </c>
      <c r="T114" s="229">
        <v>80</v>
      </c>
      <c r="U114" s="229">
        <f>VLOOKUP(C114,'Datos Aceites'!$A$5:$U$203,21,FALSE)</f>
        <v>47.424999999999997</v>
      </c>
      <c r="V114" s="229">
        <f t="shared" si="42"/>
        <v>174.85</v>
      </c>
      <c r="W114" s="35">
        <f>T114+(U114*2)+S114</f>
        <v>654.85</v>
      </c>
      <c r="X114" s="2"/>
      <c r="Y114" s="2"/>
    </row>
    <row r="115" spans="1:25" ht="20.100000000000001" customHeight="1" x14ac:dyDescent="0.2">
      <c r="B115" s="50" t="s">
        <v>348</v>
      </c>
      <c r="C115" s="49" t="s">
        <v>349</v>
      </c>
      <c r="D115" s="23">
        <v>3.5</v>
      </c>
      <c r="E115" s="229">
        <f>D115*$B$3</f>
        <v>280</v>
      </c>
      <c r="F115" s="229">
        <v>100</v>
      </c>
      <c r="G115" s="32">
        <f>E115+F115</f>
        <v>380</v>
      </c>
      <c r="H115" s="23">
        <v>4.5</v>
      </c>
      <c r="I115" s="229">
        <f>H115*$B$3</f>
        <v>360</v>
      </c>
      <c r="J115" s="229">
        <v>150</v>
      </c>
      <c r="K115" s="229">
        <f>VLOOKUP(C115,'Datos Aceites'!$A$5:$U$203,20,FALSE)</f>
        <v>40.024999999999999</v>
      </c>
      <c r="L115" s="229">
        <f>J115+(K115*2.5)</f>
        <v>250.0625</v>
      </c>
      <c r="M115" s="32">
        <f>J115+(K115*2.5)+I115</f>
        <v>610.0625</v>
      </c>
      <c r="N115" s="46"/>
      <c r="O115" s="46"/>
      <c r="P115" s="46"/>
      <c r="Q115" s="46"/>
      <c r="R115" s="23">
        <v>6</v>
      </c>
      <c r="S115" s="229">
        <f>R115*$B$3</f>
        <v>480</v>
      </c>
      <c r="T115" s="229">
        <v>80</v>
      </c>
      <c r="U115" s="229">
        <f>VLOOKUP(C115,'Datos Aceites'!$A$5:$U$203,21,FALSE)</f>
        <v>73.025000000000006</v>
      </c>
      <c r="V115" s="229">
        <f t="shared" si="42"/>
        <v>226.05</v>
      </c>
      <c r="W115" s="35">
        <f>T115+(U115*2)+S115</f>
        <v>706.05</v>
      </c>
      <c r="X115" s="2"/>
      <c r="Y115" s="2"/>
    </row>
    <row r="116" spans="1:25" ht="20.100000000000001" customHeight="1" x14ac:dyDescent="0.2">
      <c r="A116" s="2" t="s">
        <v>30</v>
      </c>
      <c r="B116" s="50" t="s">
        <v>350</v>
      </c>
      <c r="C116" s="49" t="s">
        <v>351</v>
      </c>
      <c r="D116" s="23">
        <v>4</v>
      </c>
      <c r="E116" s="229">
        <f>D116*$B$3</f>
        <v>320</v>
      </c>
      <c r="F116" s="229">
        <v>100</v>
      </c>
      <c r="G116" s="32">
        <f>E116+F116</f>
        <v>420</v>
      </c>
      <c r="H116" s="23">
        <v>4.5</v>
      </c>
      <c r="I116" s="229">
        <f>H116*$B$3</f>
        <v>360</v>
      </c>
      <c r="J116" s="229">
        <v>150</v>
      </c>
      <c r="K116" s="229">
        <f>VLOOKUP(C116,'Datos Aceites'!$A$5:$U$203,20,FALSE)</f>
        <v>40.024999999999999</v>
      </c>
      <c r="L116" s="229">
        <f>J116+(K116*2.5)</f>
        <v>250.0625</v>
      </c>
      <c r="M116" s="32">
        <f>J116+(K116*2.5)+I116</f>
        <v>610.0625</v>
      </c>
      <c r="N116" s="46"/>
      <c r="O116" s="46"/>
      <c r="P116" s="46"/>
      <c r="Q116" s="46"/>
      <c r="R116" s="23">
        <v>6</v>
      </c>
      <c r="S116" s="229">
        <f>R116*$B$3</f>
        <v>480</v>
      </c>
      <c r="T116" s="229">
        <v>80</v>
      </c>
      <c r="U116" s="229">
        <f>VLOOKUP(C116,'Datos Aceites'!$A$5:$U$203,21,FALSE)</f>
        <v>73.025000000000006</v>
      </c>
      <c r="V116" s="229">
        <f t="shared" si="42"/>
        <v>226.05</v>
      </c>
      <c r="W116" s="35">
        <f>T116+(U116*2)+S116</f>
        <v>706.05</v>
      </c>
      <c r="X116" s="2"/>
      <c r="Y116" s="2"/>
    </row>
    <row r="117" spans="1:25" ht="20.100000000000001" customHeight="1" x14ac:dyDescent="0.2">
      <c r="A117" s="2" t="s">
        <v>33</v>
      </c>
      <c r="B117" s="50" t="s">
        <v>352</v>
      </c>
      <c r="C117" s="49" t="s">
        <v>353</v>
      </c>
      <c r="D117" s="23">
        <v>5.5</v>
      </c>
      <c r="E117" s="229">
        <f t="shared" si="33"/>
        <v>440</v>
      </c>
      <c r="F117" s="229">
        <v>100</v>
      </c>
      <c r="G117" s="32">
        <f t="shared" si="34"/>
        <v>540</v>
      </c>
      <c r="H117" s="23">
        <v>7</v>
      </c>
      <c r="I117" s="229">
        <f t="shared" si="35"/>
        <v>560</v>
      </c>
      <c r="J117" s="229">
        <v>150</v>
      </c>
      <c r="K117" s="229">
        <f>VLOOKUP(C117,'Datos Aceites'!$A$5:$U$203,20,FALSE)</f>
        <v>44.65</v>
      </c>
      <c r="L117" s="229">
        <f t="shared" si="36"/>
        <v>261.625</v>
      </c>
      <c r="M117" s="32">
        <f t="shared" si="37"/>
        <v>821.625</v>
      </c>
      <c r="N117" s="46"/>
      <c r="O117" s="46"/>
      <c r="P117" s="46"/>
      <c r="Q117" s="46"/>
      <c r="R117" s="23">
        <v>9</v>
      </c>
      <c r="S117" s="229">
        <f t="shared" si="39"/>
        <v>720</v>
      </c>
      <c r="T117" s="229">
        <v>80</v>
      </c>
      <c r="U117" s="229">
        <f>VLOOKUP(C117,'Datos Aceites'!$A$5:$U$203,21,FALSE)</f>
        <v>117.77500000000001</v>
      </c>
      <c r="V117" s="229">
        <f t="shared" si="42"/>
        <v>315.55</v>
      </c>
      <c r="W117" s="35">
        <f t="shared" si="41"/>
        <v>1035.55</v>
      </c>
      <c r="X117" s="2"/>
      <c r="Y117" s="2"/>
    </row>
    <row r="118" spans="1:25" ht="20.100000000000001" customHeight="1" x14ac:dyDescent="0.2">
      <c r="A118" s="2" t="s">
        <v>30</v>
      </c>
      <c r="B118" s="50" t="s">
        <v>354</v>
      </c>
      <c r="C118" s="49" t="s">
        <v>353</v>
      </c>
      <c r="D118" s="23">
        <v>5.5</v>
      </c>
      <c r="E118" s="229">
        <f t="shared" si="33"/>
        <v>440</v>
      </c>
      <c r="F118" s="229">
        <v>100</v>
      </c>
      <c r="G118" s="32">
        <f t="shared" si="34"/>
        <v>540</v>
      </c>
      <c r="H118" s="23">
        <v>7</v>
      </c>
      <c r="I118" s="229">
        <f t="shared" si="35"/>
        <v>560</v>
      </c>
      <c r="J118" s="229">
        <v>150</v>
      </c>
      <c r="K118" s="229">
        <f>VLOOKUP(C118,'Datos Aceites'!$A$5:$U$203,20,FALSE)</f>
        <v>44.65</v>
      </c>
      <c r="L118" s="229">
        <f>J118+(K118*2.5)</f>
        <v>261.625</v>
      </c>
      <c r="M118" s="32">
        <f t="shared" si="37"/>
        <v>821.625</v>
      </c>
      <c r="N118" s="46"/>
      <c r="O118" s="46"/>
      <c r="P118" s="46"/>
      <c r="Q118" s="46"/>
      <c r="R118" s="23">
        <v>9</v>
      </c>
      <c r="S118" s="229">
        <f t="shared" si="39"/>
        <v>720</v>
      </c>
      <c r="T118" s="229">
        <v>80</v>
      </c>
      <c r="U118" s="229">
        <f>VLOOKUP(C118,'Datos Aceites'!$A$5:$U$203,21,FALSE)</f>
        <v>117.77500000000001</v>
      </c>
      <c r="V118" s="229">
        <f t="shared" si="42"/>
        <v>315.55</v>
      </c>
      <c r="W118" s="35">
        <f t="shared" si="41"/>
        <v>1035.55</v>
      </c>
      <c r="X118" s="2"/>
      <c r="Y118" s="2"/>
    </row>
    <row r="119" spans="1:25" ht="20.100000000000001" customHeight="1" x14ac:dyDescent="0.2">
      <c r="A119" s="2" t="s">
        <v>30</v>
      </c>
      <c r="B119" s="50" t="s">
        <v>355</v>
      </c>
      <c r="C119" s="49" t="s">
        <v>356</v>
      </c>
      <c r="D119" s="23">
        <v>5.5</v>
      </c>
      <c r="E119" s="229">
        <f t="shared" si="33"/>
        <v>440</v>
      </c>
      <c r="F119" s="229">
        <v>100</v>
      </c>
      <c r="G119" s="32">
        <f t="shared" si="34"/>
        <v>540</v>
      </c>
      <c r="H119" s="23">
        <v>7</v>
      </c>
      <c r="I119" s="229">
        <f t="shared" si="35"/>
        <v>560</v>
      </c>
      <c r="J119" s="229">
        <v>150</v>
      </c>
      <c r="K119" s="229">
        <f>VLOOKUP(C119,'Datos Aceites'!$A$5:$U$203,20,FALSE)</f>
        <v>44.65</v>
      </c>
      <c r="L119" s="229">
        <f t="shared" si="36"/>
        <v>261.625</v>
      </c>
      <c r="M119" s="32">
        <f t="shared" si="37"/>
        <v>821.625</v>
      </c>
      <c r="N119" s="46"/>
      <c r="O119" s="46"/>
      <c r="P119" s="46"/>
      <c r="Q119" s="46"/>
      <c r="R119" s="23">
        <v>9</v>
      </c>
      <c r="S119" s="229">
        <f t="shared" si="39"/>
        <v>720</v>
      </c>
      <c r="T119" s="229">
        <v>80</v>
      </c>
      <c r="U119" s="229">
        <f>VLOOKUP(C119,'Datos Aceites'!$A$5:$U$203,21,FALSE)</f>
        <v>117.77500000000001</v>
      </c>
      <c r="V119" s="229">
        <f t="shared" si="42"/>
        <v>315.55</v>
      </c>
      <c r="W119" s="35">
        <f t="shared" si="41"/>
        <v>1035.55</v>
      </c>
      <c r="X119" s="2"/>
      <c r="Y119" s="2"/>
    </row>
    <row r="120" spans="1:25" ht="20.100000000000001" customHeight="1" x14ac:dyDescent="0.2">
      <c r="A120" s="2" t="s">
        <v>33</v>
      </c>
      <c r="B120" s="50" t="s">
        <v>357</v>
      </c>
      <c r="C120" s="49" t="s">
        <v>358</v>
      </c>
      <c r="D120" s="23">
        <v>5.5</v>
      </c>
      <c r="E120" s="229">
        <f t="shared" si="33"/>
        <v>440</v>
      </c>
      <c r="F120" s="229">
        <v>100</v>
      </c>
      <c r="G120" s="32">
        <f t="shared" si="34"/>
        <v>540</v>
      </c>
      <c r="H120" s="23">
        <v>6</v>
      </c>
      <c r="I120" s="229">
        <f t="shared" si="35"/>
        <v>480</v>
      </c>
      <c r="J120" s="229">
        <v>150</v>
      </c>
      <c r="K120" s="229">
        <f>VLOOKUP(C120,'Datos Aceites'!$A$5:$U$203,20,FALSE)</f>
        <v>44.774999999999999</v>
      </c>
      <c r="L120" s="229">
        <f t="shared" si="36"/>
        <v>261.9375</v>
      </c>
      <c r="M120" s="32">
        <f t="shared" si="37"/>
        <v>741.9375</v>
      </c>
      <c r="N120" s="23">
        <v>6</v>
      </c>
      <c r="O120" s="24">
        <f>N120*$B$3</f>
        <v>480</v>
      </c>
      <c r="P120" s="24">
        <v>80</v>
      </c>
      <c r="Q120" s="24"/>
      <c r="R120" s="23">
        <v>7</v>
      </c>
      <c r="S120" s="229">
        <f t="shared" si="39"/>
        <v>560</v>
      </c>
      <c r="T120" s="229">
        <v>80</v>
      </c>
      <c r="U120" s="229">
        <f>VLOOKUP(C120,'Datos Aceites'!$A$5:$U$203,21,FALSE)</f>
        <v>117.9</v>
      </c>
      <c r="V120" s="229">
        <f t="shared" si="42"/>
        <v>315.8</v>
      </c>
      <c r="W120" s="35">
        <f t="shared" si="41"/>
        <v>875.8</v>
      </c>
      <c r="X120" s="2"/>
      <c r="Y120" s="2"/>
    </row>
    <row r="121" spans="1:25" ht="20.100000000000001" customHeight="1" x14ac:dyDescent="0.2">
      <c r="A121" s="2" t="s">
        <v>33</v>
      </c>
      <c r="B121" s="50" t="s">
        <v>359</v>
      </c>
      <c r="C121" s="49" t="s">
        <v>358</v>
      </c>
      <c r="D121" s="23">
        <v>5.5</v>
      </c>
      <c r="E121" s="229">
        <f t="shared" si="33"/>
        <v>440</v>
      </c>
      <c r="F121" s="229">
        <v>100</v>
      </c>
      <c r="G121" s="32">
        <f t="shared" si="34"/>
        <v>540</v>
      </c>
      <c r="H121" s="23">
        <v>7</v>
      </c>
      <c r="I121" s="229">
        <f t="shared" si="35"/>
        <v>560</v>
      </c>
      <c r="J121" s="229">
        <v>150</v>
      </c>
      <c r="K121" s="229">
        <f>VLOOKUP(C121,'Datos Aceites'!$A$5:$U$203,20,FALSE)</f>
        <v>44.774999999999999</v>
      </c>
      <c r="L121" s="229">
        <f t="shared" si="36"/>
        <v>261.9375</v>
      </c>
      <c r="M121" s="32">
        <f t="shared" si="37"/>
        <v>821.9375</v>
      </c>
      <c r="N121" s="23">
        <v>6</v>
      </c>
      <c r="O121" s="24">
        <f>N121*$B$3</f>
        <v>480</v>
      </c>
      <c r="P121" s="24">
        <v>80</v>
      </c>
      <c r="Q121" s="24"/>
      <c r="R121" s="23">
        <v>9</v>
      </c>
      <c r="S121" s="229">
        <f t="shared" si="39"/>
        <v>720</v>
      </c>
      <c r="T121" s="229">
        <v>80</v>
      </c>
      <c r="U121" s="229">
        <f>VLOOKUP(C121,'Datos Aceites'!$A$5:$U$203,21,FALSE)</f>
        <v>117.9</v>
      </c>
      <c r="V121" s="229">
        <f t="shared" si="42"/>
        <v>315.8</v>
      </c>
      <c r="W121" s="35">
        <f t="shared" si="41"/>
        <v>1035.8</v>
      </c>
      <c r="X121" s="2"/>
      <c r="Y121" s="2"/>
    </row>
    <row r="122" spans="1:25" ht="20.100000000000001" customHeight="1" x14ac:dyDescent="0.2">
      <c r="A122" s="2" t="s">
        <v>33</v>
      </c>
      <c r="B122" s="50" t="s">
        <v>360</v>
      </c>
      <c r="C122" s="49" t="s">
        <v>361</v>
      </c>
      <c r="D122" s="23">
        <v>3</v>
      </c>
      <c r="E122" s="229">
        <f t="shared" si="33"/>
        <v>240</v>
      </c>
      <c r="F122" s="229">
        <v>100</v>
      </c>
      <c r="G122" s="32">
        <f t="shared" si="34"/>
        <v>340</v>
      </c>
      <c r="H122" s="23">
        <v>4</v>
      </c>
      <c r="I122" s="229">
        <f t="shared" si="35"/>
        <v>320</v>
      </c>
      <c r="J122" s="229">
        <v>150</v>
      </c>
      <c r="K122" s="229">
        <f>VLOOKUP(C122,'Datos Aceites'!$A$5:$U$203,20,FALSE)</f>
        <v>54.25</v>
      </c>
      <c r="L122" s="229">
        <f t="shared" si="36"/>
        <v>285.625</v>
      </c>
      <c r="M122" s="32">
        <f t="shared" si="37"/>
        <v>605.625</v>
      </c>
      <c r="N122" s="23">
        <v>6</v>
      </c>
      <c r="O122" s="24">
        <f>N122*$B$3</f>
        <v>480</v>
      </c>
      <c r="P122" s="24">
        <v>80</v>
      </c>
      <c r="Q122" s="24"/>
      <c r="R122" s="23">
        <v>9</v>
      </c>
      <c r="S122" s="229">
        <f t="shared" si="39"/>
        <v>720</v>
      </c>
      <c r="T122" s="229">
        <v>80</v>
      </c>
      <c r="U122" s="229">
        <f>VLOOKUP(C122,'Datos Aceites'!$A$5:$U$203,21,FALSE)</f>
        <v>200.5</v>
      </c>
      <c r="V122" s="229">
        <f t="shared" si="42"/>
        <v>481</v>
      </c>
      <c r="W122" s="35">
        <f t="shared" si="41"/>
        <v>1201</v>
      </c>
      <c r="X122" s="2"/>
      <c r="Y122" s="2"/>
    </row>
    <row r="123" spans="1:25" ht="20.100000000000001" customHeight="1" x14ac:dyDescent="0.2">
      <c r="A123" s="2" t="s">
        <v>30</v>
      </c>
      <c r="B123" s="50" t="s">
        <v>362</v>
      </c>
      <c r="C123" s="49" t="s">
        <v>363</v>
      </c>
      <c r="D123" s="23">
        <v>3</v>
      </c>
      <c r="E123" s="229">
        <f t="shared" si="33"/>
        <v>240</v>
      </c>
      <c r="F123" s="229">
        <v>100</v>
      </c>
      <c r="G123" s="32">
        <f t="shared" si="34"/>
        <v>340</v>
      </c>
      <c r="H123" s="23">
        <v>4</v>
      </c>
      <c r="I123" s="229">
        <f t="shared" si="35"/>
        <v>320</v>
      </c>
      <c r="J123" s="229">
        <v>150</v>
      </c>
      <c r="K123" s="229">
        <f>VLOOKUP(C123,'Datos Aceites'!$A$5:$U$203,20,FALSE)</f>
        <v>18.099999999999998</v>
      </c>
      <c r="L123" s="229">
        <f t="shared" si="36"/>
        <v>195.25</v>
      </c>
      <c r="M123" s="32">
        <f t="shared" si="37"/>
        <v>515.25</v>
      </c>
      <c r="N123" s="23">
        <v>6</v>
      </c>
      <c r="O123" s="24">
        <f>N123*$B$3</f>
        <v>480</v>
      </c>
      <c r="P123" s="24">
        <v>80</v>
      </c>
      <c r="Q123" s="24"/>
      <c r="R123" s="23">
        <v>8</v>
      </c>
      <c r="S123" s="229">
        <f t="shared" si="39"/>
        <v>640</v>
      </c>
      <c r="T123" s="229">
        <v>80</v>
      </c>
      <c r="U123" s="229">
        <f>VLOOKUP(C123,'Datos Aceites'!$A$5:$U$203,21,FALSE)</f>
        <v>163.1</v>
      </c>
      <c r="V123" s="229">
        <f t="shared" si="42"/>
        <v>406.2</v>
      </c>
      <c r="W123" s="35">
        <f t="shared" si="41"/>
        <v>1046.2</v>
      </c>
      <c r="X123" s="2"/>
      <c r="Y123" s="2"/>
    </row>
    <row r="124" spans="1:25" ht="20.100000000000001" customHeight="1" x14ac:dyDescent="0.2">
      <c r="A124" s="2" t="s">
        <v>30</v>
      </c>
      <c r="B124" s="50" t="s">
        <v>364</v>
      </c>
      <c r="C124" s="49" t="s">
        <v>365</v>
      </c>
      <c r="D124" s="23">
        <v>3</v>
      </c>
      <c r="E124" s="229">
        <f t="shared" si="33"/>
        <v>240</v>
      </c>
      <c r="F124" s="229">
        <v>100</v>
      </c>
      <c r="G124" s="32">
        <f t="shared" si="34"/>
        <v>340</v>
      </c>
      <c r="H124" s="23">
        <v>4</v>
      </c>
      <c r="I124" s="229">
        <f t="shared" si="35"/>
        <v>320</v>
      </c>
      <c r="J124" s="229">
        <v>150</v>
      </c>
      <c r="K124" s="229">
        <f>VLOOKUP(C124,'Datos Aceites'!$A$5:$U$203,20,FALSE)</f>
        <v>31.349999999999998</v>
      </c>
      <c r="L124" s="229">
        <f t="shared" si="36"/>
        <v>228.375</v>
      </c>
      <c r="M124" s="32">
        <f t="shared" si="37"/>
        <v>548.375</v>
      </c>
      <c r="N124" s="23">
        <v>6</v>
      </c>
      <c r="O124" s="24">
        <f>N124*$B$3</f>
        <v>480</v>
      </c>
      <c r="P124" s="24">
        <v>80</v>
      </c>
      <c r="Q124" s="24"/>
      <c r="R124" s="23">
        <v>8</v>
      </c>
      <c r="S124" s="229">
        <f t="shared" si="39"/>
        <v>640</v>
      </c>
      <c r="T124" s="229">
        <v>80</v>
      </c>
      <c r="U124" s="229">
        <f>VLOOKUP(C124,'Datos Aceites'!$A$5:$U$203,21,FALSE)</f>
        <v>195.1</v>
      </c>
      <c r="V124" s="229">
        <f t="shared" si="42"/>
        <v>470.2</v>
      </c>
      <c r="W124" s="35">
        <f t="shared" si="41"/>
        <v>1110.2</v>
      </c>
      <c r="X124" s="2"/>
      <c r="Y124" s="2"/>
    </row>
    <row r="125" spans="1:25" ht="20.100000000000001" customHeight="1" x14ac:dyDescent="0.2">
      <c r="B125" s="50" t="s">
        <v>366</v>
      </c>
      <c r="C125" s="49" t="s">
        <v>367</v>
      </c>
      <c r="D125" s="23">
        <v>3</v>
      </c>
      <c r="E125" s="229">
        <f t="shared" si="33"/>
        <v>240</v>
      </c>
      <c r="F125" s="229">
        <v>100</v>
      </c>
      <c r="G125" s="32">
        <f t="shared" si="34"/>
        <v>340</v>
      </c>
      <c r="H125" s="23">
        <v>4</v>
      </c>
      <c r="I125" s="229">
        <f t="shared" si="35"/>
        <v>320</v>
      </c>
      <c r="J125" s="229">
        <v>150</v>
      </c>
      <c r="K125" s="229">
        <f>VLOOKUP(C125,'Datos Aceites'!$A$5:$U$203,20,FALSE)</f>
        <v>95.600000000000009</v>
      </c>
      <c r="L125" s="229">
        <f t="shared" si="36"/>
        <v>389</v>
      </c>
      <c r="M125" s="32">
        <f t="shared" si="37"/>
        <v>709</v>
      </c>
      <c r="N125" s="23"/>
      <c r="O125" s="24"/>
      <c r="P125" s="24"/>
      <c r="Q125" s="24"/>
      <c r="R125" s="23">
        <v>8</v>
      </c>
      <c r="S125" s="229">
        <f t="shared" si="39"/>
        <v>640</v>
      </c>
      <c r="T125" s="229">
        <v>80</v>
      </c>
      <c r="U125" s="229">
        <f>VLOOKUP(C125,'Datos Aceites'!$A$5:$U$203,21,FALSE)</f>
        <v>280.59999999999997</v>
      </c>
      <c r="V125" s="229">
        <f t="shared" si="42"/>
        <v>641.19999999999993</v>
      </c>
      <c r="W125" s="35">
        <f t="shared" si="41"/>
        <v>1281.1999999999998</v>
      </c>
      <c r="X125" s="2"/>
      <c r="Y125" s="2"/>
    </row>
    <row r="126" spans="1:25" ht="20.100000000000001" customHeight="1" x14ac:dyDescent="0.2">
      <c r="A126" s="2" t="s">
        <v>30</v>
      </c>
      <c r="B126" s="50" t="s">
        <v>368</v>
      </c>
      <c r="C126" s="49" t="s">
        <v>369</v>
      </c>
      <c r="D126" s="23">
        <v>3</v>
      </c>
      <c r="E126" s="229">
        <f t="shared" si="33"/>
        <v>240</v>
      </c>
      <c r="F126" s="229">
        <v>100</v>
      </c>
      <c r="G126" s="32">
        <f t="shared" si="34"/>
        <v>340</v>
      </c>
      <c r="H126" s="23">
        <v>5</v>
      </c>
      <c r="I126" s="229">
        <f t="shared" si="35"/>
        <v>400</v>
      </c>
      <c r="J126" s="229">
        <v>150</v>
      </c>
      <c r="K126" s="229">
        <f>VLOOKUP(C126,'Datos Aceites'!$A$5:$U$203,20,FALSE)</f>
        <v>77.225000000000009</v>
      </c>
      <c r="L126" s="229">
        <f t="shared" si="36"/>
        <v>343.0625</v>
      </c>
      <c r="M126" s="32">
        <f t="shared" si="37"/>
        <v>743.0625</v>
      </c>
      <c r="N126" s="23"/>
      <c r="O126" s="24"/>
      <c r="P126" s="24"/>
      <c r="Q126" s="24"/>
      <c r="R126" s="23">
        <v>6</v>
      </c>
      <c r="S126" s="229">
        <f t="shared" si="39"/>
        <v>480</v>
      </c>
      <c r="T126" s="229">
        <v>80</v>
      </c>
      <c r="U126" s="229">
        <f>VLOOKUP(C126,'Datos Aceites'!$A$5:$U$203,21,FALSE)</f>
        <v>222.22499999999999</v>
      </c>
      <c r="V126" s="229">
        <f t="shared" si="42"/>
        <v>524.45000000000005</v>
      </c>
      <c r="W126" s="35">
        <f t="shared" si="41"/>
        <v>1004.45</v>
      </c>
      <c r="X126" s="2"/>
      <c r="Y126" s="2"/>
    </row>
    <row r="127" spans="1:25" ht="20.100000000000001" customHeight="1" x14ac:dyDescent="0.2">
      <c r="A127" s="2" t="s">
        <v>30</v>
      </c>
      <c r="B127" s="50" t="s">
        <v>370</v>
      </c>
      <c r="C127" s="49" t="s">
        <v>371</v>
      </c>
      <c r="D127" s="23">
        <v>3</v>
      </c>
      <c r="E127" s="229">
        <f t="shared" si="33"/>
        <v>240</v>
      </c>
      <c r="F127" s="229">
        <v>100</v>
      </c>
      <c r="G127" s="32">
        <f t="shared" si="34"/>
        <v>340</v>
      </c>
      <c r="H127" s="23">
        <v>5</v>
      </c>
      <c r="I127" s="229">
        <f t="shared" si="35"/>
        <v>400</v>
      </c>
      <c r="J127" s="229">
        <v>150</v>
      </c>
      <c r="K127" s="229">
        <f>VLOOKUP(C127,'Datos Aceites'!$A$5:$U$203,20,FALSE)</f>
        <v>32.6</v>
      </c>
      <c r="L127" s="229">
        <f t="shared" si="36"/>
        <v>231.5</v>
      </c>
      <c r="M127" s="32">
        <f t="shared" si="37"/>
        <v>631.5</v>
      </c>
      <c r="N127" s="23"/>
      <c r="O127" s="24"/>
      <c r="P127" s="24"/>
      <c r="Q127" s="24"/>
      <c r="R127" s="23">
        <v>6</v>
      </c>
      <c r="S127" s="229">
        <f t="shared" si="39"/>
        <v>480</v>
      </c>
      <c r="T127" s="229">
        <v>80</v>
      </c>
      <c r="U127" s="229">
        <f>VLOOKUP(C127,'Datos Aceites'!$A$5:$U$203,21,FALSE)</f>
        <v>166.35</v>
      </c>
      <c r="V127" s="229">
        <f t="shared" si="42"/>
        <v>412.7</v>
      </c>
      <c r="W127" s="35">
        <f t="shared" si="41"/>
        <v>892.7</v>
      </c>
      <c r="X127" s="2"/>
      <c r="Y127" s="2"/>
    </row>
    <row r="128" spans="1:25" ht="20.100000000000001" customHeight="1" x14ac:dyDescent="0.2">
      <c r="A128" s="2" t="s">
        <v>30</v>
      </c>
      <c r="B128" s="50" t="s">
        <v>372</v>
      </c>
      <c r="C128" s="49" t="s">
        <v>373</v>
      </c>
      <c r="D128" s="23">
        <v>1.5</v>
      </c>
      <c r="E128" s="229">
        <f t="shared" si="33"/>
        <v>120</v>
      </c>
      <c r="F128" s="229">
        <v>100</v>
      </c>
      <c r="G128" s="32">
        <f t="shared" si="34"/>
        <v>220</v>
      </c>
      <c r="H128" s="23">
        <v>5</v>
      </c>
      <c r="I128" s="229">
        <f t="shared" si="35"/>
        <v>400</v>
      </c>
      <c r="J128" s="229">
        <v>150</v>
      </c>
      <c r="K128" s="229">
        <f>VLOOKUP(C128,'Datos Aceites'!$A$5:$U$203,20,FALSE)</f>
        <v>24.349999999999998</v>
      </c>
      <c r="L128" s="229">
        <f t="shared" si="36"/>
        <v>210.875</v>
      </c>
      <c r="M128" s="32">
        <f t="shared" si="37"/>
        <v>610.875</v>
      </c>
      <c r="N128" s="23"/>
      <c r="O128" s="24"/>
      <c r="P128" s="24"/>
      <c r="Q128" s="24"/>
      <c r="R128" s="23">
        <v>6</v>
      </c>
      <c r="S128" s="229">
        <f t="shared" si="39"/>
        <v>480</v>
      </c>
      <c r="T128" s="229">
        <v>80</v>
      </c>
      <c r="U128" s="229">
        <f>VLOOKUP(C128,'Datos Aceites'!$A$5:$U$203,21,FALSE)</f>
        <v>179.35</v>
      </c>
      <c r="V128" s="229">
        <f t="shared" si="42"/>
        <v>438.7</v>
      </c>
      <c r="W128" s="35">
        <f t="shared" si="41"/>
        <v>918.7</v>
      </c>
      <c r="X128" s="2"/>
      <c r="Y128" s="2"/>
    </row>
    <row r="129" spans="1:30" ht="20.100000000000001" customHeight="1" x14ac:dyDescent="0.2">
      <c r="B129" s="50" t="s">
        <v>122</v>
      </c>
      <c r="C129" s="49" t="s">
        <v>374</v>
      </c>
      <c r="D129" s="23">
        <v>3</v>
      </c>
      <c r="E129" s="229">
        <f t="shared" si="33"/>
        <v>240</v>
      </c>
      <c r="F129" s="229">
        <v>100</v>
      </c>
      <c r="G129" s="32">
        <f t="shared" si="34"/>
        <v>340</v>
      </c>
      <c r="H129" s="23">
        <v>4</v>
      </c>
      <c r="I129" s="229">
        <f t="shared" si="35"/>
        <v>320</v>
      </c>
      <c r="J129" s="229">
        <v>150</v>
      </c>
      <c r="K129" s="229">
        <f>VLOOKUP(C129,'Datos Aceites'!$A$5:$U$203,20,FALSE)</f>
        <v>95.600000000000009</v>
      </c>
      <c r="L129" s="229">
        <f t="shared" si="36"/>
        <v>389</v>
      </c>
      <c r="M129" s="32">
        <f t="shared" si="37"/>
        <v>709</v>
      </c>
      <c r="N129" s="23"/>
      <c r="O129" s="24"/>
      <c r="P129" s="24"/>
      <c r="Q129" s="24"/>
      <c r="R129" s="23">
        <v>8</v>
      </c>
      <c r="S129" s="229">
        <f t="shared" si="39"/>
        <v>640</v>
      </c>
      <c r="T129" s="229">
        <v>80</v>
      </c>
      <c r="U129" s="229">
        <f>VLOOKUP(C129,'Datos Aceites'!$A$5:$U$203,21,FALSE)</f>
        <v>280.59999999999997</v>
      </c>
      <c r="V129" s="229">
        <f t="shared" si="42"/>
        <v>641.19999999999993</v>
      </c>
      <c r="W129" s="35">
        <f t="shared" si="41"/>
        <v>1281.1999999999998</v>
      </c>
      <c r="X129" s="2"/>
      <c r="Y129" s="2"/>
    </row>
    <row r="130" spans="1:30" ht="20.100000000000001" customHeight="1" x14ac:dyDescent="0.2">
      <c r="A130" s="2" t="s">
        <v>30</v>
      </c>
      <c r="B130" s="50" t="s">
        <v>124</v>
      </c>
      <c r="C130" s="49" t="s">
        <v>375</v>
      </c>
      <c r="D130" s="23">
        <v>3</v>
      </c>
      <c r="E130" s="229">
        <f t="shared" si="33"/>
        <v>240</v>
      </c>
      <c r="F130" s="229">
        <v>100</v>
      </c>
      <c r="G130" s="32">
        <f t="shared" si="34"/>
        <v>340</v>
      </c>
      <c r="H130" s="23">
        <v>4</v>
      </c>
      <c r="I130" s="229">
        <f t="shared" si="35"/>
        <v>320</v>
      </c>
      <c r="J130" s="229">
        <v>150</v>
      </c>
      <c r="K130" s="229">
        <f>VLOOKUP(C130,'Datos Aceites'!$A$5:$U$203,20,FALSE)</f>
        <v>93.100000000000009</v>
      </c>
      <c r="L130" s="229">
        <f t="shared" si="36"/>
        <v>382.75</v>
      </c>
      <c r="M130" s="32">
        <f t="shared" si="37"/>
        <v>702.75</v>
      </c>
      <c r="N130" s="23"/>
      <c r="O130" s="24"/>
      <c r="P130" s="24"/>
      <c r="Q130" s="24"/>
      <c r="R130" s="23">
        <v>9</v>
      </c>
      <c r="S130" s="229">
        <f t="shared" si="39"/>
        <v>720</v>
      </c>
      <c r="T130" s="229">
        <v>80</v>
      </c>
      <c r="U130" s="229">
        <f>VLOOKUP(C130,'Datos Aceites'!$A$5:$U$203,21,FALSE)</f>
        <v>273.09999999999997</v>
      </c>
      <c r="V130" s="229">
        <f t="shared" si="42"/>
        <v>626.19999999999993</v>
      </c>
      <c r="W130" s="35">
        <f t="shared" si="41"/>
        <v>1346.1999999999998</v>
      </c>
      <c r="X130" s="2"/>
      <c r="Y130" s="2"/>
    </row>
    <row r="131" spans="1:30" ht="20.100000000000001" customHeight="1" x14ac:dyDescent="0.2">
      <c r="A131" s="2" t="s">
        <v>30</v>
      </c>
      <c r="B131" s="50" t="s">
        <v>124</v>
      </c>
      <c r="C131" s="49" t="s">
        <v>376</v>
      </c>
      <c r="D131" s="23">
        <v>3</v>
      </c>
      <c r="E131" s="229">
        <f t="shared" si="33"/>
        <v>240</v>
      </c>
      <c r="F131" s="229">
        <v>100</v>
      </c>
      <c r="G131" s="32">
        <f t="shared" si="34"/>
        <v>340</v>
      </c>
      <c r="H131" s="23">
        <v>4</v>
      </c>
      <c r="I131" s="229">
        <f t="shared" si="35"/>
        <v>320</v>
      </c>
      <c r="J131" s="229">
        <v>150</v>
      </c>
      <c r="K131" s="229">
        <f>VLOOKUP(C131,'Datos Aceites'!$A$5:$U$203,20,FALSE)</f>
        <v>31.349999999999998</v>
      </c>
      <c r="L131" s="229">
        <f t="shared" si="36"/>
        <v>228.375</v>
      </c>
      <c r="M131" s="32">
        <f t="shared" si="37"/>
        <v>548.375</v>
      </c>
      <c r="N131" s="23"/>
      <c r="O131" s="24"/>
      <c r="P131" s="24"/>
      <c r="Q131" s="24"/>
      <c r="R131" s="23">
        <v>8</v>
      </c>
      <c r="S131" s="229">
        <f t="shared" si="39"/>
        <v>640</v>
      </c>
      <c r="T131" s="229">
        <v>80</v>
      </c>
      <c r="U131" s="229">
        <f>VLOOKUP(C131,'Datos Aceites'!$A$5:$U$203,21,FALSE)</f>
        <v>195.1</v>
      </c>
      <c r="V131" s="229">
        <f t="shared" si="42"/>
        <v>470.2</v>
      </c>
      <c r="W131" s="35">
        <f t="shared" si="41"/>
        <v>1110.2</v>
      </c>
      <c r="X131" s="2"/>
      <c r="Y131" s="2"/>
    </row>
    <row r="132" spans="1:30" ht="20.100000000000001" customHeight="1" x14ac:dyDescent="0.2">
      <c r="A132" s="2" t="s">
        <v>30</v>
      </c>
      <c r="B132" s="50" t="s">
        <v>31</v>
      </c>
      <c r="C132" s="49" t="s">
        <v>377</v>
      </c>
      <c r="D132" s="23">
        <v>3</v>
      </c>
      <c r="E132" s="229">
        <f t="shared" si="33"/>
        <v>240</v>
      </c>
      <c r="F132" s="229">
        <v>100</v>
      </c>
      <c r="G132" s="32">
        <f t="shared" si="34"/>
        <v>340</v>
      </c>
      <c r="H132" s="23">
        <v>4</v>
      </c>
      <c r="I132" s="229">
        <f t="shared" si="35"/>
        <v>320</v>
      </c>
      <c r="J132" s="229">
        <v>150</v>
      </c>
      <c r="K132" s="229">
        <f>VLOOKUP(C132,'Datos Aceites'!$A$5:$U$203,20,FALSE)</f>
        <v>31.349999999999998</v>
      </c>
      <c r="L132" s="229">
        <f t="shared" si="36"/>
        <v>228.375</v>
      </c>
      <c r="M132" s="32">
        <f t="shared" si="37"/>
        <v>548.375</v>
      </c>
      <c r="N132" s="23"/>
      <c r="O132" s="24"/>
      <c r="P132" s="24"/>
      <c r="Q132" s="24"/>
      <c r="R132" s="23">
        <v>8</v>
      </c>
      <c r="S132" s="229">
        <f t="shared" si="39"/>
        <v>640</v>
      </c>
      <c r="T132" s="229">
        <v>80</v>
      </c>
      <c r="U132" s="229">
        <f>VLOOKUP(C132,'Datos Aceites'!$A$5:$U$203,21,FALSE)</f>
        <v>192.6</v>
      </c>
      <c r="V132" s="229">
        <f t="shared" si="42"/>
        <v>465.2</v>
      </c>
      <c r="W132" s="35">
        <f t="shared" si="41"/>
        <v>1105.2</v>
      </c>
      <c r="X132" s="2"/>
      <c r="Y132" s="2"/>
    </row>
    <row r="133" spans="1:30" ht="20.100000000000001" customHeight="1" x14ac:dyDescent="0.2">
      <c r="A133" s="2" t="s">
        <v>30</v>
      </c>
      <c r="B133" s="52" t="s">
        <v>378</v>
      </c>
      <c r="C133" s="53" t="s">
        <v>379</v>
      </c>
      <c r="D133" s="54">
        <v>3</v>
      </c>
      <c r="E133" s="231">
        <f>D133*$B$3</f>
        <v>240</v>
      </c>
      <c r="F133" s="231">
        <v>100</v>
      </c>
      <c r="G133" s="56">
        <f>E133+F133</f>
        <v>340</v>
      </c>
      <c r="H133" s="54">
        <v>5</v>
      </c>
      <c r="I133" s="231">
        <f>H133*$B$3</f>
        <v>400</v>
      </c>
      <c r="J133" s="231">
        <v>150</v>
      </c>
      <c r="K133" s="229">
        <f>VLOOKUP(C133,'Datos Aceites'!$A$5:$U$203,20,FALSE)</f>
        <v>36.35</v>
      </c>
      <c r="L133" s="231">
        <f>J133+(K133*2.5)</f>
        <v>240.875</v>
      </c>
      <c r="M133" s="56">
        <f>J133+(K133*2.5)+I133</f>
        <v>640.875</v>
      </c>
      <c r="N133" s="54"/>
      <c r="O133" s="55"/>
      <c r="P133" s="55"/>
      <c r="Q133" s="55"/>
      <c r="R133" s="54">
        <v>8</v>
      </c>
      <c r="S133" s="231">
        <f>R133*$B$3</f>
        <v>640</v>
      </c>
      <c r="T133" s="231">
        <v>80</v>
      </c>
      <c r="U133" s="229">
        <f>VLOOKUP(C133,'Datos Aceites'!$A$5:$U$203,21,FALSE)</f>
        <v>202.6</v>
      </c>
      <c r="V133" s="231">
        <f>T133+(U133*2)</f>
        <v>485.2</v>
      </c>
      <c r="W133" s="57">
        <f>T133+(U133*2)+S133</f>
        <v>1125.2</v>
      </c>
      <c r="X133" s="2"/>
      <c r="Y133" s="58"/>
      <c r="Z133" s="58"/>
      <c r="AA133" s="58"/>
      <c r="AB133" s="58"/>
      <c r="AC133" s="58"/>
      <c r="AD133" s="58"/>
    </row>
    <row r="134" spans="1:30" ht="20.100000000000001" customHeight="1" x14ac:dyDescent="0.2">
      <c r="A134" s="2" t="s">
        <v>30</v>
      </c>
      <c r="B134" s="50" t="s">
        <v>380</v>
      </c>
      <c r="C134" s="49" t="s">
        <v>381</v>
      </c>
      <c r="D134" s="23">
        <v>4</v>
      </c>
      <c r="E134" s="229">
        <f t="shared" si="33"/>
        <v>320</v>
      </c>
      <c r="F134" s="229">
        <v>100</v>
      </c>
      <c r="G134" s="32">
        <f t="shared" si="34"/>
        <v>420</v>
      </c>
      <c r="H134" s="23">
        <v>5</v>
      </c>
      <c r="I134" s="229">
        <f t="shared" si="35"/>
        <v>400</v>
      </c>
      <c r="J134" s="229">
        <v>150</v>
      </c>
      <c r="K134" s="229">
        <f>VLOOKUP(C134,'Datos Aceites'!$A$5:$U$203,20,FALSE)</f>
        <v>32.6</v>
      </c>
      <c r="L134" s="229">
        <f t="shared" si="36"/>
        <v>231.5</v>
      </c>
      <c r="M134" s="32">
        <f t="shared" si="37"/>
        <v>631.5</v>
      </c>
      <c r="N134" s="23"/>
      <c r="O134" s="24"/>
      <c r="P134" s="24"/>
      <c r="Q134" s="24"/>
      <c r="R134" s="23">
        <v>8</v>
      </c>
      <c r="S134" s="229">
        <f t="shared" si="39"/>
        <v>640</v>
      </c>
      <c r="T134" s="229">
        <v>80</v>
      </c>
      <c r="U134" s="229">
        <f>VLOOKUP(C134,'Datos Aceites'!$A$5:$U$203,21,FALSE)</f>
        <v>172.6</v>
      </c>
      <c r="V134" s="229">
        <f t="shared" si="42"/>
        <v>425.2</v>
      </c>
      <c r="W134" s="35">
        <f t="shared" si="41"/>
        <v>1065.2</v>
      </c>
      <c r="X134" s="2"/>
      <c r="Y134" s="2"/>
    </row>
    <row r="135" spans="1:30" ht="20.100000000000001" customHeight="1" x14ac:dyDescent="0.2">
      <c r="A135" s="2" t="s">
        <v>33</v>
      </c>
      <c r="B135" s="50" t="s">
        <v>382</v>
      </c>
      <c r="C135" s="49" t="s">
        <v>383</v>
      </c>
      <c r="D135" s="23">
        <v>4</v>
      </c>
      <c r="E135" s="229">
        <f t="shared" si="33"/>
        <v>320</v>
      </c>
      <c r="F135" s="229">
        <v>100</v>
      </c>
      <c r="G135" s="32">
        <f t="shared" si="34"/>
        <v>420</v>
      </c>
      <c r="H135" s="23">
        <v>5</v>
      </c>
      <c r="I135" s="229">
        <f t="shared" si="35"/>
        <v>400</v>
      </c>
      <c r="J135" s="229">
        <v>150</v>
      </c>
      <c r="K135" s="229">
        <f>VLOOKUP(C135,'Datos Aceites'!$A$5:$U$203,20,FALSE)</f>
        <v>88.100000000000009</v>
      </c>
      <c r="L135" s="229">
        <f t="shared" si="36"/>
        <v>370.25</v>
      </c>
      <c r="M135" s="32">
        <f t="shared" si="37"/>
        <v>770.25</v>
      </c>
      <c r="N135" s="23"/>
      <c r="O135" s="24"/>
      <c r="P135" s="24"/>
      <c r="Q135" s="24"/>
      <c r="R135" s="23">
        <v>9</v>
      </c>
      <c r="S135" s="229">
        <f t="shared" si="39"/>
        <v>720</v>
      </c>
      <c r="T135" s="229">
        <v>80</v>
      </c>
      <c r="U135" s="229">
        <f>VLOOKUP(C135,'Datos Aceites'!$A$5:$U$203,21,FALSE)</f>
        <v>258.09999999999997</v>
      </c>
      <c r="V135" s="229">
        <f t="shared" si="42"/>
        <v>596.19999999999993</v>
      </c>
      <c r="W135" s="35">
        <f t="shared" si="41"/>
        <v>1316.1999999999998</v>
      </c>
      <c r="X135" s="2"/>
      <c r="Y135" s="2"/>
    </row>
    <row r="136" spans="1:30" ht="20.100000000000001" customHeight="1" x14ac:dyDescent="0.2">
      <c r="B136" s="49" t="s">
        <v>384</v>
      </c>
      <c r="C136" s="49" t="s">
        <v>384</v>
      </c>
      <c r="D136" s="23">
        <v>4</v>
      </c>
      <c r="E136" s="229">
        <f t="shared" si="33"/>
        <v>320</v>
      </c>
      <c r="F136" s="229">
        <v>100</v>
      </c>
      <c r="G136" s="32">
        <f t="shared" si="34"/>
        <v>420</v>
      </c>
      <c r="H136" s="23">
        <v>5</v>
      </c>
      <c r="I136" s="229">
        <f t="shared" si="35"/>
        <v>400</v>
      </c>
      <c r="J136" s="229">
        <v>150</v>
      </c>
      <c r="K136" s="229">
        <f>VLOOKUP(C136,'Datos Aceites'!$A$5:$U$203,20,FALSE)</f>
        <v>64.350000000000009</v>
      </c>
      <c r="L136" s="229">
        <f t="shared" si="36"/>
        <v>310.875</v>
      </c>
      <c r="M136" s="32">
        <f t="shared" si="37"/>
        <v>710.875</v>
      </c>
      <c r="N136" s="23"/>
      <c r="O136" s="24"/>
      <c r="P136" s="24"/>
      <c r="Q136" s="24"/>
      <c r="R136" s="23">
        <v>9</v>
      </c>
      <c r="S136" s="229">
        <f t="shared" si="39"/>
        <v>720</v>
      </c>
      <c r="T136" s="229">
        <v>80</v>
      </c>
      <c r="U136" s="229">
        <f>VLOOKUP(C136,'Datos Aceites'!$A$5:$U$203,21,FALSE)</f>
        <v>230.6</v>
      </c>
      <c r="V136" s="229">
        <f t="shared" si="42"/>
        <v>541.20000000000005</v>
      </c>
      <c r="W136" s="35">
        <f t="shared" si="41"/>
        <v>1261.2</v>
      </c>
      <c r="X136" s="2"/>
      <c r="Y136" s="2"/>
    </row>
    <row r="137" spans="1:30" ht="20.100000000000001" customHeight="1" thickBot="1" x14ac:dyDescent="0.25">
      <c r="B137" s="59"/>
      <c r="C137" s="60"/>
      <c r="D137" s="61"/>
      <c r="E137" s="62"/>
      <c r="F137" s="62"/>
      <c r="G137" s="63"/>
      <c r="H137" s="61"/>
      <c r="I137" s="62"/>
      <c r="J137" s="62"/>
      <c r="K137" s="62"/>
      <c r="L137" s="62"/>
      <c r="M137" s="63"/>
      <c r="N137" s="61"/>
      <c r="O137" s="62"/>
      <c r="P137" s="62"/>
      <c r="Q137" s="62"/>
      <c r="R137" s="61"/>
      <c r="S137" s="62"/>
      <c r="T137" s="62"/>
      <c r="U137" s="62"/>
      <c r="V137" s="62"/>
      <c r="W137" s="64"/>
      <c r="X137" s="2"/>
      <c r="Y137" s="2"/>
    </row>
    <row r="146" spans="1:1" x14ac:dyDescent="0.25">
      <c r="A146" s="179" t="s">
        <v>385</v>
      </c>
    </row>
    <row r="147" spans="1:1" x14ac:dyDescent="0.25">
      <c r="A147" s="65" t="str" cm="1">
        <f t="array" ref="A147:A158">_xlfn._xlws.SORT(
   _xlfn._xlws.FILTER(
     _xlfn.UNIQUE(A1:A137),
     _xlfn.UNIQUE(A1:A137)&lt;&gt;""
   ),
   1,
)</f>
        <v>IRC5</v>
      </c>
    </row>
    <row r="148" spans="1:1" x14ac:dyDescent="0.25">
      <c r="A148" s="2" t="str">
        <v>IRC5 COMP</v>
      </c>
    </row>
    <row r="149" spans="1:1" x14ac:dyDescent="0.25">
      <c r="A149" s="2" t="str">
        <v>IRC5P</v>
      </c>
    </row>
    <row r="150" spans="1:1" x14ac:dyDescent="0.25">
      <c r="A150" s="2" t="str">
        <v>KRC2</v>
      </c>
    </row>
    <row r="151" spans="1:1" x14ac:dyDescent="0.25">
      <c r="A151" s="2" t="str">
        <v>KRC2sr</v>
      </c>
    </row>
    <row r="152" spans="1:1" x14ac:dyDescent="0.25">
      <c r="A152" s="2" t="str">
        <v>KRC4</v>
      </c>
    </row>
    <row r="153" spans="1:1" x14ac:dyDescent="0.25">
      <c r="A153" s="2" t="str">
        <v>R30iA</v>
      </c>
    </row>
    <row r="154" spans="1:1" x14ac:dyDescent="0.25">
      <c r="A154" s="2" t="str">
        <v>R30iB</v>
      </c>
    </row>
    <row r="155" spans="1:1" x14ac:dyDescent="0.25">
      <c r="A155" s="2" t="str">
        <v>R30iC</v>
      </c>
    </row>
    <row r="156" spans="1:1" x14ac:dyDescent="0.25">
      <c r="A156" s="2" t="str">
        <v>S4</v>
      </c>
    </row>
    <row r="157" spans="1:1" x14ac:dyDescent="0.25">
      <c r="A157" s="2" t="str">
        <v>S4C</v>
      </c>
    </row>
    <row r="158" spans="1:1" x14ac:dyDescent="0.25">
      <c r="A158" s="2" t="str">
        <v>S4C+</v>
      </c>
    </row>
  </sheetData>
  <mergeCells count="6">
    <mergeCell ref="D1:W1"/>
    <mergeCell ref="X1:AD2"/>
    <mergeCell ref="D2:G2"/>
    <mergeCell ref="H2:M2"/>
    <mergeCell ref="N2:Q2"/>
    <mergeCell ref="R2:W2"/>
  </mergeCells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5706830-EB93-4098-9663-56C1A404835C}">
  <sheetPr codeName="Hoja6"/>
  <dimension ref="A1:AQ96"/>
  <sheetViews>
    <sheetView topLeftCell="A18" zoomScale="85" zoomScaleNormal="85" workbookViewId="0">
      <selection activeCell="A27" sqref="A27:AI27"/>
    </sheetView>
  </sheetViews>
  <sheetFormatPr baseColWidth="10" defaultColWidth="11.42578125" defaultRowHeight="15" x14ac:dyDescent="0.25"/>
  <cols>
    <col min="1" max="1" width="37.42578125" bestFit="1" customWidth="1"/>
    <col min="2" max="2" width="5.140625" bestFit="1" customWidth="1"/>
    <col min="3" max="3" width="7.28515625" style="70" bestFit="1" customWidth="1"/>
    <col min="4" max="4" width="5.140625" bestFit="1" customWidth="1"/>
    <col min="5" max="5" width="7.28515625" bestFit="1" customWidth="1"/>
    <col min="6" max="6" width="5.140625" bestFit="1" customWidth="1"/>
    <col min="7" max="7" width="7.28515625" bestFit="1" customWidth="1"/>
    <col min="8" max="8" width="5.140625" bestFit="1" customWidth="1"/>
    <col min="9" max="9" width="7.28515625" bestFit="1" customWidth="1"/>
    <col min="10" max="10" width="5.140625" bestFit="1" customWidth="1"/>
    <col min="11" max="11" width="7.28515625" bestFit="1" customWidth="1"/>
    <col min="12" max="12" width="5.140625" bestFit="1" customWidth="1"/>
    <col min="13" max="13" width="7.28515625" bestFit="1" customWidth="1"/>
    <col min="14" max="14" width="5.140625" bestFit="1" customWidth="1"/>
    <col min="15" max="15" width="6.42578125" bestFit="1" customWidth="1"/>
    <col min="16" max="16" width="5.140625" bestFit="1" customWidth="1"/>
    <col min="17" max="17" width="7.28515625" bestFit="1" customWidth="1"/>
    <col min="18" max="18" width="5.140625" bestFit="1" customWidth="1"/>
    <col min="19" max="19" width="7.28515625" bestFit="1" customWidth="1"/>
    <col min="20" max="20" width="10.42578125" customWidth="1"/>
    <col min="21" max="21" width="9.42578125" bestFit="1" customWidth="1"/>
    <col min="22" max="32" width="4.7109375" customWidth="1"/>
    <col min="33" max="33" width="7.28515625" style="71" bestFit="1" customWidth="1"/>
    <col min="34" max="35" width="6.42578125" style="71" bestFit="1" customWidth="1"/>
    <col min="36" max="36" width="19.5703125" customWidth="1"/>
    <col min="37" max="37" width="3.42578125" customWidth="1"/>
    <col min="38" max="38" width="4.85546875" customWidth="1"/>
    <col min="39" max="39" width="37.28515625" customWidth="1"/>
    <col min="41" max="41" width="13.85546875" bestFit="1" customWidth="1"/>
    <col min="42" max="42" width="12.5703125" bestFit="1" customWidth="1"/>
  </cols>
  <sheetData>
    <row r="1" spans="1:43" ht="15.75" thickBot="1" x14ac:dyDescent="0.3">
      <c r="A1" s="68"/>
      <c r="B1" s="69"/>
    </row>
    <row r="2" spans="1:43" ht="18.75" customHeight="1" x14ac:dyDescent="0.25">
      <c r="B2" s="277" t="s">
        <v>386</v>
      </c>
      <c r="C2" s="278"/>
      <c r="D2" s="278"/>
      <c r="E2" s="278"/>
      <c r="F2" s="278"/>
      <c r="G2" s="278"/>
      <c r="H2" s="278"/>
      <c r="I2" s="278"/>
      <c r="J2" s="278"/>
      <c r="K2" s="278"/>
      <c r="L2" s="278"/>
      <c r="M2" s="278"/>
      <c r="N2" s="278" t="s">
        <v>387</v>
      </c>
      <c r="O2" s="278"/>
      <c r="P2" s="278"/>
      <c r="Q2" s="278"/>
      <c r="R2" s="278"/>
      <c r="S2" s="278"/>
      <c r="T2" s="279" t="s">
        <v>388</v>
      </c>
      <c r="U2" s="279"/>
      <c r="V2" s="280" t="s">
        <v>389</v>
      </c>
      <c r="W2" s="281"/>
      <c r="X2" s="281"/>
      <c r="Y2" s="281"/>
      <c r="Z2" s="281"/>
      <c r="AA2" s="281"/>
      <c r="AB2" s="281"/>
      <c r="AC2" s="281"/>
      <c r="AD2" s="281"/>
      <c r="AE2" s="281"/>
      <c r="AF2" s="281"/>
      <c r="AG2" s="281"/>
      <c r="AH2" s="282"/>
      <c r="AI2" s="283"/>
      <c r="AJ2" s="72" t="s">
        <v>390</v>
      </c>
      <c r="AL2" s="284" t="s">
        <v>391</v>
      </c>
      <c r="AM2" s="285"/>
      <c r="AN2" s="285"/>
      <c r="AO2" s="285"/>
      <c r="AP2" s="285"/>
      <c r="AQ2" s="73"/>
    </row>
    <row r="3" spans="1:43" x14ac:dyDescent="0.25">
      <c r="A3" s="74"/>
      <c r="B3" s="275" t="s">
        <v>392</v>
      </c>
      <c r="C3" s="276"/>
      <c r="D3" s="276" t="s">
        <v>393</v>
      </c>
      <c r="E3" s="276"/>
      <c r="F3" s="276" t="s">
        <v>394</v>
      </c>
      <c r="G3" s="276"/>
      <c r="H3" s="276" t="s">
        <v>395</v>
      </c>
      <c r="I3" s="276"/>
      <c r="J3" s="276" t="s">
        <v>396</v>
      </c>
      <c r="K3" s="276"/>
      <c r="L3" s="276" t="s">
        <v>397</v>
      </c>
      <c r="M3" s="276"/>
      <c r="N3" s="287"/>
      <c r="O3" s="288"/>
      <c r="P3" s="287"/>
      <c r="Q3" s="288"/>
      <c r="R3" s="287"/>
      <c r="S3" s="288"/>
      <c r="T3" s="75" t="s">
        <v>398</v>
      </c>
      <c r="U3" s="75" t="s">
        <v>399</v>
      </c>
      <c r="V3" s="76"/>
      <c r="W3" s="76"/>
      <c r="X3" s="76"/>
      <c r="Y3" s="76"/>
      <c r="Z3" s="76"/>
      <c r="AA3" s="76"/>
      <c r="AB3" s="76"/>
      <c r="AC3" s="76"/>
      <c r="AD3" s="76"/>
      <c r="AE3" s="76"/>
      <c r="AF3" s="76"/>
      <c r="AG3" s="76"/>
      <c r="AH3" s="75"/>
      <c r="AI3" s="75"/>
      <c r="AJ3" s="77"/>
      <c r="AL3" s="73" t="s">
        <v>400</v>
      </c>
      <c r="AM3" s="78" t="s">
        <v>401</v>
      </c>
      <c r="AN3" s="79" t="s">
        <v>402</v>
      </c>
      <c r="AO3" s="78" t="s">
        <v>403</v>
      </c>
      <c r="AP3" s="80" t="s">
        <v>404</v>
      </c>
      <c r="AQ3" s="73" t="s">
        <v>405</v>
      </c>
    </row>
    <row r="4" spans="1:43" x14ac:dyDescent="0.25">
      <c r="A4" s="74"/>
      <c r="B4" s="81" t="s">
        <v>18</v>
      </c>
      <c r="C4" s="82" t="s">
        <v>19</v>
      </c>
      <c r="D4" s="83" t="s">
        <v>18</v>
      </c>
      <c r="E4" s="82" t="s">
        <v>19</v>
      </c>
      <c r="F4" s="83" t="s">
        <v>18</v>
      </c>
      <c r="G4" s="82" t="s">
        <v>19</v>
      </c>
      <c r="H4" s="83" t="s">
        <v>18</v>
      </c>
      <c r="I4" s="82" t="s">
        <v>19</v>
      </c>
      <c r="J4" s="83" t="s">
        <v>18</v>
      </c>
      <c r="K4" s="82" t="s">
        <v>19</v>
      </c>
      <c r="L4" s="83" t="s">
        <v>18</v>
      </c>
      <c r="M4" s="82" t="s">
        <v>19</v>
      </c>
      <c r="N4" s="83" t="s">
        <v>18</v>
      </c>
      <c r="O4" s="82" t="s">
        <v>19</v>
      </c>
      <c r="P4" s="83" t="s">
        <v>18</v>
      </c>
      <c r="Q4" s="82" t="s">
        <v>19</v>
      </c>
      <c r="R4" s="83" t="s">
        <v>18</v>
      </c>
      <c r="S4" s="82" t="s">
        <v>19</v>
      </c>
      <c r="T4" s="83" t="s">
        <v>406</v>
      </c>
      <c r="U4" s="82" t="s">
        <v>407</v>
      </c>
      <c r="V4" s="84" t="s">
        <v>43</v>
      </c>
      <c r="W4" s="85" t="s">
        <v>46</v>
      </c>
      <c r="X4" s="84" t="s">
        <v>48</v>
      </c>
      <c r="Y4" s="84" t="s">
        <v>54</v>
      </c>
      <c r="Z4" s="84" t="s">
        <v>56</v>
      </c>
      <c r="AA4" s="84" t="s">
        <v>58</v>
      </c>
      <c r="AB4" s="84" t="s">
        <v>60</v>
      </c>
      <c r="AC4" s="84" t="s">
        <v>62</v>
      </c>
      <c r="AD4" s="84" t="s">
        <v>64</v>
      </c>
      <c r="AE4" s="84" t="s">
        <v>67</v>
      </c>
      <c r="AF4" s="84" t="s">
        <v>69</v>
      </c>
      <c r="AG4" s="84" t="s">
        <v>72</v>
      </c>
      <c r="AH4" s="84" t="s">
        <v>75</v>
      </c>
      <c r="AI4" s="84" t="s">
        <v>78</v>
      </c>
      <c r="AJ4" s="86"/>
      <c r="AL4" s="87" t="s">
        <v>43</v>
      </c>
      <c r="AM4" s="87" t="s">
        <v>44</v>
      </c>
      <c r="AN4" s="88">
        <v>9</v>
      </c>
      <c r="AO4" s="73" t="s">
        <v>408</v>
      </c>
      <c r="AP4" s="89"/>
      <c r="AQ4" s="73" t="s">
        <v>409</v>
      </c>
    </row>
    <row r="5" spans="1:43" x14ac:dyDescent="0.25">
      <c r="A5" s="90" t="s">
        <v>188</v>
      </c>
      <c r="B5" s="91" t="s">
        <v>48</v>
      </c>
      <c r="C5" s="92"/>
      <c r="D5" s="91" t="s">
        <v>48</v>
      </c>
      <c r="E5" s="92"/>
      <c r="F5" s="91" t="s">
        <v>48</v>
      </c>
      <c r="G5" s="92"/>
      <c r="H5" s="91" t="s">
        <v>48</v>
      </c>
      <c r="I5" s="92"/>
      <c r="J5" s="91" t="s">
        <v>54</v>
      </c>
      <c r="K5" s="286">
        <v>0</v>
      </c>
      <c r="L5" s="286"/>
      <c r="M5" s="286"/>
      <c r="N5" s="92" t="s">
        <v>58</v>
      </c>
      <c r="O5" s="92"/>
      <c r="P5" s="92" t="s">
        <v>58</v>
      </c>
      <c r="Q5" s="92"/>
      <c r="R5" s="92" t="s">
        <v>58</v>
      </c>
      <c r="S5" s="92"/>
      <c r="T5" s="93">
        <f t="shared" ref="T5:T16" si="0">(VLOOKUP(J5,AL$4:AN$17,3)*K5)+(VLOOKUP(N5,AL$4:AN$17,3)*O5)+(VLOOKUP(P5,AL$4:AN$17,3)*Q5)+(VLOOKUP(R5,AL$4:AN$17,3)*S5)</f>
        <v>0</v>
      </c>
      <c r="U5" s="78" t="s">
        <v>123</v>
      </c>
      <c r="V5" s="78">
        <f>IF(B5="A",C5,0)+IF(D5="A",E5,0)+IF(F5="A",G5,0)+IF(H5="A",I5,0)+IF(J5="A",K5,0)+IF(N5="A",O5,0)+IF(P5="A",Q5,0)+IF(R5="A",S5,0)</f>
        <v>0</v>
      </c>
      <c r="W5" s="78">
        <f>IF(B5="B",C5,0)+IF(D5="B",E5,0)+IF(F5="B",G5,0)+IF(H5="B",I5,0)+IF(J5="B",K5,0)+IF(N5="B",O5,0)+IF(P5="B",Q5,0)+IF(R5="B",S5,0)</f>
        <v>0</v>
      </c>
      <c r="X5" s="78">
        <f>IF(B5="C",C5,0)+IF(D5="C",E5,0)+IF(F5="C",G5,0)+IF(H5="C",I5,0)+IF(J5="C",K5,0)+IF(N5="C",O5,0)+IF(P5="C",Q5,0)+IF(R5="C",S5,0)</f>
        <v>0</v>
      </c>
      <c r="Y5" s="78">
        <f>IF(B5="D",C5,0)+IF(D5="D",E5,0)+IF(F5="D",G5,0)+IF(H5="D",I5,0)+IF(J5="D",K5,0)+IF(N5="D",O5,0)+IF(P5="D",Q5,0)+IF(R5="D",S5,0)</f>
        <v>0</v>
      </c>
      <c r="Z5" s="78">
        <f>IF(B5="E",C5,0)+IF(D5="E",E5,0)+IF(F5="E",G5,0)+IF(H5="E",I5,0)+IF(J5="E",K5,0)+IF(N5="E",O5,0)+IF(P5="E",Q5,0)+IF(R5="E",S5,0)</f>
        <v>0</v>
      </c>
      <c r="AA5" s="78">
        <f>IF(B5="F",C5,0)+IF(D5="F",E5,0)+IF(F5="F",G5,0)+IF(H5="F",I5,0)+IF(J5="F",K5,0)+IF(N5="F",O5,0)+IF(P5="F",Q5,0)+IF(R5="F",S5,0)</f>
        <v>0</v>
      </c>
      <c r="AB5" s="78">
        <f>IF(B5="G",C5,0)+IF(D5="G",E5,0)+IF(F5="G",G5,0)+IF(H5="G",I5,0)+IF(J5="G",K5,0)+IF(N5="G",O5,0)+IF(P5="G",Q5,0)+IF(R5="G",S5,0)</f>
        <v>0</v>
      </c>
      <c r="AC5" s="78">
        <f>IF(B5="H",C5,0)+IF(D5="H",E5,0)+IF(F5="H",G5,0)+IF(H5="H",I5,0)+IF(J5="H",K5,0)+IF(N5="H",O5,0)+IF(P5="H",Q5,0)+IF(R5="H",S5,0)</f>
        <v>0</v>
      </c>
      <c r="AD5" s="78">
        <f>IF(B5="I",C5,0)+IF(D5="I",E5,0)+IF(F5="I",G5,0)+IF(H5="I",I5,0)+IF(J5="I",K5,0)+IF(N5="I",O5,0)+IF(P5="I",Q5,0)+IF(R5="I",S5,0)</f>
        <v>0</v>
      </c>
      <c r="AE5" s="78">
        <f>IF(B5="J",C5,0)+IF(D5="J",E5,0)+IF(F5="J",G5,0)+IF(H5="J",I5,0)+IF(J5="J",K5,0)+IF(N5="J",O5,0)+IF(P5="J",Q5,0)+IF(R5="J",S5,0)</f>
        <v>0</v>
      </c>
      <c r="AF5" s="78">
        <f>IF(B5="K",C5,0)+IF(D5="K",E5,0)+IF(F5="K",G5,0)+IF(H5="K",I5,0)+IF(J5="K",K5,0)+IF(N5="K",O5,0)+IF(P5="K",Q5,0)+IF(R5="K",S5,0)</f>
        <v>0</v>
      </c>
      <c r="AG5" s="75">
        <f>IF(B5="L",C5,0)+IF(D5="L",E5,0)+IF(F5="L",G5,0)+IF(H5="L",I5,0)+IF(J5="L",K5,0)+IF(N5="L",O5,0)+IF(P5="L",Q5,0)+IF(R5="L",S5,0)</f>
        <v>0</v>
      </c>
      <c r="AH5" s="75">
        <f>IF(B5="M",C5,0)+IF(D5="M",E5,0)+IF(F5="M",G5,0)+IF(H5="M",I5,0)+IF(J5="M",K5,0)+IF(N5="M",O5,0)+IF(P5="M",Q5,0)+IF(R5="M",S5,0)</f>
        <v>0</v>
      </c>
      <c r="AI5" s="75">
        <f>IF(B5="N",C5,0)+IF(D5="N",E5,0)+IF(F5="N",G5,0)+IF(H5="N",I5,0)+IF(J5="N",K5,0)+IF(N5="N",O5,0)+IF(P5="N",Q5,0)+IF(R5="N",S5,0)</f>
        <v>0</v>
      </c>
      <c r="AJ5" s="73"/>
      <c r="AL5" s="87" t="s">
        <v>46</v>
      </c>
      <c r="AM5" s="87" t="s">
        <v>47</v>
      </c>
      <c r="AN5" s="88">
        <v>12.5</v>
      </c>
      <c r="AO5" s="73" t="s">
        <v>408</v>
      </c>
      <c r="AP5" s="89" t="s">
        <v>410</v>
      </c>
      <c r="AQ5" s="73" t="s">
        <v>411</v>
      </c>
    </row>
    <row r="6" spans="1:43" x14ac:dyDescent="0.25">
      <c r="A6" s="90" t="s">
        <v>190</v>
      </c>
      <c r="B6" s="91" t="s">
        <v>48</v>
      </c>
      <c r="C6" s="92"/>
      <c r="D6" s="91" t="s">
        <v>48</v>
      </c>
      <c r="E6" s="92"/>
      <c r="F6" s="91" t="s">
        <v>48</v>
      </c>
      <c r="G6" s="92"/>
      <c r="H6" s="91" t="s">
        <v>48</v>
      </c>
      <c r="I6" s="92"/>
      <c r="J6" s="91" t="s">
        <v>54</v>
      </c>
      <c r="K6" s="286">
        <v>0</v>
      </c>
      <c r="L6" s="286"/>
      <c r="M6" s="286"/>
      <c r="N6" s="92" t="s">
        <v>58</v>
      </c>
      <c r="O6" s="92"/>
      <c r="P6" s="92" t="s">
        <v>58</v>
      </c>
      <c r="Q6" s="92"/>
      <c r="R6" s="92" t="s">
        <v>58</v>
      </c>
      <c r="S6" s="92"/>
      <c r="T6" s="93">
        <f t="shared" si="0"/>
        <v>0</v>
      </c>
      <c r="U6" s="78" t="s">
        <v>123</v>
      </c>
      <c r="V6" s="78">
        <f>IF(B6="A",C6,0)+IF(D6="A",E6,0)+IF(F6="A",G6,0)+IF(H6="A",I6,0)+IF(J6="A",K6,0)+IF(N6="A",O6,0)+IF(P6="A",Q6,0)+IF(R6="A",S6,0)</f>
        <v>0</v>
      </c>
      <c r="W6" s="78">
        <f>IF(B6="B",C6,0)+IF(D6="B",E6,0)+IF(F6="B",G6,0)+IF(H6="B",I6,0)+IF(J6="B",K6,0)+IF(N6="B",O6,0)+IF(P6="B",Q6,0)+IF(R6="B",S6,0)</f>
        <v>0</v>
      </c>
      <c r="X6" s="78">
        <f>IF(B6="C",C6,0)+IF(D6="C",E6,0)+IF(F6="C",G6,0)+IF(H6="C",I6,0)+IF(J6="C",K6,0)+IF(N6="C",O6,0)+IF(P6="C",Q6,0)+IF(R6="C",S6,0)</f>
        <v>0</v>
      </c>
      <c r="Y6" s="78">
        <f>IF(B6="D",C6,0)+IF(D6="D",E6,0)+IF(F6="D",G6,0)+IF(H6="D",I6,0)+IF(J6="D",K6,0)+IF(N6="D",O6,0)+IF(P6="D",Q6,0)+IF(R6="D",S6,0)</f>
        <v>0</v>
      </c>
      <c r="Z6" s="78">
        <f>IF(B6="E",C6,0)+IF(D6="E",E6,0)+IF(F6="E",G6,0)+IF(H6="E",I6,0)+IF(J6="E",K6,0)+IF(N6="E",O6,0)+IF(P6="E",Q6,0)+IF(R6="E",S6,0)</f>
        <v>0</v>
      </c>
      <c r="AA6" s="78">
        <f>IF(B6="F",C6,0)+IF(D6="F",E6,0)+IF(F6="F",G6,0)+IF(H6="F",I6,0)+IF(J6="F",K6,0)+IF(N6="F",O6,0)+IF(P6="F",Q6,0)+IF(R6="F",S6,0)</f>
        <v>0</v>
      </c>
      <c r="AB6" s="78">
        <f>IF(B6="G",C6,0)+IF(D6="G",E6,0)+IF(F6="G",G6,0)+IF(H6="G",I6,0)+IF(J6="G",K6,0)+IF(N6="G",O6,0)+IF(P6="G",Q6,0)+IF(R6="G",S6,0)</f>
        <v>0</v>
      </c>
      <c r="AC6" s="78">
        <f>IF(B6="H",C6,0)+IF(D6="H",E6,0)+IF(F6="H",G6,0)+IF(H6="H",I6,0)+IF(J6="H",K6,0)+IF(N6="H",O6,0)+IF(P6="H",Q6,0)+IF(R6="H",S6,0)</f>
        <v>0</v>
      </c>
      <c r="AD6" s="78">
        <f>IF(B6="I",C6,0)+IF(D6="I",E6,0)+IF(F6="I",G6,0)+IF(H6="I",I6,0)+IF(J6="I",K6,0)+IF(N6="I",O6,0)+IF(P6="I",Q6,0)+IF(R6="I",S6,0)</f>
        <v>0</v>
      </c>
      <c r="AE6" s="78">
        <f>IF(B6="J",C6,0)+IF(D6="J",E6,0)+IF(F6="J",G6,0)+IF(H6="J",I6,0)+IF(J6="J",K6,0)+IF(N6="J",O6,0)+IF(P6="J",Q6,0)+IF(R6="J",S6,0)</f>
        <v>0</v>
      </c>
      <c r="AF6" s="78">
        <f>IF(B6="K",C6,0)+IF(D6="K",E6,0)+IF(F6="K",G6,0)+IF(H6="K",I6,0)+IF(J6="K",K6,0)+IF(N6="K",O6,0)+IF(P6="K",Q6,0)+IF(R6="K",S6,0)</f>
        <v>0</v>
      </c>
      <c r="AG6" s="75">
        <f>IF(B6="L",C6,0)+IF(D6="L",E6,0)+IF(F6="L",G6,0)+IF(H6="L",I6,0)+IF(J6="L",K6,0)+IF(N6="L",O6,0)+IF(P6="L",Q6,0)+IF(R6="L",S6,0)</f>
        <v>0</v>
      </c>
      <c r="AH6" s="75">
        <f>IF(B6="M",C6,0)+IF(D6="M",E6,0)+IF(F6="M",G6,0)+IF(H6="M",I6,0)+IF(J6="M",K6,0)+IF(N6="M",O6,0)+IF(P6="M",Q6,0)+IF(R6="M",S6,0)</f>
        <v>0</v>
      </c>
      <c r="AI6" s="75">
        <f>IF(B6="N",C6,0)+IF(D6="N",E6,0)+IF(F6="N",G6,0)+IF(H6="N",I6,0)+IF(J6="N",K6,0)+IF(N6="N",O6,0)+IF(P6="N",Q6,0)+IF(R6="N",S6,0)</f>
        <v>0</v>
      </c>
      <c r="AJ6" s="73"/>
      <c r="AL6" s="87" t="s">
        <v>48</v>
      </c>
      <c r="AM6" s="87" t="s">
        <v>49</v>
      </c>
      <c r="AN6" s="88">
        <v>3.5</v>
      </c>
      <c r="AO6" s="73" t="s">
        <v>408</v>
      </c>
      <c r="AP6" s="89" t="s">
        <v>412</v>
      </c>
      <c r="AQ6" s="73" t="s">
        <v>413</v>
      </c>
    </row>
    <row r="7" spans="1:43" x14ac:dyDescent="0.25">
      <c r="A7" s="90" t="s">
        <v>195</v>
      </c>
      <c r="B7" s="91" t="s">
        <v>48</v>
      </c>
      <c r="C7" s="92"/>
      <c r="D7" s="91" t="s">
        <v>48</v>
      </c>
      <c r="E7" s="92"/>
      <c r="F7" s="91" t="s">
        <v>48</v>
      </c>
      <c r="G7" s="92"/>
      <c r="H7" s="91" t="s">
        <v>48</v>
      </c>
      <c r="I7" s="92"/>
      <c r="J7" s="91" t="s">
        <v>54</v>
      </c>
      <c r="K7" s="286">
        <v>0.3</v>
      </c>
      <c r="L7" s="286"/>
      <c r="M7" s="286"/>
      <c r="N7" s="92" t="s">
        <v>58</v>
      </c>
      <c r="O7" s="92"/>
      <c r="P7" s="92" t="s">
        <v>58</v>
      </c>
      <c r="Q7" s="92"/>
      <c r="R7" s="92" t="s">
        <v>58</v>
      </c>
      <c r="S7" s="92"/>
      <c r="T7" s="93">
        <f t="shared" si="0"/>
        <v>3</v>
      </c>
      <c r="U7" s="78" t="s">
        <v>123</v>
      </c>
      <c r="V7" s="78">
        <f>IF(B7="A",C7,0)+IF(D7="A",E7,0)+IF(F7="A",G7,0)+IF(H7="A",I7,0)+IF(J7="A",K7,0)+IF(N7="A",O7,0)+IF(P7="A",Q7,0)+IF(R7="A",S7,0)</f>
        <v>0</v>
      </c>
      <c r="W7" s="78">
        <f>IF(B7="B",C7,0)+IF(D7="B",E7,0)+IF(F7="B",G7,0)+IF(H7="B",I7,0)+IF(J7="B",K7,0)+IF(N7="B",O7,0)+IF(P7="B",Q7,0)+IF(R7="B",S7,0)</f>
        <v>0</v>
      </c>
      <c r="X7" s="78">
        <f>IF(B7="C",C7,0)+IF(D7="C",E7,0)+IF(F7="C",G7,0)+IF(H7="C",I7,0)+IF(J7="C",K7,0)+IF(N7="C",O7,0)+IF(P7="C",Q7,0)+IF(R7="C",S7,0)</f>
        <v>0</v>
      </c>
      <c r="Y7" s="78">
        <f>IF(B7="D",C7,0)+IF(D7="D",E7,0)+IF(F7="D",G7,0)+IF(H7="D",I7,0)+IF(J7="D",K7,0)+IF(N7="D",O7,0)+IF(P7="D",Q7,0)+IF(R7="D",S7,0)</f>
        <v>0.3</v>
      </c>
      <c r="Z7" s="78">
        <f>IF(B7="E",C7,0)+IF(D7="E",E7,0)+IF(F7="E",G7,0)+IF(H7="E",I7,0)+IF(J7="E",K7,0)+IF(N7="E",O7,0)+IF(P7="E",Q7,0)+IF(R7="E",S7,0)</f>
        <v>0</v>
      </c>
      <c r="AA7" s="78">
        <f>IF(B7="F",C7,0)+IF(D7="F",E7,0)+IF(F7="F",G7,0)+IF(H7="F",I7,0)+IF(J7="F",K7,0)+IF(N7="F",O7,0)+IF(P7="F",Q7,0)+IF(R7="F",S7,0)</f>
        <v>0</v>
      </c>
      <c r="AB7" s="78">
        <f>IF(B7="G",C7,0)+IF(D7="G",E7,0)+IF(F7="G",G7,0)+IF(H7="G",I7,0)+IF(J7="G",K7,0)+IF(N7="G",O7,0)+IF(P7="G",Q7,0)+IF(R7="G",S7,0)</f>
        <v>0</v>
      </c>
      <c r="AC7" s="78">
        <f>IF(B7="H",C7,0)+IF(D7="H",E7,0)+IF(F7="H",G7,0)+IF(H7="H",I7,0)+IF(J7="H",K7,0)+IF(N7="H",O7,0)+IF(P7="H",Q7,0)+IF(R7="H",S7,0)</f>
        <v>0</v>
      </c>
      <c r="AD7" s="78">
        <f>IF(B7="I",C7,0)+IF(D7="I",E7,0)+IF(F7="I",G7,0)+IF(H7="I",I7,0)+IF(J7="I",K7,0)+IF(N7="I",O7,0)+IF(P7="I",Q7,0)+IF(R7="I",S7,0)</f>
        <v>0</v>
      </c>
      <c r="AE7" s="78">
        <f>IF(B7="J",C7,0)+IF(D7="J",E7,0)+IF(F7="J",G7,0)+IF(H7="J",I7,0)+IF(J7="J",K7,0)+IF(N7="J",O7,0)+IF(P7="J",Q7,0)+IF(R7="J",S7,0)</f>
        <v>0</v>
      </c>
      <c r="AF7" s="78">
        <f>IF(B7="K",C7,0)+IF(D7="K",E7,0)+IF(F7="K",G7,0)+IF(H7="K",I7,0)+IF(J7="K",K7,0)+IF(N7="K",O7,0)+IF(P7="K",Q7,0)+IF(R7="K",S7,0)</f>
        <v>0</v>
      </c>
      <c r="AG7" s="75">
        <f>IF(B7="L",C7,0)+IF(D7="L",E7,0)+IF(F7="L",G7,0)+IF(H7="L",I7,0)+IF(J7="L",K7,0)+IF(N7="L",O7,0)+IF(P7="L",Q7,0)+IF(R7="L",S7,0)</f>
        <v>0</v>
      </c>
      <c r="AH7" s="75">
        <f>IF(B7="M",C7,0)+IF(D7="M",E7,0)+IF(F7="M",G7,0)+IF(H7="M",I7,0)+IF(J7="M",K7,0)+IF(N7="M",O7,0)+IF(P7="M",Q7,0)+IF(R7="M",S7,0)</f>
        <v>0</v>
      </c>
      <c r="AI7" s="75">
        <f>IF(B7="N",C7,0)+IF(D7="N",E7,0)+IF(F7="N",G7,0)+IF(H7="N",I7,0)+IF(J7="N",K7,0)+IF(N7="N",O7,0)+IF(P7="N",Q7,0)+IF(R7="N",S7,0)</f>
        <v>0</v>
      </c>
      <c r="AJ7" s="73"/>
      <c r="AL7" s="87" t="s">
        <v>54</v>
      </c>
      <c r="AM7" s="87" t="s">
        <v>55</v>
      </c>
      <c r="AN7" s="88">
        <v>10</v>
      </c>
      <c r="AO7" s="73" t="s">
        <v>408</v>
      </c>
      <c r="AP7" s="89" t="s">
        <v>412</v>
      </c>
      <c r="AQ7" s="73" t="s">
        <v>414</v>
      </c>
    </row>
    <row r="8" spans="1:43" x14ac:dyDescent="0.25">
      <c r="A8" s="90" t="s">
        <v>203</v>
      </c>
      <c r="B8" s="91" t="s">
        <v>48</v>
      </c>
      <c r="C8" s="92"/>
      <c r="D8" s="91" t="s">
        <v>48</v>
      </c>
      <c r="E8" s="92"/>
      <c r="F8" s="91" t="s">
        <v>48</v>
      </c>
      <c r="G8" s="92"/>
      <c r="H8" s="91" t="s">
        <v>48</v>
      </c>
      <c r="I8" s="92"/>
      <c r="J8" s="91" t="s">
        <v>56</v>
      </c>
      <c r="K8" s="286">
        <v>0.1</v>
      </c>
      <c r="L8" s="286"/>
      <c r="M8" s="286"/>
      <c r="N8" s="92" t="s">
        <v>58</v>
      </c>
      <c r="O8" s="92"/>
      <c r="P8" s="92" t="s">
        <v>58</v>
      </c>
      <c r="Q8" s="92"/>
      <c r="R8" s="92" t="s">
        <v>58</v>
      </c>
      <c r="S8" s="92"/>
      <c r="T8" s="93">
        <f t="shared" si="0"/>
        <v>1</v>
      </c>
      <c r="U8" s="78" t="s">
        <v>123</v>
      </c>
      <c r="V8" s="78">
        <f t="shared" ref="V8:V19" si="1">IF(B8="A",C8,0)+IF(D8="A",E8,0)+IF(F8="A",G8,0)+IF(H8="A",I8,0)+IF(J8="A",K8,0)+IF(N8="A",O8,0)+IF(P8="A",Q8,0)+IF(R8="A",S8,0)</f>
        <v>0</v>
      </c>
      <c r="W8" s="78">
        <f t="shared" ref="W8:W19" si="2">IF(B8="B",C8,0)+IF(D8="B",E8,0)+IF(F8="B",G8,0)+IF(H8="B",I8,0)+IF(J8="B",K8,0)+IF(N8="B",O8,0)+IF(P8="B",Q8,0)+IF(R8="B",S8,0)</f>
        <v>0</v>
      </c>
      <c r="X8" s="78">
        <f t="shared" ref="X8:X19" si="3">IF(B8="C",C8,0)+IF(D8="C",E8,0)+IF(F8="C",G8,0)+IF(H8="C",I8,0)+IF(J8="C",K8,0)+IF(N8="C",O8,0)+IF(P8="C",Q8,0)+IF(R8="C",S8,0)</f>
        <v>0</v>
      </c>
      <c r="Y8" s="78">
        <f t="shared" ref="Y8:Y19" si="4">IF(B8="D",C8,0)+IF(D8="D",E8,0)+IF(F8="D",G8,0)+IF(H8="D",I8,0)+IF(J8="D",K8,0)+IF(N8="D",O8,0)+IF(P8="D",Q8,0)+IF(R8="D",S8,0)</f>
        <v>0</v>
      </c>
      <c r="Z8" s="78">
        <f t="shared" ref="Z8:Z19" si="5">IF(B8="E",C8,0)+IF(D8="E",E8,0)+IF(F8="E",G8,0)+IF(H8="E",I8,0)+IF(J8="E",K8,0)+IF(N8="E",O8,0)+IF(P8="E",Q8,0)+IF(R8="E",S8,0)</f>
        <v>0.1</v>
      </c>
      <c r="AA8" s="78">
        <f t="shared" ref="AA8:AA19" si="6">IF(B8="F",C8,0)+IF(D8="F",E8,0)+IF(F8="F",G8,0)+IF(H8="F",I8,0)+IF(J8="F",K8,0)+IF(N8="F",O8,0)+IF(P8="F",Q8,0)+IF(R8="F",S8,0)</f>
        <v>0</v>
      </c>
      <c r="AB8" s="78">
        <f t="shared" ref="AB8:AB19" si="7">IF(B8="G",C8,0)+IF(D8="G",E8,0)+IF(F8="G",G8,0)+IF(H8="G",I8,0)+IF(J8="G",K8,0)+IF(N8="G",O8,0)+IF(P8="G",Q8,0)+IF(R8="G",S8,0)</f>
        <v>0</v>
      </c>
      <c r="AC8" s="78">
        <f>IF(B8="H",C8,0)+IF(D8="H",E8,0)+IF(F8="H",G8,0)+IF(H8="H",I8,0)+IF(J8="H",K8,0)+IF(N8="H",O8,0)+IF(P8="H",Q8,0)+IF(R8="H",S8,0)</f>
        <v>0</v>
      </c>
      <c r="AD8" s="78">
        <f>IF(B8="I",C8,0)+IF(D8="I",E8,0)+IF(F8="I",G8,0)+IF(H8="I",I8,0)+IF(J8="I",K8,0)+IF(N8="I",O8,0)+IF(P8="I",Q8,0)+IF(R8="I",S8,0)</f>
        <v>0</v>
      </c>
      <c r="AE8" s="78">
        <f>IF(B8="J",C8,0)+IF(D8="J",E8,0)+IF(F8="J",G8,0)+IF(H8="J",I8,0)+IF(J8="J",K8,0)+IF(N8="J",O8,0)+IF(P8="J",Q8,0)+IF(R8="J",S8,0)</f>
        <v>0</v>
      </c>
      <c r="AF8" s="78">
        <f t="shared" ref="AF8:AF19" si="8">IF(B8="K",C8,0)+IF(D8="K",E8,0)+IF(F8="K",G8,0)+IF(H8="K",I8,0)+IF(J8="K",K8,0)+IF(N8="K",O8,0)+IF(P8="K",Q8,0)+IF(R8="K",S8,0)</f>
        <v>0</v>
      </c>
      <c r="AG8" s="75">
        <f t="shared" ref="AG8:AG19" si="9">IF(B8="L",C8,0)+IF(D8="L",E8,0)+IF(F8="L",G8,0)+IF(H8="L",I8,0)+IF(J8="L",K8,0)+IF(N8="L",O8,0)+IF(P8="L",Q8,0)+IF(R8="L",S8,0)</f>
        <v>0</v>
      </c>
      <c r="AH8" s="75">
        <f t="shared" ref="AH8:AH94" si="10">IF(B8="M",C8,0)+IF(D8="M",E8,0)+IF(F8="M",G8,0)+IF(H8="M",I8,0)+IF(J8="M",K8,0)+IF(N8="M",O8,0)+IF(P8="M",Q8,0)+IF(R8="M",S8,0)</f>
        <v>0</v>
      </c>
      <c r="AI8" s="75">
        <f t="shared" ref="AI8:AI96" si="11">IF(B8="N",C8,0)+IF(D8="N",E8,0)+IF(F8="N",G8,0)+IF(H8="N",I8,0)+IF(J8="N",K8,0)+IF(N8="N",O8,0)+IF(P8="N",Q8,0)+IF(R8="N",S8,0)</f>
        <v>0</v>
      </c>
      <c r="AJ8" s="73"/>
      <c r="AL8" s="87" t="s">
        <v>56</v>
      </c>
      <c r="AM8" s="87" t="s">
        <v>57</v>
      </c>
      <c r="AN8" s="88">
        <v>10</v>
      </c>
      <c r="AO8" s="73"/>
      <c r="AP8" s="89"/>
      <c r="AQ8" s="73"/>
    </row>
    <row r="9" spans="1:43" x14ac:dyDescent="0.25">
      <c r="A9" s="90" t="s">
        <v>210</v>
      </c>
      <c r="B9" s="91" t="s">
        <v>48</v>
      </c>
      <c r="C9" s="92"/>
      <c r="D9" s="91" t="s">
        <v>48</v>
      </c>
      <c r="E9" s="92"/>
      <c r="F9" s="91" t="s">
        <v>48</v>
      </c>
      <c r="G9" s="92"/>
      <c r="H9" s="91" t="s">
        <v>48</v>
      </c>
      <c r="I9" s="92"/>
      <c r="J9" s="91" t="s">
        <v>54</v>
      </c>
      <c r="K9" s="286">
        <v>0.3</v>
      </c>
      <c r="L9" s="286"/>
      <c r="M9" s="286"/>
      <c r="N9" s="92" t="s">
        <v>58</v>
      </c>
      <c r="O9" s="92"/>
      <c r="P9" s="92" t="s">
        <v>58</v>
      </c>
      <c r="Q9" s="92"/>
      <c r="R9" s="92" t="s">
        <v>58</v>
      </c>
      <c r="S9" s="92"/>
      <c r="T9" s="93">
        <f t="shared" si="0"/>
        <v>3</v>
      </c>
      <c r="U9" s="78" t="s">
        <v>123</v>
      </c>
      <c r="V9" s="78">
        <f t="shared" si="1"/>
        <v>0</v>
      </c>
      <c r="W9" s="78">
        <f t="shared" si="2"/>
        <v>0</v>
      </c>
      <c r="X9" s="78">
        <f t="shared" si="3"/>
        <v>0</v>
      </c>
      <c r="Y9" s="78">
        <f t="shared" si="4"/>
        <v>0.3</v>
      </c>
      <c r="Z9" s="78">
        <f t="shared" si="5"/>
        <v>0</v>
      </c>
      <c r="AA9" s="78">
        <f t="shared" si="6"/>
        <v>0</v>
      </c>
      <c r="AB9" s="78">
        <f t="shared" si="7"/>
        <v>0</v>
      </c>
      <c r="AC9" s="78">
        <f>IF(B9="H",C9,0)+IF(D9="H",E9,0)+IF(F9="H",G9,0)+IF(H9="H",I9,0)+IF(J9="H",K9,0)+IF(N9="H",O9,0)+IF(P9="H",Q9,0)+IF(R9="H",S9,0)</f>
        <v>0</v>
      </c>
      <c r="AD9" s="78">
        <f>IF(B9="I",C9,0)+IF(D9="I",E9,0)+IF(F9="I",G9,0)+IF(H9="I",I9,0)+IF(J9="I",K9,0)+IF(N9="I",O9,0)+IF(P9="I",Q9,0)+IF(R9="I",S9,0)</f>
        <v>0</v>
      </c>
      <c r="AE9" s="78">
        <f>IF(B9="J",C9,0)+IF(D9="J",E9,0)+IF(F9="J",G9,0)+IF(H9="J",I9,0)+IF(J9="J",K9,0)+IF(N9="J",O9,0)+IF(P9="J",Q9,0)+IF(R9="J",S9,0)</f>
        <v>0</v>
      </c>
      <c r="AF9" s="78">
        <f t="shared" si="8"/>
        <v>0</v>
      </c>
      <c r="AG9" s="75">
        <f t="shared" si="9"/>
        <v>0</v>
      </c>
      <c r="AH9" s="75">
        <f t="shared" si="10"/>
        <v>0</v>
      </c>
      <c r="AI9" s="75">
        <f t="shared" si="11"/>
        <v>0</v>
      </c>
      <c r="AJ9" s="73"/>
      <c r="AL9" s="87" t="s">
        <v>58</v>
      </c>
      <c r="AM9" s="87" t="s">
        <v>59</v>
      </c>
      <c r="AN9" s="88">
        <v>12.35</v>
      </c>
      <c r="AO9" s="73" t="s">
        <v>408</v>
      </c>
      <c r="AP9" s="89" t="s">
        <v>412</v>
      </c>
      <c r="AQ9" s="73" t="s">
        <v>415</v>
      </c>
    </row>
    <row r="10" spans="1:43" x14ac:dyDescent="0.25">
      <c r="A10" s="90" t="s">
        <v>213</v>
      </c>
      <c r="B10" s="91" t="s">
        <v>48</v>
      </c>
      <c r="C10" s="92"/>
      <c r="D10" s="91" t="s">
        <v>48</v>
      </c>
      <c r="E10" s="92"/>
      <c r="F10" s="91" t="s">
        <v>48</v>
      </c>
      <c r="G10" s="92"/>
      <c r="H10" s="91" t="s">
        <v>48</v>
      </c>
      <c r="I10" s="92"/>
      <c r="J10" s="91" t="s">
        <v>54</v>
      </c>
      <c r="K10" s="286">
        <v>0.8</v>
      </c>
      <c r="L10" s="286"/>
      <c r="M10" s="286"/>
      <c r="N10" s="92" t="s">
        <v>58</v>
      </c>
      <c r="O10" s="92"/>
      <c r="P10" s="92" t="s">
        <v>58</v>
      </c>
      <c r="Q10" s="92"/>
      <c r="R10" s="92" t="s">
        <v>58</v>
      </c>
      <c r="S10" s="92"/>
      <c r="T10" s="93">
        <f t="shared" si="0"/>
        <v>8</v>
      </c>
      <c r="U10" s="78" t="s">
        <v>123</v>
      </c>
      <c r="V10" s="78">
        <f t="shared" si="1"/>
        <v>0</v>
      </c>
      <c r="W10" s="78">
        <f t="shared" si="2"/>
        <v>0</v>
      </c>
      <c r="X10" s="78">
        <f t="shared" si="3"/>
        <v>0</v>
      </c>
      <c r="Y10" s="78">
        <f t="shared" si="4"/>
        <v>0.8</v>
      </c>
      <c r="Z10" s="78">
        <f t="shared" si="5"/>
        <v>0</v>
      </c>
      <c r="AA10" s="78">
        <f t="shared" si="6"/>
        <v>0</v>
      </c>
      <c r="AB10" s="78">
        <f t="shared" si="7"/>
        <v>0</v>
      </c>
      <c r="AC10" s="78">
        <f t="shared" ref="AC10:AC19" si="12">IF(B10="H",C10,0)+IF(D10="H",E10,0)+IF(F10="H",G10,0)+IF(H10="H",I10,0)+IF(J10="H",K10,0)+IF(N10="H",O10,0)+IF(P10="H",Q10,0)+IF(R10="H",S10,0)</f>
        <v>0</v>
      </c>
      <c r="AD10" s="78">
        <f t="shared" ref="AD10:AD19" si="13">IF(B10="I",C10,0)+IF(D10="I",E10,0)+IF(F10="I",G10,0)+IF(H10="I",I10,0)+IF(J10="I",K10,0)+IF(N10="I",O10,0)+IF(P10="I",Q10,0)+IF(R10="I",S10,0)</f>
        <v>0</v>
      </c>
      <c r="AE10" s="78">
        <f t="shared" ref="AE10:AE19" si="14">IF(B10="J",C10,0)+IF(D10="J",E10,0)+IF(F10="J",G10,0)+IF(H10="J",I10,0)+IF(J10="J",K10,0)+IF(N10="J",O10,0)+IF(P10="J",Q10,0)+IF(R10="J",S10,0)</f>
        <v>0</v>
      </c>
      <c r="AF10" s="78">
        <f t="shared" si="8"/>
        <v>0</v>
      </c>
      <c r="AG10" s="75">
        <f t="shared" si="9"/>
        <v>0</v>
      </c>
      <c r="AH10" s="75">
        <f t="shared" si="10"/>
        <v>0</v>
      </c>
      <c r="AI10" s="75">
        <f t="shared" si="11"/>
        <v>0</v>
      </c>
      <c r="AJ10" s="73"/>
      <c r="AL10" s="87" t="s">
        <v>60</v>
      </c>
      <c r="AM10" s="87" t="s">
        <v>61</v>
      </c>
      <c r="AN10" s="88">
        <v>15</v>
      </c>
      <c r="AO10" s="73" t="s">
        <v>408</v>
      </c>
      <c r="AP10" s="89"/>
      <c r="AQ10" s="73"/>
    </row>
    <row r="11" spans="1:43" x14ac:dyDescent="0.25">
      <c r="A11" s="90" t="s">
        <v>218</v>
      </c>
      <c r="B11" s="91" t="s">
        <v>48</v>
      </c>
      <c r="C11" s="92"/>
      <c r="D11" s="91" t="s">
        <v>48</v>
      </c>
      <c r="E11" s="92"/>
      <c r="F11" s="91" t="s">
        <v>48</v>
      </c>
      <c r="G11" s="92"/>
      <c r="H11" s="91" t="s">
        <v>48</v>
      </c>
      <c r="I11" s="92"/>
      <c r="J11" s="91" t="s">
        <v>48</v>
      </c>
      <c r="K11" s="286">
        <v>0.12</v>
      </c>
      <c r="L11" s="286"/>
      <c r="M11" s="286"/>
      <c r="N11" s="92" t="s">
        <v>58</v>
      </c>
      <c r="O11" s="92"/>
      <c r="P11" s="92" t="s">
        <v>58</v>
      </c>
      <c r="Q11" s="92"/>
      <c r="R11" s="92" t="s">
        <v>58</v>
      </c>
      <c r="S11" s="92"/>
      <c r="T11" s="93">
        <f t="shared" si="0"/>
        <v>0.42</v>
      </c>
      <c r="U11" s="78" t="s">
        <v>123</v>
      </c>
      <c r="V11" s="78">
        <f t="shared" si="1"/>
        <v>0</v>
      </c>
      <c r="W11" s="78">
        <f t="shared" si="2"/>
        <v>0</v>
      </c>
      <c r="X11" s="78">
        <f t="shared" si="3"/>
        <v>0.12</v>
      </c>
      <c r="Y11" s="78">
        <f t="shared" si="4"/>
        <v>0</v>
      </c>
      <c r="Z11" s="78">
        <f t="shared" si="5"/>
        <v>0</v>
      </c>
      <c r="AA11" s="78">
        <f t="shared" si="6"/>
        <v>0</v>
      </c>
      <c r="AB11" s="78">
        <f t="shared" si="7"/>
        <v>0</v>
      </c>
      <c r="AC11" s="78">
        <f t="shared" si="12"/>
        <v>0</v>
      </c>
      <c r="AD11" s="78">
        <f t="shared" si="13"/>
        <v>0</v>
      </c>
      <c r="AE11" s="78">
        <f t="shared" si="14"/>
        <v>0</v>
      </c>
      <c r="AF11" s="78">
        <f t="shared" si="8"/>
        <v>0</v>
      </c>
      <c r="AG11" s="75">
        <f t="shared" si="9"/>
        <v>0</v>
      </c>
      <c r="AH11" s="75">
        <f t="shared" si="10"/>
        <v>0</v>
      </c>
      <c r="AI11" s="75">
        <f t="shared" si="11"/>
        <v>0</v>
      </c>
      <c r="AJ11" s="73"/>
      <c r="AL11" s="73" t="s">
        <v>62</v>
      </c>
      <c r="AM11" s="73" t="s">
        <v>63</v>
      </c>
      <c r="AN11" s="88">
        <v>12.5</v>
      </c>
      <c r="AO11" s="73" t="s">
        <v>408</v>
      </c>
      <c r="AP11" s="89"/>
      <c r="AQ11" s="73" t="s">
        <v>416</v>
      </c>
    </row>
    <row r="12" spans="1:43" x14ac:dyDescent="0.25">
      <c r="A12" s="90" t="s">
        <v>222</v>
      </c>
      <c r="B12" s="91" t="s">
        <v>43</v>
      </c>
      <c r="C12" s="92">
        <v>1</v>
      </c>
      <c r="D12" s="91" t="s">
        <v>43</v>
      </c>
      <c r="E12" s="92">
        <v>0.9</v>
      </c>
      <c r="F12" s="91" t="s">
        <v>46</v>
      </c>
      <c r="G12" s="92">
        <v>0.45</v>
      </c>
      <c r="H12" s="91" t="s">
        <v>54</v>
      </c>
      <c r="I12" s="92">
        <v>1.8</v>
      </c>
      <c r="J12" s="91" t="s">
        <v>54</v>
      </c>
      <c r="K12" s="286">
        <v>0.8</v>
      </c>
      <c r="L12" s="286"/>
      <c r="M12" s="286"/>
      <c r="N12" s="92" t="s">
        <v>58</v>
      </c>
      <c r="O12" s="92"/>
      <c r="P12" s="92" t="s">
        <v>58</v>
      </c>
      <c r="Q12" s="92"/>
      <c r="R12" s="92" t="s">
        <v>58</v>
      </c>
      <c r="S12" s="92"/>
      <c r="T12" s="93">
        <f t="shared" si="0"/>
        <v>8</v>
      </c>
      <c r="U12" s="88">
        <f>(VLOOKUP(B12,AL$4:AN$16,3)*C12)+(VLOOKUP(D12,AL$4:AN$16,3)*E12)+(VLOOKUP(F12,AL$4:AN$16,3)*G12)+(VLOOKUP(H12,AL$4:AN$16,3)*I12)+(VLOOKUP(J12,AL$4:AN$16,3)*K12)++(VLOOKUP(N12,AL$4:AN$17,3)*O12)+(VLOOKUP(P12,AL$4:AN$17,3)*Q12)+(VLOOKUP(R12,AL$4:AN$17,3)*S12)</f>
        <v>48.725000000000001</v>
      </c>
      <c r="V12" s="78">
        <f t="shared" si="1"/>
        <v>1.9</v>
      </c>
      <c r="W12" s="78">
        <f t="shared" si="2"/>
        <v>0.45</v>
      </c>
      <c r="X12" s="78">
        <f t="shared" si="3"/>
        <v>0</v>
      </c>
      <c r="Y12" s="78">
        <f t="shared" si="4"/>
        <v>2.6</v>
      </c>
      <c r="Z12" s="78">
        <f t="shared" si="5"/>
        <v>0</v>
      </c>
      <c r="AA12" s="78">
        <f t="shared" si="6"/>
        <v>0</v>
      </c>
      <c r="AB12" s="78">
        <f t="shared" si="7"/>
        <v>0</v>
      </c>
      <c r="AC12" s="78">
        <f t="shared" si="12"/>
        <v>0</v>
      </c>
      <c r="AD12" s="78">
        <f t="shared" si="13"/>
        <v>0</v>
      </c>
      <c r="AE12" s="78">
        <f t="shared" si="14"/>
        <v>0</v>
      </c>
      <c r="AF12" s="78">
        <f t="shared" si="8"/>
        <v>0</v>
      </c>
      <c r="AG12" s="75">
        <f t="shared" si="9"/>
        <v>0</v>
      </c>
      <c r="AH12" s="75">
        <f t="shared" si="10"/>
        <v>0</v>
      </c>
      <c r="AI12" s="75">
        <f t="shared" si="11"/>
        <v>0</v>
      </c>
      <c r="AJ12" s="73" t="s">
        <v>417</v>
      </c>
      <c r="AL12" s="73" t="s">
        <v>64</v>
      </c>
      <c r="AM12" s="73" t="s">
        <v>65</v>
      </c>
      <c r="AN12" s="94">
        <v>10</v>
      </c>
      <c r="AO12" s="73" t="s">
        <v>418</v>
      </c>
      <c r="AP12" s="89"/>
      <c r="AQ12" s="73"/>
    </row>
    <row r="13" spans="1:43" x14ac:dyDescent="0.25">
      <c r="A13" s="90" t="s">
        <v>224</v>
      </c>
      <c r="B13" s="91" t="s">
        <v>43</v>
      </c>
      <c r="C13" s="92">
        <v>1</v>
      </c>
      <c r="D13" s="91" t="s">
        <v>43</v>
      </c>
      <c r="E13" s="92">
        <v>0.9</v>
      </c>
      <c r="F13" s="91" t="s">
        <v>46</v>
      </c>
      <c r="G13" s="92">
        <v>0.45</v>
      </c>
      <c r="H13" s="91" t="s">
        <v>54</v>
      </c>
      <c r="I13" s="92">
        <v>1.8</v>
      </c>
      <c r="J13" s="91" t="s">
        <v>54</v>
      </c>
      <c r="K13" s="289">
        <v>0.39</v>
      </c>
      <c r="L13" s="290"/>
      <c r="M13" s="291"/>
      <c r="N13" s="92" t="s">
        <v>58</v>
      </c>
      <c r="O13" s="92"/>
      <c r="P13" s="92" t="s">
        <v>58</v>
      </c>
      <c r="Q13" s="92"/>
      <c r="R13" s="92" t="s">
        <v>58</v>
      </c>
      <c r="S13" s="92"/>
      <c r="T13" s="93">
        <f t="shared" si="0"/>
        <v>3.9000000000000004</v>
      </c>
      <c r="U13" s="88">
        <f>(VLOOKUP(B13,AL$4:AN$16,3)*C13)+(VLOOKUP(D13,AL$4:AN$16,3)*E13)+(VLOOKUP(F13,AL$4:AN$16,3)*G13)+(VLOOKUP(H13,AL$4:AN$16,3)*I13)+(VLOOKUP(J13,AL$4:AN$16,3)*K13)++(VLOOKUP(N13,AL$4:AN$17,3)*O13)+(VLOOKUP(P13,AL$4:AN$17,3)*Q13)+(VLOOKUP(R13,AL$4:AN$17,3)*S13)</f>
        <v>44.625</v>
      </c>
      <c r="V13" s="78">
        <f t="shared" si="1"/>
        <v>1.9</v>
      </c>
      <c r="W13" s="78">
        <f t="shared" si="2"/>
        <v>0.45</v>
      </c>
      <c r="X13" s="78">
        <f t="shared" si="3"/>
        <v>0</v>
      </c>
      <c r="Y13" s="78">
        <f t="shared" si="4"/>
        <v>2.19</v>
      </c>
      <c r="Z13" s="78">
        <f t="shared" si="5"/>
        <v>0</v>
      </c>
      <c r="AA13" s="78">
        <f t="shared" si="6"/>
        <v>0</v>
      </c>
      <c r="AB13" s="78">
        <f t="shared" si="7"/>
        <v>0</v>
      </c>
      <c r="AC13" s="78">
        <f t="shared" si="12"/>
        <v>0</v>
      </c>
      <c r="AD13" s="78">
        <f t="shared" si="13"/>
        <v>0</v>
      </c>
      <c r="AE13" s="78">
        <f t="shared" si="14"/>
        <v>0</v>
      </c>
      <c r="AF13" s="78">
        <f t="shared" si="8"/>
        <v>0</v>
      </c>
      <c r="AG13" s="75">
        <f t="shared" si="9"/>
        <v>0</v>
      </c>
      <c r="AH13" s="75">
        <f t="shared" si="10"/>
        <v>0</v>
      </c>
      <c r="AI13" s="75">
        <f t="shared" si="11"/>
        <v>0</v>
      </c>
      <c r="AJ13" s="73" t="s">
        <v>417</v>
      </c>
      <c r="AL13" s="73" t="s">
        <v>67</v>
      </c>
      <c r="AM13" s="73" t="s">
        <v>68</v>
      </c>
      <c r="AN13" s="88">
        <v>35</v>
      </c>
      <c r="AO13" s="73" t="s">
        <v>418</v>
      </c>
      <c r="AP13" s="89"/>
      <c r="AQ13" s="73"/>
    </row>
    <row r="14" spans="1:43" x14ac:dyDescent="0.25">
      <c r="A14" s="90" t="s">
        <v>226</v>
      </c>
      <c r="B14" s="91" t="s">
        <v>48</v>
      </c>
      <c r="C14" s="92"/>
      <c r="D14" s="91" t="s">
        <v>48</v>
      </c>
      <c r="E14" s="92"/>
      <c r="F14" s="91" t="s">
        <v>48</v>
      </c>
      <c r="G14" s="92"/>
      <c r="H14" s="91" t="s">
        <v>54</v>
      </c>
      <c r="I14" s="92"/>
      <c r="J14" s="91" t="s">
        <v>54</v>
      </c>
      <c r="K14" s="286">
        <v>3.4</v>
      </c>
      <c r="L14" s="286"/>
      <c r="M14" s="286"/>
      <c r="N14" s="92" t="s">
        <v>58</v>
      </c>
      <c r="O14" s="92"/>
      <c r="P14" s="92" t="s">
        <v>58</v>
      </c>
      <c r="Q14" s="92"/>
      <c r="R14" s="92" t="s">
        <v>58</v>
      </c>
      <c r="S14" s="92"/>
      <c r="T14" s="93">
        <f t="shared" si="0"/>
        <v>34</v>
      </c>
      <c r="U14" s="78" t="s">
        <v>123</v>
      </c>
      <c r="V14" s="78">
        <f t="shared" si="1"/>
        <v>0</v>
      </c>
      <c r="W14" s="78">
        <f t="shared" si="2"/>
        <v>0</v>
      </c>
      <c r="X14" s="78">
        <f t="shared" si="3"/>
        <v>0</v>
      </c>
      <c r="Y14" s="78">
        <f t="shared" si="4"/>
        <v>3.4</v>
      </c>
      <c r="Z14" s="78">
        <f t="shared" si="5"/>
        <v>0</v>
      </c>
      <c r="AA14" s="78">
        <f t="shared" si="6"/>
        <v>0</v>
      </c>
      <c r="AB14" s="78">
        <f t="shared" si="7"/>
        <v>0</v>
      </c>
      <c r="AC14" s="78">
        <f t="shared" si="12"/>
        <v>0</v>
      </c>
      <c r="AD14" s="78">
        <f t="shared" si="13"/>
        <v>0</v>
      </c>
      <c r="AE14" s="78">
        <f t="shared" si="14"/>
        <v>0</v>
      </c>
      <c r="AF14" s="78">
        <f t="shared" si="8"/>
        <v>0</v>
      </c>
      <c r="AG14" s="75">
        <f t="shared" si="9"/>
        <v>0</v>
      </c>
      <c r="AH14" s="75">
        <f t="shared" si="10"/>
        <v>0</v>
      </c>
      <c r="AI14" s="75">
        <f t="shared" si="11"/>
        <v>0</v>
      </c>
      <c r="AJ14" s="73"/>
      <c r="AL14" s="73" t="s">
        <v>69</v>
      </c>
      <c r="AM14" s="95" t="s">
        <v>70</v>
      </c>
      <c r="AN14" s="94">
        <v>20</v>
      </c>
      <c r="AO14" s="73" t="s">
        <v>418</v>
      </c>
      <c r="AP14" s="89"/>
      <c r="AQ14" s="73"/>
    </row>
    <row r="15" spans="1:43" x14ac:dyDescent="0.25">
      <c r="A15" s="90" t="s">
        <v>230</v>
      </c>
      <c r="B15" s="91" t="s">
        <v>48</v>
      </c>
      <c r="C15" s="92"/>
      <c r="D15" s="91" t="s">
        <v>48</v>
      </c>
      <c r="E15" s="92"/>
      <c r="F15" s="91" t="s">
        <v>48</v>
      </c>
      <c r="G15" s="92"/>
      <c r="H15" s="91" t="s">
        <v>54</v>
      </c>
      <c r="I15" s="92"/>
      <c r="J15" s="91" t="s">
        <v>54</v>
      </c>
      <c r="K15" s="286">
        <v>3.4</v>
      </c>
      <c r="L15" s="286"/>
      <c r="M15" s="286"/>
      <c r="N15" s="92" t="s">
        <v>58</v>
      </c>
      <c r="O15" s="92"/>
      <c r="P15" s="92" t="s">
        <v>58</v>
      </c>
      <c r="Q15" s="92"/>
      <c r="R15" s="92" t="s">
        <v>58</v>
      </c>
      <c r="S15" s="92"/>
      <c r="T15" s="93">
        <f t="shared" si="0"/>
        <v>34</v>
      </c>
      <c r="U15" s="78" t="s">
        <v>123</v>
      </c>
      <c r="V15" s="78">
        <f t="shared" si="1"/>
        <v>0</v>
      </c>
      <c r="W15" s="78">
        <f t="shared" si="2"/>
        <v>0</v>
      </c>
      <c r="X15" s="78">
        <f t="shared" si="3"/>
        <v>0</v>
      </c>
      <c r="Y15" s="78">
        <f t="shared" si="4"/>
        <v>3.4</v>
      </c>
      <c r="Z15" s="78">
        <f t="shared" si="5"/>
        <v>0</v>
      </c>
      <c r="AA15" s="78">
        <f t="shared" si="6"/>
        <v>0</v>
      </c>
      <c r="AB15" s="78">
        <f t="shared" si="7"/>
        <v>0</v>
      </c>
      <c r="AC15" s="78">
        <f t="shared" si="12"/>
        <v>0</v>
      </c>
      <c r="AD15" s="78">
        <f t="shared" si="13"/>
        <v>0</v>
      </c>
      <c r="AE15" s="78">
        <f t="shared" si="14"/>
        <v>0</v>
      </c>
      <c r="AF15" s="78">
        <f t="shared" si="8"/>
        <v>0</v>
      </c>
      <c r="AG15" s="75">
        <f t="shared" si="9"/>
        <v>0</v>
      </c>
      <c r="AH15" s="75">
        <f t="shared" si="10"/>
        <v>0</v>
      </c>
      <c r="AI15" s="75">
        <f t="shared" si="11"/>
        <v>0</v>
      </c>
      <c r="AJ15" s="73"/>
      <c r="AL15" s="73" t="s">
        <v>72</v>
      </c>
      <c r="AM15" s="73" t="s">
        <v>73</v>
      </c>
      <c r="AN15" s="94">
        <v>20</v>
      </c>
      <c r="AO15" s="73" t="s">
        <v>418</v>
      </c>
      <c r="AP15" s="89"/>
      <c r="AQ15" s="73"/>
    </row>
    <row r="16" spans="1:43" x14ac:dyDescent="0.25">
      <c r="A16" s="90" t="s">
        <v>234</v>
      </c>
      <c r="B16" s="91" t="s">
        <v>48</v>
      </c>
      <c r="C16" s="92"/>
      <c r="D16" s="91" t="s">
        <v>48</v>
      </c>
      <c r="E16" s="92"/>
      <c r="F16" s="91" t="s">
        <v>48</v>
      </c>
      <c r="G16" s="92"/>
      <c r="H16" s="91" t="s">
        <v>54</v>
      </c>
      <c r="I16" s="92"/>
      <c r="J16" s="91" t="s">
        <v>54</v>
      </c>
      <c r="K16" s="286">
        <v>0.8</v>
      </c>
      <c r="L16" s="286"/>
      <c r="M16" s="286"/>
      <c r="N16" s="92" t="s">
        <v>58</v>
      </c>
      <c r="O16" s="92"/>
      <c r="P16" s="92" t="s">
        <v>58</v>
      </c>
      <c r="Q16" s="92"/>
      <c r="R16" s="92" t="s">
        <v>58</v>
      </c>
      <c r="S16" s="92"/>
      <c r="T16" s="93">
        <f t="shared" si="0"/>
        <v>8</v>
      </c>
      <c r="U16" s="78" t="s">
        <v>123</v>
      </c>
      <c r="V16" s="78">
        <f t="shared" si="1"/>
        <v>0</v>
      </c>
      <c r="W16" s="78">
        <f t="shared" si="2"/>
        <v>0</v>
      </c>
      <c r="X16" s="78">
        <f t="shared" si="3"/>
        <v>0</v>
      </c>
      <c r="Y16" s="78">
        <f t="shared" si="4"/>
        <v>0.8</v>
      </c>
      <c r="Z16" s="78">
        <f t="shared" si="5"/>
        <v>0</v>
      </c>
      <c r="AA16" s="78">
        <f t="shared" si="6"/>
        <v>0</v>
      </c>
      <c r="AB16" s="78">
        <f t="shared" si="7"/>
        <v>0</v>
      </c>
      <c r="AC16" s="78">
        <f t="shared" si="12"/>
        <v>0</v>
      </c>
      <c r="AD16" s="78">
        <f t="shared" si="13"/>
        <v>0</v>
      </c>
      <c r="AE16" s="78">
        <f t="shared" si="14"/>
        <v>0</v>
      </c>
      <c r="AF16" s="78">
        <f t="shared" si="8"/>
        <v>0</v>
      </c>
      <c r="AG16" s="75">
        <f t="shared" si="9"/>
        <v>0</v>
      </c>
      <c r="AH16" s="75">
        <f t="shared" si="10"/>
        <v>0</v>
      </c>
      <c r="AI16" s="75">
        <f t="shared" si="11"/>
        <v>0</v>
      </c>
      <c r="AJ16" s="73"/>
      <c r="AL16" s="73" t="s">
        <v>75</v>
      </c>
      <c r="AM16" s="73" t="s">
        <v>76</v>
      </c>
      <c r="AN16" s="88">
        <v>35</v>
      </c>
      <c r="AO16" s="73" t="s">
        <v>419</v>
      </c>
      <c r="AP16" s="89"/>
      <c r="AQ16" s="73"/>
    </row>
    <row r="17" spans="1:43" x14ac:dyDescent="0.25">
      <c r="A17" s="90" t="s">
        <v>238</v>
      </c>
      <c r="B17" s="91" t="s">
        <v>46</v>
      </c>
      <c r="C17" s="92">
        <v>5.9</v>
      </c>
      <c r="D17" s="91" t="s">
        <v>46</v>
      </c>
      <c r="E17" s="92">
        <v>3.2</v>
      </c>
      <c r="F17" s="91" t="s">
        <v>46</v>
      </c>
      <c r="G17" s="92">
        <v>3.2</v>
      </c>
      <c r="H17" s="91"/>
      <c r="I17" s="92"/>
      <c r="J17" s="91"/>
      <c r="K17" s="92"/>
      <c r="L17" s="92" t="s">
        <v>46</v>
      </c>
      <c r="M17" s="92">
        <v>0.3</v>
      </c>
      <c r="N17" s="92"/>
      <c r="O17" s="92"/>
      <c r="P17" s="92"/>
      <c r="Q17" s="92"/>
      <c r="R17" s="92"/>
      <c r="S17" s="92"/>
      <c r="T17" s="93"/>
      <c r="U17" s="88">
        <f>(VLOOKUP(B17,AL$4:AN$16,3)*C17)+(VLOOKUP(D17,AL$4:AN$16,3)*E17)+(VLOOKUP(F17,AL$4:AN$16,3)*G17)+(VLOOKUP(L17,AL$4:AN$16,3)*M17)</f>
        <v>157.5</v>
      </c>
      <c r="V17" s="78">
        <f t="shared" si="1"/>
        <v>0</v>
      </c>
      <c r="W17" s="78">
        <f t="shared" si="2"/>
        <v>12.3</v>
      </c>
      <c r="X17" s="78">
        <f t="shared" si="3"/>
        <v>0</v>
      </c>
      <c r="Y17" s="78">
        <f t="shared" si="4"/>
        <v>0</v>
      </c>
      <c r="Z17" s="78">
        <f t="shared" si="5"/>
        <v>0</v>
      </c>
      <c r="AA17" s="78">
        <f t="shared" si="6"/>
        <v>0</v>
      </c>
      <c r="AB17" s="78">
        <f t="shared" si="7"/>
        <v>0</v>
      </c>
      <c r="AC17" s="78">
        <f t="shared" si="12"/>
        <v>0</v>
      </c>
      <c r="AD17" s="78">
        <f t="shared" si="13"/>
        <v>0</v>
      </c>
      <c r="AE17" s="78">
        <f t="shared" si="14"/>
        <v>0</v>
      </c>
      <c r="AF17" s="78">
        <f t="shared" si="8"/>
        <v>0</v>
      </c>
      <c r="AG17" s="75">
        <f t="shared" si="9"/>
        <v>0</v>
      </c>
      <c r="AH17" s="75">
        <f t="shared" si="10"/>
        <v>0</v>
      </c>
      <c r="AI17" s="75">
        <f t="shared" si="11"/>
        <v>0</v>
      </c>
      <c r="AJ17" s="73"/>
      <c r="AL17" s="73" t="s">
        <v>78</v>
      </c>
      <c r="AM17" s="73" t="s">
        <v>79</v>
      </c>
      <c r="AN17" s="88">
        <v>300</v>
      </c>
      <c r="AO17" s="73" t="s">
        <v>420</v>
      </c>
      <c r="AP17" s="89"/>
      <c r="AQ17" s="73"/>
    </row>
    <row r="18" spans="1:43" x14ac:dyDescent="0.25">
      <c r="A18" s="90" t="s">
        <v>240</v>
      </c>
      <c r="B18" s="91" t="s">
        <v>43</v>
      </c>
      <c r="C18" s="92">
        <v>1</v>
      </c>
      <c r="D18" s="91" t="s">
        <v>46</v>
      </c>
      <c r="E18" s="92">
        <v>3</v>
      </c>
      <c r="F18" s="91" t="s">
        <v>43</v>
      </c>
      <c r="G18" s="92">
        <v>0.7</v>
      </c>
      <c r="H18" s="91" t="s">
        <v>54</v>
      </c>
      <c r="I18" s="92">
        <v>3</v>
      </c>
      <c r="J18" s="91" t="s">
        <v>54</v>
      </c>
      <c r="K18" s="286">
        <v>1.9</v>
      </c>
      <c r="L18" s="286"/>
      <c r="M18" s="286"/>
      <c r="N18" s="92" t="s">
        <v>58</v>
      </c>
      <c r="O18" s="92"/>
      <c r="P18" s="92" t="s">
        <v>58</v>
      </c>
      <c r="Q18" s="92"/>
      <c r="R18" s="92" t="s">
        <v>58</v>
      </c>
      <c r="S18" s="92"/>
      <c r="T18" s="93">
        <f>(VLOOKUP(J18,AL$4:AN$17,3)*K18)+(VLOOKUP(N18,AL$4:AN$17,3)*O18)+(VLOOKUP(P18,AL$4:AN$17,3)*Q18)+(VLOOKUP(R18,AL$4:AN$17,3)*S18)</f>
        <v>19</v>
      </c>
      <c r="U18" s="88">
        <f>(VLOOKUP(B18,AL$4:AN$16,3)*C18)+(VLOOKUP(D18,AL$4:AN$16,3)*E18)+(VLOOKUP(F18,AL$4:AN$16,3)*G18)+(VLOOKUP(H18,AL$4:AN$16,3)*I18)+(VLOOKUP(J18,AL$4:AN$16,3)*K18)++(VLOOKUP(N18,AL$4:AN$17,3)*O18)+(VLOOKUP(P18,AL$4:AN$17,3)*Q18)+(VLOOKUP(R18,AL$4:AN$17,3)*S18)</f>
        <v>101.8</v>
      </c>
      <c r="V18" s="78">
        <f t="shared" si="1"/>
        <v>1.7</v>
      </c>
      <c r="W18" s="78">
        <f t="shared" si="2"/>
        <v>3</v>
      </c>
      <c r="X18" s="78">
        <f t="shared" si="3"/>
        <v>0</v>
      </c>
      <c r="Y18" s="78">
        <f t="shared" si="4"/>
        <v>4.9000000000000004</v>
      </c>
      <c r="Z18" s="78">
        <f t="shared" si="5"/>
        <v>0</v>
      </c>
      <c r="AA18" s="78">
        <f t="shared" si="6"/>
        <v>0</v>
      </c>
      <c r="AB18" s="78">
        <f t="shared" si="7"/>
        <v>0</v>
      </c>
      <c r="AC18" s="78">
        <f t="shared" si="12"/>
        <v>0</v>
      </c>
      <c r="AD18" s="78">
        <f t="shared" si="13"/>
        <v>0</v>
      </c>
      <c r="AE18" s="78">
        <f t="shared" si="14"/>
        <v>0</v>
      </c>
      <c r="AF18" s="78">
        <f t="shared" si="8"/>
        <v>0</v>
      </c>
      <c r="AG18" s="75">
        <f t="shared" si="9"/>
        <v>0</v>
      </c>
      <c r="AH18" s="75">
        <f t="shared" si="10"/>
        <v>0</v>
      </c>
      <c r="AI18" s="75">
        <f t="shared" si="11"/>
        <v>0</v>
      </c>
      <c r="AJ18" s="73"/>
      <c r="AL18" t="s">
        <v>80</v>
      </c>
      <c r="AM18" t="s">
        <v>81</v>
      </c>
      <c r="AN18" s="96">
        <v>12.5</v>
      </c>
      <c r="AO18" t="s">
        <v>421</v>
      </c>
      <c r="AQ18" s="73"/>
    </row>
    <row r="19" spans="1:43" x14ac:dyDescent="0.25">
      <c r="A19" s="90" t="s">
        <v>242</v>
      </c>
      <c r="B19" s="91" t="s">
        <v>46</v>
      </c>
      <c r="C19" s="92">
        <v>2.06</v>
      </c>
      <c r="D19" s="91" t="s">
        <v>46</v>
      </c>
      <c r="E19" s="92">
        <v>2.74</v>
      </c>
      <c r="F19" s="91" t="s">
        <v>46</v>
      </c>
      <c r="G19" s="92">
        <v>0.85</v>
      </c>
      <c r="H19" s="91" t="s">
        <v>54</v>
      </c>
      <c r="I19" s="92">
        <v>3</v>
      </c>
      <c r="J19" s="91" t="s">
        <v>54</v>
      </c>
      <c r="K19" s="286">
        <v>1.9</v>
      </c>
      <c r="L19" s="286"/>
      <c r="M19" s="286"/>
      <c r="N19" s="92" t="s">
        <v>58</v>
      </c>
      <c r="O19" s="92"/>
      <c r="P19" s="92" t="s">
        <v>58</v>
      </c>
      <c r="Q19" s="92"/>
      <c r="R19" s="92" t="s">
        <v>58</v>
      </c>
      <c r="S19" s="92"/>
      <c r="T19" s="93">
        <f>(VLOOKUP(J19,AL$4:AN$17,3)*K19)+(VLOOKUP(N19,AL$4:AN$17,3)*O19)+(VLOOKUP(P19,AL$4:AN$17,3)*Q19)+(VLOOKUP(R19,AL$4:AN$17,3)*S19)</f>
        <v>19</v>
      </c>
      <c r="U19" s="88">
        <f>(VLOOKUP(B19,AL$4:AN$16,3)*C19)+(VLOOKUP(D19,AL$4:AN$16,3)*E19)+(VLOOKUP(F19,AL$4:AN$16,3)*G19)+(VLOOKUP(H19,AL$4:AN$16,3)*I19)+(VLOOKUP(J19,AL$4:AN$16,3)*K19)++(VLOOKUP(N19,AL$4:AN$17,3)*O19)+(VLOOKUP(P19,AL$4:AN$17,3)*Q19)+(VLOOKUP(R19,AL$4:AN$17,3)*S19)</f>
        <v>119.625</v>
      </c>
      <c r="V19" s="78">
        <f t="shared" si="1"/>
        <v>0</v>
      </c>
      <c r="W19" s="78">
        <f t="shared" si="2"/>
        <v>5.65</v>
      </c>
      <c r="X19" s="78">
        <f t="shared" si="3"/>
        <v>0</v>
      </c>
      <c r="Y19" s="78">
        <f t="shared" si="4"/>
        <v>4.9000000000000004</v>
      </c>
      <c r="Z19" s="78">
        <f t="shared" si="5"/>
        <v>0</v>
      </c>
      <c r="AA19" s="78">
        <f t="shared" si="6"/>
        <v>0</v>
      </c>
      <c r="AB19" s="78">
        <f t="shared" si="7"/>
        <v>0</v>
      </c>
      <c r="AC19" s="78">
        <f t="shared" si="12"/>
        <v>0</v>
      </c>
      <c r="AD19" s="78">
        <f t="shared" si="13"/>
        <v>0</v>
      </c>
      <c r="AE19" s="78">
        <f t="shared" si="14"/>
        <v>0</v>
      </c>
      <c r="AF19" s="78">
        <f t="shared" si="8"/>
        <v>0</v>
      </c>
      <c r="AG19" s="75">
        <f t="shared" si="9"/>
        <v>0</v>
      </c>
      <c r="AH19" s="75">
        <f t="shared" si="10"/>
        <v>0</v>
      </c>
      <c r="AI19" s="75">
        <f t="shared" si="11"/>
        <v>0</v>
      </c>
      <c r="AJ19" s="73"/>
      <c r="AL19" t="s">
        <v>659</v>
      </c>
      <c r="AM19" t="s">
        <v>660</v>
      </c>
      <c r="AN19">
        <v>268.94</v>
      </c>
      <c r="AO19" t="s">
        <v>420</v>
      </c>
      <c r="AQ19" s="73"/>
    </row>
    <row r="20" spans="1:43" x14ac:dyDescent="0.25">
      <c r="A20" s="90" t="s">
        <v>247</v>
      </c>
      <c r="B20" s="91" t="s">
        <v>58</v>
      </c>
      <c r="C20" s="92">
        <v>1.7</v>
      </c>
      <c r="D20" s="91" t="s">
        <v>58</v>
      </c>
      <c r="E20" s="92">
        <v>1.2</v>
      </c>
      <c r="F20" s="91" t="s">
        <v>58</v>
      </c>
      <c r="G20" s="92">
        <v>1.2</v>
      </c>
      <c r="H20" s="91" t="s">
        <v>48</v>
      </c>
      <c r="I20" s="92">
        <v>6</v>
      </c>
      <c r="J20" s="91" t="s">
        <v>48</v>
      </c>
      <c r="K20" s="92">
        <v>6.5</v>
      </c>
      <c r="L20" s="75" t="s">
        <v>58</v>
      </c>
      <c r="M20" s="92">
        <v>0.3</v>
      </c>
      <c r="N20" s="92" t="s">
        <v>58</v>
      </c>
      <c r="O20" s="92"/>
      <c r="P20" s="92" t="s">
        <v>58</v>
      </c>
      <c r="Q20" s="92"/>
      <c r="R20" s="92" t="s">
        <v>58</v>
      </c>
      <c r="S20" s="92"/>
      <c r="T20" s="93">
        <f t="shared" ref="T20:T38" si="15">(VLOOKUP(J20,AL$4:AN$17,3)*K20)+(VLOOKUP(L20,AL$4:AN$17,3)*M20)+(VLOOKUP(N20,AL$4:AN$17,3)*O20)+(VLOOKUP(P20,AL$4:AN$17,3)*Q20)+(VLOOKUP(R20,AL$4:AN$17,3)*S20)</f>
        <v>26.454999999999998</v>
      </c>
      <c r="U20" s="88">
        <f t="shared" ref="U20:U38" si="16">(VLOOKUP(B20,AL$4:AN$16,3)*C20)+(VLOOKUP(D20,AL$4:AN$16,3)*E20)+(VLOOKUP(F20,AL$4:AN$16,3)*G20)+(VLOOKUP(H20,AL$4:AN$16,3)*I20)+(VLOOKUP(J20,AL$4:AN$17,3)*K20)+(VLOOKUP(L20,AL$4:AN$17,3)*M20)+(VLOOKUP(N20,AL$4:AN$17,3)*O20)+(VLOOKUP(P20,AL$4:AN$17,3)*Q20)+(VLOOKUP(R20,AL$4:AN$17,3)*S20)</f>
        <v>98.089999999999989</v>
      </c>
      <c r="V20" s="78">
        <f>IF(B20="A",C20,0)+IF(D20="A",E20,0)+IF(F20="A",G20,0)+IF(H20="A",I20,0)+IF(J20="A",K20,0)+IF(L20="A",M20,0)+IF(N20="A",O20,0)+IF(P20="A",Q20,0)+IF(R20="A",S20,0)</f>
        <v>0</v>
      </c>
      <c r="W20" s="78">
        <f>IF(B20="B",C20,0)+IF(D20="B",E20,0)+IF(F20="B",G20,0)+IF(H20="B",I20,0)+IF(J20="B",K20,0)+IF(L20="B",M20,0)+IF(N20="B",O20,0)+IF(P20="B",Q20,0)+IF(R20="B",S20,0)</f>
        <v>0</v>
      </c>
      <c r="X20" s="78">
        <f>IF(B20="C",C20,0)+IF(D20="C",E20,0)+IF(F20="C",G20,0)+IF(H20="C",I20,0)+IF(J20="C",K20,0)+IF(L20="C",M20,0)+IF(N20="C",O20,0)+IF(P20="C",Q20,0)+IF(R20="C",S20,0)</f>
        <v>12.5</v>
      </c>
      <c r="Y20" s="78">
        <f>IF(B20="D",C20,0)+IF(D20="D",E20,0)+IF(F20="D",G20,0)+IF(H20="D",I20,0)+IF(J20="D",K20,0)+IF(L20="D",M20,0)+IF(N20="D",O20,0)+IF(P20="D",Q20,0)+IF(R20="D",S20,0)</f>
        <v>0</v>
      </c>
      <c r="Z20" s="78">
        <f>IF(B20="E",C20,0)+IF(D20="E",E20,0)+IF(F20="E",G20,0)+IF(H20="E",I20,0)+IF(J20="E",K20,0)+IF(L20="E",M20,0)+IF(N20="E",O20,0)+IF(P20="E",Q20,0)+IF(R20="E",S20,0)</f>
        <v>0</v>
      </c>
      <c r="AA20" s="78">
        <f>IF(B20="F",C20,0)+IF(D20="F",E20,0)+IF(F20="F",G20,0)+IF(H20="F",I20,0)+IF(J20="F",K20,0)+IF(L20="F",M20,0)+IF(N20="F",O20,0)+IF(P20="F",Q20,0)+IF(R20="F",S20,0)</f>
        <v>4.3999999999999995</v>
      </c>
      <c r="AB20" s="78">
        <f>IF(B20="G",C20,0)+IF(D20="G",E20,0)+IF(F20="G",G20,0)+IF(H20="G",I20,0)+IF(J20="G",K20,0)+IF(L20="G",M20,0)+IF(N20="G",O20,0)+IF(P20="G",Q20,0)+IF(R20="G",S20,0)</f>
        <v>0</v>
      </c>
      <c r="AC20" s="78">
        <f>IF(B20="H",C20,0)+IF(D20="H",E20,0)+IF(F20="H",G20,0)+IF(H20="H",I20,0)+IF(J20="H",K20,0)+IF(L20="H",M20,0)+IF(N20="H",O20,0)+IF(P20="H",Q20,0)+IF(R20="H",S20,0)</f>
        <v>0</v>
      </c>
      <c r="AD20" s="78">
        <f>IF(B20="I",C20,0)+IF(D20="I",E20,0)+IF(F20="I",G20,0)+IF(H20="I",I20,0)+IF(J20="I",K20,0)+IF(L20="I",M20,0)+IF(N20="I",O20,0)+IF(P20="I",Q20,0)+IF(R20="I",S20,0)</f>
        <v>0</v>
      </c>
      <c r="AE20" s="78">
        <f>IF(B20="J",C20,0)+IF(D20="J",E20,0)+IF(F20="J",G20,0)+IF(H20="J",I20,0)+IF(J20="J",K20,0)+IF(L20="J",M20,0)+IF(N20="J",O20,0)+IF(P20="J",Q20,0)+IF(R20="J",S20,0)</f>
        <v>0</v>
      </c>
      <c r="AF20" s="78">
        <f>IF(B20="K",C20,0)+IF(D20="K",E20,0)+IF(F20="K",G20,0)+IF(H20="K",I20,0)+IF(J20="K",K20,0)+IF(L20="K",M20,0)+IF(N20="K",O20,0)+IF(P20="K",Q20,0)+IF(R20="K",S20,0)</f>
        <v>0</v>
      </c>
      <c r="AG20" s="75">
        <f>IF(B20="L",C20,0)+IF(D20="L",E20,0)+IF(F20="L",G20,0)+IF(H20="L",I20,0)+IF(J20="L",K20,0)+IF(L20="L",M20,0)+IF(N20="L",O20,0)+IF(P20="L",Q20,0)+IF(R20="L",S20,0)</f>
        <v>0</v>
      </c>
      <c r="AH20" s="75">
        <f t="shared" si="10"/>
        <v>0</v>
      </c>
      <c r="AI20" s="75">
        <f t="shared" si="11"/>
        <v>0</v>
      </c>
      <c r="AJ20" s="73"/>
      <c r="AQ20" s="73"/>
    </row>
    <row r="21" spans="1:43" x14ac:dyDescent="0.25">
      <c r="A21" s="90" t="s">
        <v>249</v>
      </c>
      <c r="B21" s="91" t="s">
        <v>58</v>
      </c>
      <c r="C21" s="92">
        <v>1.7</v>
      </c>
      <c r="D21" s="91" t="s">
        <v>58</v>
      </c>
      <c r="E21" s="92">
        <v>1.2</v>
      </c>
      <c r="F21" s="91" t="s">
        <v>58</v>
      </c>
      <c r="G21" s="92">
        <v>1.2</v>
      </c>
      <c r="H21" s="91" t="s">
        <v>48</v>
      </c>
      <c r="I21" s="92">
        <v>0</v>
      </c>
      <c r="J21" s="91" t="s">
        <v>48</v>
      </c>
      <c r="K21" s="92">
        <v>0</v>
      </c>
      <c r="L21" s="75" t="s">
        <v>58</v>
      </c>
      <c r="M21" s="92">
        <v>0.3</v>
      </c>
      <c r="N21" s="92" t="s">
        <v>58</v>
      </c>
      <c r="O21" s="92"/>
      <c r="P21" s="92" t="s">
        <v>58</v>
      </c>
      <c r="Q21" s="92"/>
      <c r="R21" s="92" t="s">
        <v>58</v>
      </c>
      <c r="S21" s="92"/>
      <c r="T21" s="93">
        <f t="shared" si="15"/>
        <v>3.7049999999999996</v>
      </c>
      <c r="U21" s="88">
        <f t="shared" si="16"/>
        <v>54.339999999999996</v>
      </c>
      <c r="V21" s="78">
        <f t="shared" ref="V21:V96" si="17">IF(B21="A",C21,0)+IF(D21="A",E21,0)+IF(F21="A",G21,0)+IF(H21="A",I21,0)+IF(J21="A",K21,0)+IF(L21="A",M21,0)+IF(N21="A",O21,0)+IF(P21="A",Q21,0)+IF(R21="A",S21,0)</f>
        <v>0</v>
      </c>
      <c r="W21" s="78">
        <f t="shared" ref="W21:W96" si="18">IF(B21="B",C21,0)+IF(D21="B",E21,0)+IF(F21="B",G21,0)+IF(H21="B",I21,0)+IF(J21="B",K21,0)+IF(L21="B",M21,0)+IF(N21="B",O21,0)+IF(P21="B",Q21,0)+IF(R21="B",S21,0)</f>
        <v>0</v>
      </c>
      <c r="X21" s="78">
        <f t="shared" ref="X21:X96" si="19">IF(B21="C",C21,0)+IF(D21="C",E21,0)+IF(F21="C",G21,0)+IF(H21="C",I21,0)+IF(J21="C",K21,0)+IF(L21="C",M21,0)+IF(N21="C",O21,0)+IF(P21="C",Q21,0)+IF(R21="C",S21,0)</f>
        <v>0</v>
      </c>
      <c r="Y21" s="78">
        <f t="shared" ref="Y21:Y96" si="20">IF(B21="D",C21,0)+IF(D21="D",E21,0)+IF(F21="D",G21,0)+IF(H21="D",I21,0)+IF(J21="D",K21,0)+IF(L21="D",M21,0)+IF(N21="D",O21,0)+IF(P21="D",Q21,0)+IF(R21="D",S21,0)</f>
        <v>0</v>
      </c>
      <c r="Z21" s="78">
        <f t="shared" ref="Z21:Z96" si="21">IF(B21="E",C21,0)+IF(D21="E",E21,0)+IF(F21="E",G21,0)+IF(H21="E",I21,0)+IF(J21="E",K21,0)+IF(L21="E",M21,0)+IF(N21="E",O21,0)+IF(P21="E",Q21,0)+IF(R21="E",S21,0)</f>
        <v>0</v>
      </c>
      <c r="AA21" s="78">
        <f t="shared" ref="AA21:AA96" si="22">IF(B21="F",C21,0)+IF(D21="F",E21,0)+IF(F21="F",G21,0)+IF(H21="F",I21,0)+IF(J21="F",K21,0)+IF(L21="F",M21,0)+IF(N21="F",O21,0)+IF(P21="F",Q21,0)+IF(R21="F",S21,0)</f>
        <v>4.3999999999999995</v>
      </c>
      <c r="AB21" s="78">
        <f t="shared" ref="AB21:AB96" si="23">IF(B21="G",C21,0)+IF(D21="G",E21,0)+IF(F21="G",G21,0)+IF(H21="G",I21,0)+IF(J21="G",K21,0)+IF(L21="G",M21,0)+IF(N21="G",O21,0)+IF(P21="G",Q21,0)+IF(R21="G",S21,0)</f>
        <v>0</v>
      </c>
      <c r="AC21" s="78">
        <f t="shared" ref="AC21:AC96" si="24">IF(B21="H",C21,0)+IF(D21="H",E21,0)+IF(F21="H",G21,0)+IF(H21="H",I21,0)+IF(J21="H",K21,0)+IF(L21="H",M21,0)+IF(N21="H",O21,0)+IF(P21="H",Q21,0)+IF(R21="H",S21,0)</f>
        <v>0</v>
      </c>
      <c r="AD21" s="78">
        <f t="shared" ref="AD21:AD96" si="25">IF(B21="I",C21,0)+IF(D21="I",E21,0)+IF(F21="I",G21,0)+IF(H21="I",I21,0)+IF(J21="I",K21,0)+IF(L21="I",M21,0)+IF(N21="I",O21,0)+IF(P21="I",Q21,0)+IF(R21="I",S21,0)</f>
        <v>0</v>
      </c>
      <c r="AE21" s="78">
        <f t="shared" ref="AE21:AE96" si="26">IF(B21="J",C21,0)+IF(D21="J",E21,0)+IF(F21="J",G21,0)+IF(H21="J",I21,0)+IF(J21="J",K21,0)+IF(L21="J",M21,0)+IF(N21="J",O21,0)+IF(P21="J",Q21,0)+IF(R21="J",S21,0)</f>
        <v>0</v>
      </c>
      <c r="AF21" s="78">
        <f t="shared" ref="AF21:AF96" si="27">IF(B21="K",C21,0)+IF(D21="K",E21,0)+IF(F21="K",G21,0)+IF(H21="K",I21,0)+IF(J21="K",K21,0)+IF(L21="K",M21,0)+IF(N21="K",O21,0)+IF(P21="K",Q21,0)+IF(R21="K",S21,0)</f>
        <v>0</v>
      </c>
      <c r="AG21" s="75">
        <f t="shared" ref="AG21:AG96" si="28">IF(B21="L",C21,0)+IF(D21="L",E21,0)+IF(F21="L",G21,0)+IF(H21="L",I21,0)+IF(J21="L",K21,0)+IF(L21="L",M21,0)+IF(N21="L",O21,0)+IF(P21="L",Q21,0)+IF(R21="L",S21,0)</f>
        <v>0</v>
      </c>
      <c r="AH21" s="75">
        <f t="shared" si="10"/>
        <v>0</v>
      </c>
      <c r="AI21" s="75">
        <f t="shared" si="11"/>
        <v>0</v>
      </c>
      <c r="AJ21" s="73"/>
    </row>
    <row r="22" spans="1:43" ht="15" customHeight="1" x14ac:dyDescent="0.25">
      <c r="A22" s="90" t="s">
        <v>252</v>
      </c>
      <c r="B22" s="91" t="s">
        <v>48</v>
      </c>
      <c r="C22" s="92">
        <v>11.2</v>
      </c>
      <c r="D22" s="91" t="s">
        <v>48</v>
      </c>
      <c r="E22" s="92">
        <v>11.5</v>
      </c>
      <c r="F22" s="91" t="s">
        <v>48</v>
      </c>
      <c r="G22" s="92">
        <v>12</v>
      </c>
      <c r="H22" s="91" t="s">
        <v>48</v>
      </c>
      <c r="I22" s="92">
        <v>6</v>
      </c>
      <c r="J22" s="91" t="s">
        <v>48</v>
      </c>
      <c r="K22" s="92">
        <v>6.5</v>
      </c>
      <c r="L22" s="75" t="s">
        <v>58</v>
      </c>
      <c r="M22" s="92">
        <v>0.4</v>
      </c>
      <c r="N22" s="92" t="s">
        <v>58</v>
      </c>
      <c r="O22" s="92"/>
      <c r="P22" s="92" t="s">
        <v>58</v>
      </c>
      <c r="Q22" s="92"/>
      <c r="R22" s="92" t="s">
        <v>58</v>
      </c>
      <c r="S22" s="92"/>
      <c r="T22" s="93">
        <f t="shared" si="15"/>
        <v>27.69</v>
      </c>
      <c r="U22" s="88">
        <f t="shared" si="16"/>
        <v>170.14</v>
      </c>
      <c r="V22" s="78">
        <f t="shared" si="17"/>
        <v>0</v>
      </c>
      <c r="W22" s="78">
        <f t="shared" si="18"/>
        <v>0</v>
      </c>
      <c r="X22" s="78">
        <f t="shared" si="19"/>
        <v>47.2</v>
      </c>
      <c r="Y22" s="78">
        <f t="shared" si="20"/>
        <v>0</v>
      </c>
      <c r="Z22" s="78">
        <f t="shared" si="21"/>
        <v>0</v>
      </c>
      <c r="AA22" s="78">
        <f t="shared" si="22"/>
        <v>0.4</v>
      </c>
      <c r="AB22" s="78">
        <f t="shared" si="23"/>
        <v>0</v>
      </c>
      <c r="AC22" s="78">
        <f t="shared" si="24"/>
        <v>0</v>
      </c>
      <c r="AD22" s="78">
        <f t="shared" si="25"/>
        <v>0</v>
      </c>
      <c r="AE22" s="78">
        <f t="shared" si="26"/>
        <v>0</v>
      </c>
      <c r="AF22" s="78">
        <f t="shared" si="27"/>
        <v>0</v>
      </c>
      <c r="AG22" s="75">
        <f t="shared" si="28"/>
        <v>0</v>
      </c>
      <c r="AH22" s="75">
        <f t="shared" si="10"/>
        <v>0</v>
      </c>
      <c r="AI22" s="75">
        <f t="shared" si="11"/>
        <v>0</v>
      </c>
      <c r="AJ22" s="73"/>
    </row>
    <row r="23" spans="1:43" ht="15" customHeight="1" x14ac:dyDescent="0.25">
      <c r="A23" s="90" t="s">
        <v>254</v>
      </c>
      <c r="B23" s="91" t="s">
        <v>46</v>
      </c>
      <c r="C23" s="92">
        <v>8</v>
      </c>
      <c r="D23" s="91" t="s">
        <v>46</v>
      </c>
      <c r="E23" s="92">
        <v>5</v>
      </c>
      <c r="F23" s="91" t="s">
        <v>46</v>
      </c>
      <c r="G23" s="92">
        <v>5</v>
      </c>
      <c r="H23" s="91" t="s">
        <v>46</v>
      </c>
      <c r="I23" s="92">
        <v>0</v>
      </c>
      <c r="J23" s="91" t="s">
        <v>46</v>
      </c>
      <c r="K23" s="92">
        <v>0</v>
      </c>
      <c r="L23" s="75" t="s">
        <v>46</v>
      </c>
      <c r="M23" s="92">
        <v>0.25</v>
      </c>
      <c r="N23" s="92" t="s">
        <v>58</v>
      </c>
      <c r="O23" s="92"/>
      <c r="P23" s="92" t="s">
        <v>58</v>
      </c>
      <c r="Q23" s="92"/>
      <c r="R23" s="92" t="s">
        <v>58</v>
      </c>
      <c r="S23" s="92"/>
      <c r="T23" s="93">
        <f t="shared" si="15"/>
        <v>3.125</v>
      </c>
      <c r="U23" s="88">
        <f t="shared" si="16"/>
        <v>228.125</v>
      </c>
      <c r="V23" s="78">
        <f t="shared" si="17"/>
        <v>0</v>
      </c>
      <c r="W23" s="78">
        <f t="shared" si="18"/>
        <v>18.25</v>
      </c>
      <c r="X23" s="78">
        <f t="shared" si="19"/>
        <v>0</v>
      </c>
      <c r="Y23" s="78">
        <f t="shared" si="20"/>
        <v>0</v>
      </c>
      <c r="Z23" s="78">
        <f t="shared" si="21"/>
        <v>0</v>
      </c>
      <c r="AA23" s="78">
        <f t="shared" si="22"/>
        <v>0</v>
      </c>
      <c r="AB23" s="78">
        <f t="shared" si="23"/>
        <v>0</v>
      </c>
      <c r="AC23" s="78">
        <f t="shared" si="24"/>
        <v>0</v>
      </c>
      <c r="AD23" s="78">
        <f t="shared" si="25"/>
        <v>0</v>
      </c>
      <c r="AE23" s="78">
        <f t="shared" si="26"/>
        <v>0</v>
      </c>
      <c r="AF23" s="78">
        <f t="shared" si="27"/>
        <v>0</v>
      </c>
      <c r="AG23" s="75">
        <f t="shared" si="28"/>
        <v>0</v>
      </c>
      <c r="AH23" s="75">
        <f t="shared" si="10"/>
        <v>0</v>
      </c>
      <c r="AI23" s="75">
        <f t="shared" si="11"/>
        <v>0</v>
      </c>
      <c r="AJ23" s="73"/>
    </row>
    <row r="24" spans="1:43" ht="15" customHeight="1" x14ac:dyDescent="0.25">
      <c r="A24" s="97" t="s">
        <v>573</v>
      </c>
      <c r="B24" s="91" t="s">
        <v>43</v>
      </c>
      <c r="C24" s="92">
        <v>7.3</v>
      </c>
      <c r="D24" s="91" t="s">
        <v>43</v>
      </c>
      <c r="E24" s="92">
        <v>4.3</v>
      </c>
      <c r="F24" s="91" t="s">
        <v>43</v>
      </c>
      <c r="G24" s="92">
        <v>3</v>
      </c>
      <c r="H24" s="91" t="s">
        <v>48</v>
      </c>
      <c r="I24" s="92">
        <v>9</v>
      </c>
      <c r="J24" s="91" t="s">
        <v>48</v>
      </c>
      <c r="K24" s="92">
        <v>7</v>
      </c>
      <c r="L24" s="75" t="s">
        <v>43</v>
      </c>
      <c r="M24" s="92">
        <v>0.5</v>
      </c>
      <c r="N24" s="92" t="s">
        <v>58</v>
      </c>
      <c r="O24" s="92"/>
      <c r="P24" s="92" t="s">
        <v>58</v>
      </c>
      <c r="Q24" s="92"/>
      <c r="R24" s="92" t="s">
        <v>58</v>
      </c>
      <c r="S24" s="92"/>
      <c r="T24" s="93">
        <f t="shared" si="15"/>
        <v>29</v>
      </c>
      <c r="U24" s="88">
        <f t="shared" si="16"/>
        <v>191.9</v>
      </c>
      <c r="V24" s="78">
        <f t="shared" si="17"/>
        <v>15.1</v>
      </c>
      <c r="W24" s="78">
        <f t="shared" si="18"/>
        <v>0</v>
      </c>
      <c r="X24" s="78">
        <f t="shared" si="19"/>
        <v>16</v>
      </c>
      <c r="Y24" s="78">
        <f t="shared" si="20"/>
        <v>0</v>
      </c>
      <c r="Z24" s="78">
        <f t="shared" si="21"/>
        <v>0</v>
      </c>
      <c r="AA24" s="78">
        <f t="shared" si="22"/>
        <v>0</v>
      </c>
      <c r="AB24" s="78">
        <f t="shared" si="23"/>
        <v>0</v>
      </c>
      <c r="AC24" s="78">
        <f t="shared" si="24"/>
        <v>0</v>
      </c>
      <c r="AD24" s="78">
        <f t="shared" si="25"/>
        <v>0</v>
      </c>
      <c r="AE24" s="78">
        <f t="shared" si="26"/>
        <v>0</v>
      </c>
      <c r="AF24" s="78">
        <f t="shared" si="27"/>
        <v>0</v>
      </c>
      <c r="AG24" s="75">
        <f t="shared" si="28"/>
        <v>0</v>
      </c>
      <c r="AH24" s="75">
        <f t="shared" si="10"/>
        <v>0</v>
      </c>
      <c r="AI24" s="75">
        <f t="shared" si="11"/>
        <v>0</v>
      </c>
      <c r="AJ24" s="73"/>
    </row>
    <row r="25" spans="1:43" ht="15" customHeight="1" x14ac:dyDescent="0.25">
      <c r="A25" s="97" t="s">
        <v>572</v>
      </c>
      <c r="B25" s="91" t="s">
        <v>46</v>
      </c>
      <c r="C25" s="92">
        <v>7.3</v>
      </c>
      <c r="D25" s="91" t="s">
        <v>46</v>
      </c>
      <c r="E25" s="92">
        <v>4.3</v>
      </c>
      <c r="F25" s="91" t="s">
        <v>46</v>
      </c>
      <c r="G25" s="92">
        <v>3</v>
      </c>
      <c r="H25" s="91" t="s">
        <v>48</v>
      </c>
      <c r="I25" s="92">
        <v>9</v>
      </c>
      <c r="J25" s="91" t="s">
        <v>48</v>
      </c>
      <c r="K25" s="92">
        <v>7</v>
      </c>
      <c r="L25" s="75" t="s">
        <v>46</v>
      </c>
      <c r="M25" s="92">
        <v>0.5</v>
      </c>
      <c r="N25" s="92" t="s">
        <v>58</v>
      </c>
      <c r="O25" s="92"/>
      <c r="P25" s="92" t="s">
        <v>58</v>
      </c>
      <c r="Q25" s="92"/>
      <c r="R25" s="92" t="s">
        <v>58</v>
      </c>
      <c r="S25" s="92"/>
      <c r="T25" s="93">
        <f t="shared" si="15"/>
        <v>30.75</v>
      </c>
      <c r="U25" s="88">
        <f t="shared" si="16"/>
        <v>244.75</v>
      </c>
      <c r="V25" s="78">
        <f t="shared" si="17"/>
        <v>0</v>
      </c>
      <c r="W25" s="78">
        <f t="shared" si="18"/>
        <v>15.1</v>
      </c>
      <c r="X25" s="78">
        <f t="shared" si="19"/>
        <v>16</v>
      </c>
      <c r="Y25" s="78">
        <f t="shared" si="20"/>
        <v>0</v>
      </c>
      <c r="Z25" s="78">
        <f t="shared" si="21"/>
        <v>0</v>
      </c>
      <c r="AA25" s="78">
        <f t="shared" si="22"/>
        <v>0</v>
      </c>
      <c r="AB25" s="78">
        <f t="shared" si="23"/>
        <v>0</v>
      </c>
      <c r="AC25" s="78">
        <f t="shared" si="24"/>
        <v>0</v>
      </c>
      <c r="AD25" s="78">
        <f t="shared" si="25"/>
        <v>0</v>
      </c>
      <c r="AE25" s="78">
        <f t="shared" si="26"/>
        <v>0</v>
      </c>
      <c r="AF25" s="78">
        <f t="shared" si="27"/>
        <v>0</v>
      </c>
      <c r="AG25" s="75">
        <f t="shared" si="28"/>
        <v>0</v>
      </c>
      <c r="AH25" s="75">
        <f t="shared" si="10"/>
        <v>0</v>
      </c>
      <c r="AI25" s="75">
        <f t="shared" si="11"/>
        <v>0</v>
      </c>
      <c r="AJ25" s="73"/>
    </row>
    <row r="26" spans="1:43" x14ac:dyDescent="0.25">
      <c r="A26" s="97" t="s">
        <v>260</v>
      </c>
      <c r="B26" s="91" t="s">
        <v>46</v>
      </c>
      <c r="C26" s="92">
        <v>7.5</v>
      </c>
      <c r="D26" s="91" t="s">
        <v>46</v>
      </c>
      <c r="E26" s="92">
        <v>6</v>
      </c>
      <c r="F26" s="91" t="s">
        <v>46</v>
      </c>
      <c r="G26" s="92">
        <v>2.5</v>
      </c>
      <c r="H26" s="91" t="s">
        <v>48</v>
      </c>
      <c r="I26" s="92">
        <v>8</v>
      </c>
      <c r="J26" s="91" t="s">
        <v>48</v>
      </c>
      <c r="K26" s="92">
        <v>6.5</v>
      </c>
      <c r="L26" s="75" t="s">
        <v>48</v>
      </c>
      <c r="M26" s="92">
        <v>0.4</v>
      </c>
      <c r="N26" s="92" t="s">
        <v>58</v>
      </c>
      <c r="O26" s="92"/>
      <c r="P26" s="92" t="s">
        <v>58</v>
      </c>
      <c r="Q26" s="92"/>
      <c r="R26" s="92" t="s">
        <v>58</v>
      </c>
      <c r="S26" s="92"/>
      <c r="T26" s="93">
        <f t="shared" si="15"/>
        <v>24.15</v>
      </c>
      <c r="U26" s="88">
        <f t="shared" si="16"/>
        <v>252.15</v>
      </c>
      <c r="V26" s="78">
        <f t="shared" si="17"/>
        <v>0</v>
      </c>
      <c r="W26" s="78">
        <f t="shared" si="18"/>
        <v>16</v>
      </c>
      <c r="X26" s="78">
        <f t="shared" si="19"/>
        <v>14.9</v>
      </c>
      <c r="Y26" s="78">
        <f t="shared" si="20"/>
        <v>0</v>
      </c>
      <c r="Z26" s="78">
        <f t="shared" si="21"/>
        <v>0</v>
      </c>
      <c r="AA26" s="78">
        <f t="shared" si="22"/>
        <v>0</v>
      </c>
      <c r="AB26" s="78">
        <f t="shared" si="23"/>
        <v>0</v>
      </c>
      <c r="AC26" s="78">
        <f t="shared" si="24"/>
        <v>0</v>
      </c>
      <c r="AD26" s="78">
        <f t="shared" si="25"/>
        <v>0</v>
      </c>
      <c r="AE26" s="78">
        <f t="shared" si="26"/>
        <v>0</v>
      </c>
      <c r="AF26" s="78">
        <f t="shared" si="27"/>
        <v>0</v>
      </c>
      <c r="AG26" s="75">
        <f t="shared" si="28"/>
        <v>0</v>
      </c>
      <c r="AH26" s="75">
        <f t="shared" si="10"/>
        <v>0</v>
      </c>
      <c r="AI26" s="75">
        <f t="shared" si="11"/>
        <v>0</v>
      </c>
      <c r="AJ26" s="73"/>
    </row>
    <row r="27" spans="1:43" x14ac:dyDescent="0.25">
      <c r="A27" s="90" t="s">
        <v>267</v>
      </c>
      <c r="B27" s="91" t="s">
        <v>46</v>
      </c>
      <c r="C27" s="92">
        <v>6</v>
      </c>
      <c r="D27" s="91" t="s">
        <v>46</v>
      </c>
      <c r="E27" s="92">
        <v>4</v>
      </c>
      <c r="F27" s="91" t="s">
        <v>46</v>
      </c>
      <c r="G27" s="92">
        <v>2</v>
      </c>
      <c r="H27" s="91" t="s">
        <v>48</v>
      </c>
      <c r="I27" s="92">
        <v>5.5</v>
      </c>
      <c r="J27" s="91" t="s">
        <v>48</v>
      </c>
      <c r="K27" s="92">
        <v>3</v>
      </c>
      <c r="L27" s="75" t="s">
        <v>46</v>
      </c>
      <c r="M27" s="92">
        <v>0.4</v>
      </c>
      <c r="N27" s="92" t="s">
        <v>58</v>
      </c>
      <c r="O27" s="92"/>
      <c r="P27" s="92" t="s">
        <v>58</v>
      </c>
      <c r="Q27" s="92"/>
      <c r="R27" s="92" t="s">
        <v>58</v>
      </c>
      <c r="S27" s="92"/>
      <c r="T27" s="93">
        <f t="shared" si="15"/>
        <v>15.5</v>
      </c>
      <c r="U27" s="88">
        <f t="shared" si="16"/>
        <v>184.75</v>
      </c>
      <c r="V27" s="78">
        <f t="shared" si="17"/>
        <v>0</v>
      </c>
      <c r="W27" s="78">
        <f t="shared" si="18"/>
        <v>12.4</v>
      </c>
      <c r="X27" s="78">
        <f t="shared" si="19"/>
        <v>8.5</v>
      </c>
      <c r="Y27" s="78">
        <f t="shared" si="20"/>
        <v>0</v>
      </c>
      <c r="Z27" s="78">
        <f t="shared" si="21"/>
        <v>0</v>
      </c>
      <c r="AA27" s="78">
        <f t="shared" si="22"/>
        <v>0</v>
      </c>
      <c r="AB27" s="78">
        <f t="shared" si="23"/>
        <v>0</v>
      </c>
      <c r="AC27" s="78">
        <f t="shared" si="24"/>
        <v>0</v>
      </c>
      <c r="AD27" s="78">
        <f t="shared" si="25"/>
        <v>0</v>
      </c>
      <c r="AE27" s="78">
        <f t="shared" si="26"/>
        <v>0</v>
      </c>
      <c r="AF27" s="78">
        <f t="shared" si="27"/>
        <v>0</v>
      </c>
      <c r="AG27" s="75">
        <f t="shared" si="28"/>
        <v>0</v>
      </c>
      <c r="AH27" s="75">
        <f t="shared" si="10"/>
        <v>0</v>
      </c>
      <c r="AI27" s="75">
        <f t="shared" si="11"/>
        <v>0</v>
      </c>
      <c r="AJ27" s="73"/>
      <c r="AL27" s="98"/>
      <c r="AM27" s="68"/>
    </row>
    <row r="28" spans="1:43" x14ac:dyDescent="0.25">
      <c r="A28" s="90" t="s">
        <v>268</v>
      </c>
      <c r="B28" s="91" t="s">
        <v>60</v>
      </c>
      <c r="C28" s="92">
        <v>7</v>
      </c>
      <c r="D28" s="91" t="s">
        <v>46</v>
      </c>
      <c r="E28" s="92">
        <v>4</v>
      </c>
      <c r="F28" s="91" t="s">
        <v>46</v>
      </c>
      <c r="G28" s="92">
        <v>2</v>
      </c>
      <c r="H28" s="91" t="s">
        <v>48</v>
      </c>
      <c r="I28" s="92">
        <v>5.5</v>
      </c>
      <c r="J28" s="91" t="s">
        <v>48</v>
      </c>
      <c r="K28" s="92">
        <v>3</v>
      </c>
      <c r="L28" s="75" t="s">
        <v>46</v>
      </c>
      <c r="M28" s="92">
        <v>0.4</v>
      </c>
      <c r="N28" s="92" t="s">
        <v>58</v>
      </c>
      <c r="O28" s="92"/>
      <c r="P28" s="92" t="s">
        <v>58</v>
      </c>
      <c r="Q28" s="92"/>
      <c r="R28" s="92" t="s">
        <v>58</v>
      </c>
      <c r="S28" s="92"/>
      <c r="T28" s="93">
        <f t="shared" si="15"/>
        <v>15.5</v>
      </c>
      <c r="U28" s="88">
        <f t="shared" si="16"/>
        <v>214.75</v>
      </c>
      <c r="V28" s="78">
        <f t="shared" si="17"/>
        <v>0</v>
      </c>
      <c r="W28" s="78">
        <f t="shared" si="18"/>
        <v>6.4</v>
      </c>
      <c r="X28" s="78">
        <f t="shared" si="19"/>
        <v>8.5</v>
      </c>
      <c r="Y28" s="78">
        <f t="shared" si="20"/>
        <v>0</v>
      </c>
      <c r="Z28" s="78">
        <f t="shared" si="21"/>
        <v>0</v>
      </c>
      <c r="AA28" s="78">
        <f t="shared" si="22"/>
        <v>0</v>
      </c>
      <c r="AB28" s="78">
        <f t="shared" si="23"/>
        <v>7</v>
      </c>
      <c r="AC28" s="78">
        <f t="shared" si="24"/>
        <v>0</v>
      </c>
      <c r="AD28" s="78">
        <f t="shared" si="25"/>
        <v>0</v>
      </c>
      <c r="AE28" s="78">
        <f t="shared" si="26"/>
        <v>0</v>
      </c>
      <c r="AF28" s="78">
        <f t="shared" si="27"/>
        <v>0</v>
      </c>
      <c r="AG28" s="75">
        <f t="shared" si="28"/>
        <v>0</v>
      </c>
      <c r="AH28" s="75">
        <f t="shared" si="10"/>
        <v>0</v>
      </c>
      <c r="AI28" s="75">
        <f t="shared" si="11"/>
        <v>0</v>
      </c>
      <c r="AJ28" s="73"/>
      <c r="AL28" s="98"/>
      <c r="AM28" s="68"/>
    </row>
    <row r="29" spans="1:43" x14ac:dyDescent="0.25">
      <c r="A29" s="90" t="s">
        <v>258</v>
      </c>
      <c r="B29" s="91" t="s">
        <v>46</v>
      </c>
      <c r="C29" s="92">
        <v>6</v>
      </c>
      <c r="D29" s="91" t="s">
        <v>46</v>
      </c>
      <c r="E29" s="92">
        <v>6</v>
      </c>
      <c r="F29" s="91" t="s">
        <v>46</v>
      </c>
      <c r="G29" s="92">
        <v>2.5</v>
      </c>
      <c r="H29" s="91" t="s">
        <v>48</v>
      </c>
      <c r="I29" s="92">
        <v>8</v>
      </c>
      <c r="J29" s="91" t="s">
        <v>48</v>
      </c>
      <c r="K29" s="92">
        <v>6.5</v>
      </c>
      <c r="L29" s="75" t="s">
        <v>46</v>
      </c>
      <c r="M29" s="92">
        <v>0.4</v>
      </c>
      <c r="N29" s="92" t="s">
        <v>58</v>
      </c>
      <c r="O29" s="92"/>
      <c r="P29" s="92" t="s">
        <v>58</v>
      </c>
      <c r="Q29" s="92"/>
      <c r="R29" s="92" t="s">
        <v>58</v>
      </c>
      <c r="S29" s="92"/>
      <c r="T29" s="93">
        <f t="shared" si="15"/>
        <v>27.75</v>
      </c>
      <c r="U29" s="88">
        <f t="shared" si="16"/>
        <v>237</v>
      </c>
      <c r="V29" s="78">
        <f t="shared" si="17"/>
        <v>0</v>
      </c>
      <c r="W29" s="78">
        <f t="shared" si="18"/>
        <v>14.9</v>
      </c>
      <c r="X29" s="78">
        <f t="shared" si="19"/>
        <v>14.5</v>
      </c>
      <c r="Y29" s="78">
        <f t="shared" si="20"/>
        <v>0</v>
      </c>
      <c r="Z29" s="78">
        <f t="shared" si="21"/>
        <v>0</v>
      </c>
      <c r="AA29" s="78">
        <f t="shared" si="22"/>
        <v>0</v>
      </c>
      <c r="AB29" s="78">
        <f t="shared" si="23"/>
        <v>0</v>
      </c>
      <c r="AC29" s="78">
        <f t="shared" si="24"/>
        <v>0</v>
      </c>
      <c r="AD29" s="78">
        <f t="shared" si="25"/>
        <v>0</v>
      </c>
      <c r="AE29" s="78">
        <f t="shared" si="26"/>
        <v>0</v>
      </c>
      <c r="AF29" s="78">
        <f t="shared" si="27"/>
        <v>0</v>
      </c>
      <c r="AG29" s="75">
        <f t="shared" si="28"/>
        <v>0</v>
      </c>
      <c r="AH29" s="75">
        <f t="shared" si="10"/>
        <v>0</v>
      </c>
      <c r="AI29" s="75">
        <f t="shared" si="11"/>
        <v>0</v>
      </c>
      <c r="AJ29" s="73"/>
      <c r="AL29" s="98"/>
    </row>
    <row r="30" spans="1:43" x14ac:dyDescent="0.25">
      <c r="A30" s="90" t="s">
        <v>270</v>
      </c>
      <c r="B30" s="91" t="s">
        <v>46</v>
      </c>
      <c r="C30" s="92">
        <v>8</v>
      </c>
      <c r="D30" s="91" t="s">
        <v>46</v>
      </c>
      <c r="E30" s="92">
        <v>5</v>
      </c>
      <c r="F30" s="91" t="s">
        <v>46</v>
      </c>
      <c r="G30" s="92">
        <v>5</v>
      </c>
      <c r="H30" s="91" t="s">
        <v>48</v>
      </c>
      <c r="I30" s="92">
        <v>8.1</v>
      </c>
      <c r="J30" s="91" t="s">
        <v>48</v>
      </c>
      <c r="K30" s="92">
        <v>6.7</v>
      </c>
      <c r="L30" s="75" t="s">
        <v>46</v>
      </c>
      <c r="M30" s="92">
        <v>0.45</v>
      </c>
      <c r="N30" s="92" t="s">
        <v>58</v>
      </c>
      <c r="O30" s="92"/>
      <c r="P30" s="92" t="s">
        <v>58</v>
      </c>
      <c r="Q30" s="92"/>
      <c r="R30" s="92" t="s">
        <v>58</v>
      </c>
      <c r="S30" s="92"/>
      <c r="T30" s="93">
        <f t="shared" si="15"/>
        <v>29.074999999999999</v>
      </c>
      <c r="U30" s="88">
        <f t="shared" si="16"/>
        <v>282.42500000000001</v>
      </c>
      <c r="V30" s="78">
        <f t="shared" si="17"/>
        <v>0</v>
      </c>
      <c r="W30" s="78">
        <f t="shared" si="18"/>
        <v>18.45</v>
      </c>
      <c r="X30" s="78">
        <f t="shared" si="19"/>
        <v>14.8</v>
      </c>
      <c r="Y30" s="78">
        <f t="shared" si="20"/>
        <v>0</v>
      </c>
      <c r="Z30" s="78">
        <f t="shared" si="21"/>
        <v>0</v>
      </c>
      <c r="AA30" s="78">
        <f t="shared" si="22"/>
        <v>0</v>
      </c>
      <c r="AB30" s="78">
        <f t="shared" si="23"/>
        <v>0</v>
      </c>
      <c r="AC30" s="78">
        <f t="shared" si="24"/>
        <v>0</v>
      </c>
      <c r="AD30" s="78">
        <f t="shared" si="25"/>
        <v>0</v>
      </c>
      <c r="AE30" s="78">
        <f t="shared" si="26"/>
        <v>0</v>
      </c>
      <c r="AF30" s="78">
        <f t="shared" si="27"/>
        <v>0</v>
      </c>
      <c r="AG30" s="75">
        <f t="shared" si="28"/>
        <v>0</v>
      </c>
      <c r="AH30" s="75">
        <f t="shared" si="10"/>
        <v>0</v>
      </c>
      <c r="AI30" s="75">
        <f t="shared" si="11"/>
        <v>0</v>
      </c>
      <c r="AJ30" s="73"/>
      <c r="AL30" s="98"/>
    </row>
    <row r="31" spans="1:43" x14ac:dyDescent="0.25">
      <c r="A31" s="90" t="s">
        <v>272</v>
      </c>
      <c r="B31" s="91" t="s">
        <v>46</v>
      </c>
      <c r="C31" s="92">
        <v>3.5</v>
      </c>
      <c r="D31" s="91" t="s">
        <v>46</v>
      </c>
      <c r="E31" s="92">
        <v>3.5</v>
      </c>
      <c r="F31" s="91" t="s">
        <v>46</v>
      </c>
      <c r="G31" s="92">
        <v>2.5</v>
      </c>
      <c r="H31" s="91" t="s">
        <v>48</v>
      </c>
      <c r="I31" s="92">
        <v>7</v>
      </c>
      <c r="J31" s="91" t="s">
        <v>48</v>
      </c>
      <c r="K31" s="92">
        <v>3.5</v>
      </c>
      <c r="L31" s="75" t="s">
        <v>46</v>
      </c>
      <c r="M31" s="92">
        <v>0.5</v>
      </c>
      <c r="N31" s="92" t="s">
        <v>58</v>
      </c>
      <c r="O31" s="92"/>
      <c r="P31" s="92" t="s">
        <v>58</v>
      </c>
      <c r="Q31" s="92"/>
      <c r="R31" s="92" t="s">
        <v>58</v>
      </c>
      <c r="S31" s="92"/>
      <c r="T31" s="93">
        <f t="shared" si="15"/>
        <v>18.5</v>
      </c>
      <c r="U31" s="88">
        <f t="shared" si="16"/>
        <v>161.75</v>
      </c>
      <c r="V31" s="78">
        <f t="shared" si="17"/>
        <v>0</v>
      </c>
      <c r="W31" s="78">
        <f t="shared" si="18"/>
        <v>10</v>
      </c>
      <c r="X31" s="78">
        <f t="shared" si="19"/>
        <v>10.5</v>
      </c>
      <c r="Y31" s="78">
        <f t="shared" si="20"/>
        <v>0</v>
      </c>
      <c r="Z31" s="78">
        <f t="shared" si="21"/>
        <v>0</v>
      </c>
      <c r="AA31" s="78">
        <f t="shared" si="22"/>
        <v>0</v>
      </c>
      <c r="AB31" s="78">
        <f t="shared" si="23"/>
        <v>0</v>
      </c>
      <c r="AC31" s="78">
        <f t="shared" si="24"/>
        <v>0</v>
      </c>
      <c r="AD31" s="78">
        <f t="shared" si="25"/>
        <v>0</v>
      </c>
      <c r="AE31" s="78">
        <f t="shared" si="26"/>
        <v>0</v>
      </c>
      <c r="AF31" s="78">
        <f t="shared" si="27"/>
        <v>0</v>
      </c>
      <c r="AG31" s="75">
        <f t="shared" si="28"/>
        <v>0</v>
      </c>
      <c r="AH31" s="75">
        <f t="shared" si="10"/>
        <v>0</v>
      </c>
      <c r="AI31" s="75">
        <f t="shared" si="11"/>
        <v>0</v>
      </c>
      <c r="AJ31" s="73"/>
      <c r="AL31" s="98"/>
    </row>
    <row r="32" spans="1:43" x14ac:dyDescent="0.25">
      <c r="A32" s="90" t="s">
        <v>276</v>
      </c>
      <c r="B32" s="91" t="s">
        <v>46</v>
      </c>
      <c r="C32" s="92">
        <v>3.5</v>
      </c>
      <c r="D32" s="91" t="s">
        <v>46</v>
      </c>
      <c r="E32" s="92">
        <v>3.5</v>
      </c>
      <c r="F32" s="91" t="s">
        <v>46</v>
      </c>
      <c r="G32" s="92">
        <v>2.5</v>
      </c>
      <c r="H32" s="91" t="s">
        <v>48</v>
      </c>
      <c r="I32" s="92">
        <v>6</v>
      </c>
      <c r="J32" s="91" t="s">
        <v>48</v>
      </c>
      <c r="K32" s="92">
        <v>2.5</v>
      </c>
      <c r="L32" s="75" t="s">
        <v>46</v>
      </c>
      <c r="M32" s="92">
        <v>0.4</v>
      </c>
      <c r="N32" s="92" t="s">
        <v>58</v>
      </c>
      <c r="O32" s="92"/>
      <c r="P32" s="92" t="s">
        <v>58</v>
      </c>
      <c r="Q32" s="92"/>
      <c r="R32" s="92" t="s">
        <v>58</v>
      </c>
      <c r="S32" s="92"/>
      <c r="T32" s="93">
        <f t="shared" si="15"/>
        <v>13.75</v>
      </c>
      <c r="U32" s="88">
        <f t="shared" si="16"/>
        <v>153.5</v>
      </c>
      <c r="V32" s="78">
        <f t="shared" si="17"/>
        <v>0</v>
      </c>
      <c r="W32" s="78">
        <f t="shared" si="18"/>
        <v>9.9</v>
      </c>
      <c r="X32" s="78">
        <f t="shared" si="19"/>
        <v>8.5</v>
      </c>
      <c r="Y32" s="78">
        <f t="shared" si="20"/>
        <v>0</v>
      </c>
      <c r="Z32" s="78">
        <f t="shared" si="21"/>
        <v>0</v>
      </c>
      <c r="AA32" s="78">
        <f t="shared" si="22"/>
        <v>0</v>
      </c>
      <c r="AB32" s="78">
        <f t="shared" si="23"/>
        <v>0</v>
      </c>
      <c r="AC32" s="78">
        <f t="shared" si="24"/>
        <v>0</v>
      </c>
      <c r="AD32" s="78">
        <f t="shared" si="25"/>
        <v>0</v>
      </c>
      <c r="AE32" s="78">
        <f t="shared" si="26"/>
        <v>0</v>
      </c>
      <c r="AF32" s="78">
        <f t="shared" si="27"/>
        <v>0</v>
      </c>
      <c r="AG32" s="75">
        <f t="shared" si="28"/>
        <v>0</v>
      </c>
      <c r="AH32" s="75">
        <f t="shared" si="10"/>
        <v>0</v>
      </c>
      <c r="AI32" s="75">
        <f t="shared" si="11"/>
        <v>0</v>
      </c>
      <c r="AJ32" s="73"/>
      <c r="AL32" s="99"/>
    </row>
    <row r="33" spans="1:36" x14ac:dyDescent="0.25">
      <c r="A33" s="90" t="s">
        <v>280</v>
      </c>
      <c r="B33" s="91" t="s">
        <v>46</v>
      </c>
      <c r="C33" s="92">
        <v>5</v>
      </c>
      <c r="D33" s="91" t="s">
        <v>46</v>
      </c>
      <c r="E33" s="92">
        <v>4</v>
      </c>
      <c r="F33" s="91" t="s">
        <v>46</v>
      </c>
      <c r="G33" s="92">
        <v>3.5</v>
      </c>
      <c r="H33" s="91" t="s">
        <v>48</v>
      </c>
      <c r="I33" s="92">
        <v>12.5</v>
      </c>
      <c r="J33" s="91" t="s">
        <v>48</v>
      </c>
      <c r="K33" s="92">
        <v>4.5</v>
      </c>
      <c r="L33" s="75" t="s">
        <v>46</v>
      </c>
      <c r="M33" s="92">
        <v>0.7</v>
      </c>
      <c r="N33" s="92" t="s">
        <v>58</v>
      </c>
      <c r="O33" s="92"/>
      <c r="P33" s="92" t="s">
        <v>58</v>
      </c>
      <c r="Q33" s="92"/>
      <c r="R33" s="92" t="s">
        <v>58</v>
      </c>
      <c r="S33" s="92"/>
      <c r="T33" s="93">
        <f t="shared" si="15"/>
        <v>24.5</v>
      </c>
      <c r="U33" s="88">
        <f t="shared" si="16"/>
        <v>224.5</v>
      </c>
      <c r="V33" s="78">
        <f t="shared" si="17"/>
        <v>0</v>
      </c>
      <c r="W33" s="78">
        <f t="shared" si="18"/>
        <v>13.2</v>
      </c>
      <c r="X33" s="78">
        <f t="shared" si="19"/>
        <v>17</v>
      </c>
      <c r="Y33" s="78">
        <f t="shared" si="20"/>
        <v>0</v>
      </c>
      <c r="Z33" s="78">
        <f t="shared" si="21"/>
        <v>0</v>
      </c>
      <c r="AA33" s="78">
        <f t="shared" si="22"/>
        <v>0</v>
      </c>
      <c r="AB33" s="78">
        <f t="shared" si="23"/>
        <v>0</v>
      </c>
      <c r="AC33" s="78">
        <f t="shared" si="24"/>
        <v>0</v>
      </c>
      <c r="AD33" s="78">
        <f t="shared" si="25"/>
        <v>0</v>
      </c>
      <c r="AE33" s="78">
        <f t="shared" si="26"/>
        <v>0</v>
      </c>
      <c r="AF33" s="78">
        <f t="shared" si="27"/>
        <v>0</v>
      </c>
      <c r="AG33" s="75">
        <f t="shared" si="28"/>
        <v>0</v>
      </c>
      <c r="AH33" s="75">
        <f t="shared" si="10"/>
        <v>0</v>
      </c>
      <c r="AI33" s="75">
        <f t="shared" si="11"/>
        <v>0</v>
      </c>
      <c r="AJ33" s="73"/>
    </row>
    <row r="34" spans="1:36" x14ac:dyDescent="0.25">
      <c r="A34" s="90" t="s">
        <v>283</v>
      </c>
      <c r="B34" s="91" t="s">
        <v>43</v>
      </c>
      <c r="C34" s="92">
        <v>7.6</v>
      </c>
      <c r="D34" s="91" t="s">
        <v>43</v>
      </c>
      <c r="E34" s="92">
        <v>5</v>
      </c>
      <c r="F34" s="91" t="s">
        <v>43</v>
      </c>
      <c r="G34" s="92">
        <v>4.2</v>
      </c>
      <c r="H34" s="91" t="s">
        <v>43</v>
      </c>
      <c r="I34" s="92">
        <v>1.65</v>
      </c>
      <c r="J34" s="91" t="s">
        <v>48</v>
      </c>
      <c r="K34" s="92">
        <v>7.05</v>
      </c>
      <c r="L34" s="75" t="s">
        <v>43</v>
      </c>
      <c r="M34" s="92">
        <v>0.5</v>
      </c>
      <c r="N34" s="92" t="s">
        <v>58</v>
      </c>
      <c r="O34" s="92"/>
      <c r="P34" s="92" t="s">
        <v>58</v>
      </c>
      <c r="Q34" s="92"/>
      <c r="R34" s="92" t="s">
        <v>58</v>
      </c>
      <c r="S34" s="92"/>
      <c r="T34" s="93">
        <f t="shared" si="15"/>
        <v>29.175000000000001</v>
      </c>
      <c r="U34" s="88">
        <f t="shared" si="16"/>
        <v>195.22499999999999</v>
      </c>
      <c r="V34" s="78">
        <f t="shared" si="17"/>
        <v>18.95</v>
      </c>
      <c r="W34" s="78">
        <f t="shared" si="18"/>
        <v>0</v>
      </c>
      <c r="X34" s="78">
        <f t="shared" si="19"/>
        <v>7.05</v>
      </c>
      <c r="Y34" s="78">
        <f t="shared" si="20"/>
        <v>0</v>
      </c>
      <c r="Z34" s="78">
        <f t="shared" si="21"/>
        <v>0</v>
      </c>
      <c r="AA34" s="78">
        <f t="shared" si="22"/>
        <v>0</v>
      </c>
      <c r="AB34" s="78">
        <f t="shared" si="23"/>
        <v>0</v>
      </c>
      <c r="AC34" s="78">
        <f t="shared" si="24"/>
        <v>0</v>
      </c>
      <c r="AD34" s="78">
        <f t="shared" si="25"/>
        <v>0</v>
      </c>
      <c r="AE34" s="78">
        <f t="shared" si="26"/>
        <v>0</v>
      </c>
      <c r="AF34" s="78">
        <f t="shared" si="27"/>
        <v>0</v>
      </c>
      <c r="AG34" s="75">
        <f t="shared" si="28"/>
        <v>0</v>
      </c>
      <c r="AH34" s="75">
        <f t="shared" si="10"/>
        <v>0</v>
      </c>
      <c r="AI34" s="75">
        <f t="shared" si="11"/>
        <v>0</v>
      </c>
      <c r="AJ34" s="292" t="s">
        <v>422</v>
      </c>
    </row>
    <row r="35" spans="1:36" x14ac:dyDescent="0.25">
      <c r="A35" s="90" t="s">
        <v>286</v>
      </c>
      <c r="B35" s="91" t="s">
        <v>46</v>
      </c>
      <c r="C35" s="92">
        <v>7.6</v>
      </c>
      <c r="D35" s="91" t="s">
        <v>46</v>
      </c>
      <c r="E35" s="92">
        <v>5</v>
      </c>
      <c r="F35" s="91" t="s">
        <v>46</v>
      </c>
      <c r="G35" s="92">
        <v>4.2</v>
      </c>
      <c r="H35" s="91" t="s">
        <v>46</v>
      </c>
      <c r="I35" s="92">
        <v>1.65</v>
      </c>
      <c r="J35" s="91" t="s">
        <v>48</v>
      </c>
      <c r="K35" s="92">
        <v>7.05</v>
      </c>
      <c r="L35" s="75" t="s">
        <v>46</v>
      </c>
      <c r="M35" s="92">
        <v>0.5</v>
      </c>
      <c r="N35" s="92" t="s">
        <v>58</v>
      </c>
      <c r="O35" s="92"/>
      <c r="P35" s="92" t="s">
        <v>58</v>
      </c>
      <c r="Q35" s="92"/>
      <c r="R35" s="92" t="s">
        <v>58</v>
      </c>
      <c r="S35" s="92"/>
      <c r="T35" s="93">
        <f t="shared" si="15"/>
        <v>30.925000000000001</v>
      </c>
      <c r="U35" s="88">
        <f t="shared" si="16"/>
        <v>261.55</v>
      </c>
      <c r="V35" s="78">
        <f t="shared" si="17"/>
        <v>0</v>
      </c>
      <c r="W35" s="78">
        <f t="shared" si="18"/>
        <v>18.95</v>
      </c>
      <c r="X35" s="78">
        <f t="shared" si="19"/>
        <v>7.05</v>
      </c>
      <c r="Y35" s="78">
        <f t="shared" si="20"/>
        <v>0</v>
      </c>
      <c r="Z35" s="78">
        <f t="shared" si="21"/>
        <v>0</v>
      </c>
      <c r="AA35" s="78">
        <f t="shared" si="22"/>
        <v>0</v>
      </c>
      <c r="AB35" s="78">
        <f t="shared" si="23"/>
        <v>0</v>
      </c>
      <c r="AC35" s="78">
        <f t="shared" si="24"/>
        <v>0</v>
      </c>
      <c r="AD35" s="78">
        <f t="shared" si="25"/>
        <v>0</v>
      </c>
      <c r="AE35" s="78">
        <f t="shared" si="26"/>
        <v>0</v>
      </c>
      <c r="AF35" s="78">
        <f t="shared" si="27"/>
        <v>0</v>
      </c>
      <c r="AG35" s="75">
        <f t="shared" si="28"/>
        <v>0</v>
      </c>
      <c r="AH35" s="75">
        <f t="shared" si="10"/>
        <v>0</v>
      </c>
      <c r="AI35" s="75">
        <f t="shared" si="11"/>
        <v>0</v>
      </c>
      <c r="AJ35" s="292"/>
    </row>
    <row r="36" spans="1:36" x14ac:dyDescent="0.25">
      <c r="A36" s="90" t="s">
        <v>288</v>
      </c>
      <c r="B36" s="91" t="s">
        <v>46</v>
      </c>
      <c r="C36" s="92">
        <v>6</v>
      </c>
      <c r="D36" s="91" t="s">
        <v>46</v>
      </c>
      <c r="E36" s="92">
        <v>5.5</v>
      </c>
      <c r="F36" s="91" t="s">
        <v>46</v>
      </c>
      <c r="G36" s="92">
        <v>5.5</v>
      </c>
      <c r="H36" s="91" t="s">
        <v>46</v>
      </c>
      <c r="I36" s="92">
        <v>1.65</v>
      </c>
      <c r="J36" s="91" t="s">
        <v>48</v>
      </c>
      <c r="K36" s="92">
        <v>25.9</v>
      </c>
      <c r="L36" s="75" t="s">
        <v>46</v>
      </c>
      <c r="M36" s="92">
        <v>1.55</v>
      </c>
      <c r="N36" s="92" t="s">
        <v>58</v>
      </c>
      <c r="O36" s="92"/>
      <c r="P36" s="92" t="s">
        <v>58</v>
      </c>
      <c r="Q36" s="92"/>
      <c r="R36" s="92" t="s">
        <v>58</v>
      </c>
      <c r="S36" s="92"/>
      <c r="T36" s="93">
        <f t="shared" si="15"/>
        <v>110.02499999999999</v>
      </c>
      <c r="U36" s="88">
        <f t="shared" si="16"/>
        <v>343.15</v>
      </c>
      <c r="V36" s="78">
        <f t="shared" si="17"/>
        <v>0</v>
      </c>
      <c r="W36" s="78">
        <f t="shared" si="18"/>
        <v>20.2</v>
      </c>
      <c r="X36" s="78">
        <f t="shared" si="19"/>
        <v>25.9</v>
      </c>
      <c r="Y36" s="78">
        <f t="shared" si="20"/>
        <v>0</v>
      </c>
      <c r="Z36" s="78">
        <f t="shared" si="21"/>
        <v>0</v>
      </c>
      <c r="AA36" s="78">
        <f t="shared" si="22"/>
        <v>0</v>
      </c>
      <c r="AB36" s="78">
        <f t="shared" si="23"/>
        <v>0</v>
      </c>
      <c r="AC36" s="78">
        <f t="shared" si="24"/>
        <v>0</v>
      </c>
      <c r="AD36" s="78">
        <f t="shared" si="25"/>
        <v>0</v>
      </c>
      <c r="AE36" s="78">
        <f t="shared" si="26"/>
        <v>0</v>
      </c>
      <c r="AF36" s="78">
        <f t="shared" si="27"/>
        <v>0</v>
      </c>
      <c r="AG36" s="75">
        <f t="shared" si="28"/>
        <v>0</v>
      </c>
      <c r="AH36" s="75">
        <f t="shared" si="10"/>
        <v>0</v>
      </c>
      <c r="AI36" s="75">
        <f t="shared" si="11"/>
        <v>0</v>
      </c>
      <c r="AJ36" s="73" t="s">
        <v>423</v>
      </c>
    </row>
    <row r="37" spans="1:36" x14ac:dyDescent="0.25">
      <c r="A37" s="90" t="s">
        <v>290</v>
      </c>
      <c r="B37" s="91" t="s">
        <v>424</v>
      </c>
      <c r="C37" s="92">
        <v>0.82</v>
      </c>
      <c r="D37" s="91" t="s">
        <v>424</v>
      </c>
      <c r="E37" s="92">
        <v>0.82</v>
      </c>
      <c r="F37" s="91" t="s">
        <v>424</v>
      </c>
      <c r="G37" s="92">
        <v>0.82</v>
      </c>
      <c r="H37" s="91" t="s">
        <v>424</v>
      </c>
      <c r="I37" s="92">
        <v>0.08</v>
      </c>
      <c r="J37" s="91" t="s">
        <v>424</v>
      </c>
      <c r="K37" s="92">
        <v>0.1</v>
      </c>
      <c r="L37" s="75" t="s">
        <v>424</v>
      </c>
      <c r="M37" s="92">
        <v>0.1</v>
      </c>
      <c r="N37" s="92" t="s">
        <v>80</v>
      </c>
      <c r="O37" s="92"/>
      <c r="P37" s="92" t="s">
        <v>80</v>
      </c>
      <c r="Q37" s="92"/>
      <c r="R37" s="92" t="s">
        <v>80</v>
      </c>
      <c r="S37" s="92"/>
      <c r="T37" s="93">
        <f t="shared" si="15"/>
        <v>60</v>
      </c>
      <c r="U37" s="88">
        <f t="shared" si="16"/>
        <v>148.89999999999998</v>
      </c>
      <c r="V37" s="78">
        <f t="shared" si="17"/>
        <v>0</v>
      </c>
      <c r="W37" s="78">
        <f t="shared" si="18"/>
        <v>0</v>
      </c>
      <c r="X37" s="78">
        <f t="shared" si="19"/>
        <v>0</v>
      </c>
      <c r="Y37" s="78">
        <f t="shared" si="20"/>
        <v>0</v>
      </c>
      <c r="Z37" s="78">
        <f t="shared" si="21"/>
        <v>0</v>
      </c>
      <c r="AA37" s="78">
        <f t="shared" si="22"/>
        <v>0</v>
      </c>
      <c r="AB37" s="78">
        <f t="shared" si="23"/>
        <v>0</v>
      </c>
      <c r="AC37" s="78">
        <f t="shared" si="24"/>
        <v>0</v>
      </c>
      <c r="AD37" s="78">
        <f t="shared" si="25"/>
        <v>0</v>
      </c>
      <c r="AE37" s="78">
        <f t="shared" si="26"/>
        <v>0</v>
      </c>
      <c r="AF37" s="78">
        <f t="shared" si="27"/>
        <v>0</v>
      </c>
      <c r="AG37" s="75">
        <f t="shared" si="28"/>
        <v>0</v>
      </c>
      <c r="AH37" s="75">
        <f t="shared" si="10"/>
        <v>0</v>
      </c>
      <c r="AI37" s="75">
        <f t="shared" si="11"/>
        <v>0</v>
      </c>
      <c r="AJ37" s="73"/>
    </row>
    <row r="38" spans="1:36" x14ac:dyDescent="0.25">
      <c r="A38" s="90" t="s">
        <v>185</v>
      </c>
      <c r="B38" s="91" t="s">
        <v>48</v>
      </c>
      <c r="C38" s="92">
        <v>0.82</v>
      </c>
      <c r="D38" s="91" t="s">
        <v>48</v>
      </c>
      <c r="E38" s="92">
        <v>0.82</v>
      </c>
      <c r="F38" s="91" t="s">
        <v>48</v>
      </c>
      <c r="G38" s="92">
        <v>0.82</v>
      </c>
      <c r="H38" s="91" t="s">
        <v>48</v>
      </c>
      <c r="I38" s="92">
        <v>0.08</v>
      </c>
      <c r="J38" s="91" t="s">
        <v>54</v>
      </c>
      <c r="K38" s="92">
        <v>0.15</v>
      </c>
      <c r="L38" s="75" t="s">
        <v>54</v>
      </c>
      <c r="M38" s="92">
        <v>0.15</v>
      </c>
      <c r="N38" s="92" t="s">
        <v>80</v>
      </c>
      <c r="O38" s="92"/>
      <c r="P38" s="92" t="s">
        <v>80</v>
      </c>
      <c r="Q38" s="92"/>
      <c r="R38" s="92" t="s">
        <v>80</v>
      </c>
      <c r="S38" s="92"/>
      <c r="T38" s="93">
        <f t="shared" si="15"/>
        <v>3</v>
      </c>
      <c r="U38" s="88">
        <f t="shared" si="16"/>
        <v>11.889999999999999</v>
      </c>
      <c r="V38" s="78">
        <f t="shared" si="17"/>
        <v>0</v>
      </c>
      <c r="W38" s="78">
        <f t="shared" si="18"/>
        <v>0</v>
      </c>
      <c r="X38" s="78">
        <f t="shared" si="19"/>
        <v>2.54</v>
      </c>
      <c r="Y38" s="78">
        <f t="shared" si="20"/>
        <v>0.3</v>
      </c>
      <c r="Z38" s="78">
        <f t="shared" si="21"/>
        <v>0</v>
      </c>
      <c r="AA38" s="78">
        <f t="shared" si="22"/>
        <v>0</v>
      </c>
      <c r="AB38" s="78">
        <f t="shared" si="23"/>
        <v>0</v>
      </c>
      <c r="AC38" s="78">
        <f t="shared" si="24"/>
        <v>0</v>
      </c>
      <c r="AD38" s="78">
        <f t="shared" si="25"/>
        <v>0</v>
      </c>
      <c r="AE38" s="78">
        <f t="shared" si="26"/>
        <v>0</v>
      </c>
      <c r="AF38" s="78">
        <f t="shared" si="27"/>
        <v>0</v>
      </c>
      <c r="AG38" s="75">
        <f t="shared" si="28"/>
        <v>0</v>
      </c>
      <c r="AH38" s="75">
        <f t="shared" si="10"/>
        <v>0</v>
      </c>
      <c r="AI38" s="75">
        <f t="shared" si="11"/>
        <v>0</v>
      </c>
      <c r="AJ38" s="73"/>
    </row>
    <row r="39" spans="1:36" x14ac:dyDescent="0.25">
      <c r="A39" s="90" t="s">
        <v>292</v>
      </c>
      <c r="B39" s="91"/>
      <c r="C39" s="92"/>
      <c r="D39" s="91"/>
      <c r="E39" s="92"/>
      <c r="F39" s="91"/>
      <c r="G39" s="92"/>
      <c r="H39" s="91"/>
      <c r="I39" s="92"/>
      <c r="J39" s="91"/>
      <c r="K39" s="92"/>
      <c r="L39" s="75"/>
      <c r="M39" s="92"/>
      <c r="N39" s="92"/>
      <c r="O39" s="92"/>
      <c r="P39" s="92"/>
      <c r="Q39" s="92"/>
      <c r="R39" s="92"/>
      <c r="S39" s="92"/>
      <c r="T39" s="93"/>
      <c r="U39" s="88"/>
      <c r="V39" s="78">
        <f t="shared" si="17"/>
        <v>0</v>
      </c>
      <c r="W39" s="78">
        <f t="shared" si="18"/>
        <v>0</v>
      </c>
      <c r="X39" s="78">
        <f t="shared" si="19"/>
        <v>0</v>
      </c>
      <c r="Y39" s="78">
        <f t="shared" si="20"/>
        <v>0</v>
      </c>
      <c r="Z39" s="78">
        <f t="shared" si="21"/>
        <v>0</v>
      </c>
      <c r="AA39" s="78">
        <f t="shared" si="22"/>
        <v>0</v>
      </c>
      <c r="AB39" s="78">
        <f t="shared" si="23"/>
        <v>0</v>
      </c>
      <c r="AC39" s="78">
        <f t="shared" si="24"/>
        <v>0</v>
      </c>
      <c r="AD39" s="78">
        <f t="shared" si="25"/>
        <v>0</v>
      </c>
      <c r="AE39" s="78">
        <f t="shared" si="26"/>
        <v>0</v>
      </c>
      <c r="AF39" s="78">
        <f t="shared" si="27"/>
        <v>0</v>
      </c>
      <c r="AG39" s="75">
        <f t="shared" si="28"/>
        <v>0</v>
      </c>
      <c r="AH39" s="75">
        <f t="shared" si="10"/>
        <v>0</v>
      </c>
      <c r="AI39" s="75">
        <f t="shared" si="11"/>
        <v>0</v>
      </c>
      <c r="AJ39" s="73"/>
    </row>
    <row r="40" spans="1:36" x14ac:dyDescent="0.25">
      <c r="A40" s="90" t="s">
        <v>658</v>
      </c>
      <c r="B40" s="91" t="s">
        <v>48</v>
      </c>
      <c r="C40" s="92">
        <v>3.9</v>
      </c>
      <c r="D40" s="91" t="s">
        <v>48</v>
      </c>
      <c r="E40" s="92">
        <v>3.9</v>
      </c>
      <c r="F40" s="91" t="s">
        <v>48</v>
      </c>
      <c r="G40" s="92">
        <v>3.9</v>
      </c>
      <c r="H40" s="91" t="s">
        <v>48</v>
      </c>
      <c r="I40" s="92">
        <f>0.2*C40</f>
        <v>0.78</v>
      </c>
      <c r="J40" s="91" t="s">
        <v>48</v>
      </c>
      <c r="K40" s="92">
        <f>0.2*E40</f>
        <v>0.78</v>
      </c>
      <c r="L40" s="75" t="s">
        <v>48</v>
      </c>
      <c r="M40" s="92">
        <f>0.2*G40</f>
        <v>0.78</v>
      </c>
      <c r="N40" s="92" t="s">
        <v>659</v>
      </c>
      <c r="O40" s="92">
        <v>1.2E-2</v>
      </c>
      <c r="P40" s="92" t="s">
        <v>58</v>
      </c>
      <c r="Q40" s="92"/>
      <c r="R40" s="92" t="s">
        <v>58</v>
      </c>
      <c r="S40" s="92"/>
      <c r="T40" s="93">
        <f>(VLOOKUP(H40,AL$4:AN$19,3)*I40)+(VLOOKUP(J40,AL$4:AN$19,3)*K40)+(VLOOKUP(L40,AL$4:AN$19,3)*M40)+(VLOOKUP(N40,AL$4:AN$19,3)*O40)+(VLOOKUP(P40,AL$4:AN$19,3)*Q40)+(VLOOKUP(R40,AL$4:AN$19,3)*S40)</f>
        <v>11.41728</v>
      </c>
      <c r="U40" s="88">
        <f>(VLOOKUP(B40,$AL$4:$AN$19,3)*C40)+(VLOOKUP(D40,$AL$4:$AN$19,3)*E40)+(VLOOKUP(F40,$AL$4:$AN$19,3)*G40)+(VLOOKUP(N40,$AL$4:$AN$19,3)*O40)+(VLOOKUP(P40,$AL$4:$AN$19,3)*Q40)+(VLOOKUP(R40,$AL$4:$AN$19,3)*S40)</f>
        <v>44.177280000000003</v>
      </c>
      <c r="V40" s="78">
        <f t="shared" ref="V40:V46" si="29">IF(B40="A",C40,0)+IF(D40="A",E40,0)+IF(F40="A",G40,0)+IF(H40="A",I40,0)+IF(J40="A",K40,0)+IF(L40="A",M40,0)+IF(N40="A",O40,0)+IF(P40="A",Q40,0)+IF(R40="A",S40,0)</f>
        <v>0</v>
      </c>
      <c r="W40" s="78">
        <f t="shared" ref="W40:W46" si="30">IF(B40="B",C40,0)+IF(D40="B",E40,0)+IF(F40="B",G40,0)+IF(H40="B",I40,0)+IF(J40="B",K40,0)+IF(L40="B",M40,0)+IF(N40="B",O40,0)+IF(P40="B",Q40,0)+IF(R40="B",S40,0)</f>
        <v>0</v>
      </c>
      <c r="X40" s="78">
        <f t="shared" ref="X40:X46" si="31">IF(B40="C",C40,0)+IF(D40="C",E40,0)+IF(F40="C",G40,0)+IF(H40="C",I40,0)+IF(J40="C",K40,0)+IF(L40="C",M40,0)+IF(N40="C",O40,0)+IF(P40="C",Q40,0)+IF(R40="C",S40,0)</f>
        <v>14.039999999999997</v>
      </c>
      <c r="Y40" s="78">
        <f t="shared" ref="Y40:Y46" si="32">IF(B40="D",C40,0)+IF(D40="D",E40,0)+IF(F40="D",G40,0)+IF(H40="D",I40,0)+IF(J40="D",K40,0)+IF(L40="D",M40,0)+IF(N40="D",O40,0)+IF(P40="D",Q40,0)+IF(R40="D",S40,0)</f>
        <v>0</v>
      </c>
      <c r="Z40" s="78">
        <f t="shared" ref="Z40:Z46" si="33">IF(B40="E",C40,0)+IF(D40="E",E40,0)+IF(F40="E",G40,0)+IF(H40="E",I40,0)+IF(J40="E",K40,0)+IF(L40="E",M40,0)+IF(N40="E",O40,0)+IF(P40="E",Q40,0)+IF(R40="E",S40,0)</f>
        <v>0</v>
      </c>
      <c r="AA40" s="78">
        <f t="shared" ref="AA40:AA46" si="34">IF(B40="F",C40,0)+IF(D40="F",E40,0)+IF(F40="F",G40,0)+IF(H40="F",I40,0)+IF(J40="F",K40,0)+IF(L40="F",M40,0)+IF(N40="F",O40,0)+IF(P40="F",Q40,0)+IF(R40="F",S40,0)</f>
        <v>0</v>
      </c>
      <c r="AB40" s="78">
        <f t="shared" ref="AB40:AB46" si="35">IF(B40="G",C40,0)+IF(D40="G",E40,0)+IF(F40="G",G40,0)+IF(H40="G",I40,0)+IF(J40="G",K40,0)+IF(L40="G",M40,0)+IF(N40="G",O40,0)+IF(P40="G",Q40,0)+IF(R40="G",S40,0)</f>
        <v>0</v>
      </c>
      <c r="AC40" s="78">
        <f t="shared" ref="AC40:AC46" si="36">IF(B40="H",C40,0)+IF(D40="H",E40,0)+IF(F40="H",G40,0)+IF(H40="H",I40,0)+IF(J40="H",K40,0)+IF(L40="H",M40,0)+IF(N40="H",O40,0)+IF(P40="H",Q40,0)+IF(R40="H",S40,0)</f>
        <v>0</v>
      </c>
      <c r="AD40" s="78">
        <f t="shared" ref="AD40:AD46" si="37">IF(B40="I",C40,0)+IF(D40="I",E40,0)+IF(F40="I",G40,0)+IF(H40="I",I40,0)+IF(J40="I",K40,0)+IF(L40="I",M40,0)+IF(N40="I",O40,0)+IF(P40="I",Q40,0)+IF(R40="I",S40,0)</f>
        <v>0</v>
      </c>
      <c r="AE40" s="78">
        <f t="shared" ref="AE40:AE46" si="38">IF(B40="J",C40,0)+IF(D40="J",E40,0)+IF(F40="J",G40,0)+IF(H40="J",I40,0)+IF(J40="J",K40,0)+IF(L40="J",M40,0)+IF(N40="J",O40,0)+IF(P40="J",Q40,0)+IF(R40="J",S40,0)</f>
        <v>0</v>
      </c>
      <c r="AF40" s="78">
        <f t="shared" ref="AF40:AF46" si="39">IF(B40="K",C40,0)+IF(D40="K",E40,0)+IF(F40="K",G40,0)+IF(H40="K",I40,0)+IF(J40="K",K40,0)+IF(L40="K",M40,0)+IF(N40="K",O40,0)+IF(P40="K",Q40,0)+IF(R40="K",S40,0)</f>
        <v>0</v>
      </c>
      <c r="AG40" s="75">
        <f t="shared" ref="AG40:AG46" si="40">IF(B40="L",C40,0)+IF(D40="L",E40,0)+IF(F40="L",G40,0)+IF(H40="L",I40,0)+IF(J40="L",K40,0)+IF(L40="L",M40,0)+IF(N40="L",O40,0)+IF(P40="L",Q40,0)+IF(R40="L",S40,0)</f>
        <v>0</v>
      </c>
      <c r="AH40" s="75">
        <f t="shared" ref="AH40:AH46" si="41">IF(B40="M",C40,0)+IF(D40="M",E40,0)+IF(F40="M",G40,0)+IF(H40="M",I40,0)+IF(J40="M",K40,0)+IF(N40="M",O40,0)+IF(P40="M",Q40,0)+IF(R40="M",S40,0)</f>
        <v>0</v>
      </c>
      <c r="AI40" s="75">
        <f t="shared" ref="AI40:AI46" si="42">IF(B40="N",C40,0)+IF(D40="N",E40,0)+IF(F40="N",G40,0)+IF(H40="N",I40,0)+IF(J40="N",K40,0)+IF(N40="N",O40,0)+IF(P40="N",Q40,0)+IF(R40="N",S40,0)</f>
        <v>0</v>
      </c>
      <c r="AJ40" s="73"/>
    </row>
    <row r="41" spans="1:36" x14ac:dyDescent="0.25">
      <c r="A41" s="90" t="s">
        <v>652</v>
      </c>
      <c r="B41" s="91" t="s">
        <v>48</v>
      </c>
      <c r="C41" s="92">
        <v>11.5</v>
      </c>
      <c r="D41" s="91" t="s">
        <v>48</v>
      </c>
      <c r="E41" s="92">
        <v>11.5</v>
      </c>
      <c r="F41" s="91" t="s">
        <v>48</v>
      </c>
      <c r="G41" s="92">
        <v>11.5</v>
      </c>
      <c r="H41" s="91" t="s">
        <v>48</v>
      </c>
      <c r="I41" s="92">
        <f t="shared" ref="I41:M46" si="43">0.2*C41</f>
        <v>2.3000000000000003</v>
      </c>
      <c r="J41" s="91" t="s">
        <v>48</v>
      </c>
      <c r="K41" s="92">
        <f t="shared" si="43"/>
        <v>2.3000000000000003</v>
      </c>
      <c r="L41" s="75" t="s">
        <v>48</v>
      </c>
      <c r="M41" s="92">
        <f t="shared" si="43"/>
        <v>2.3000000000000003</v>
      </c>
      <c r="N41" s="92" t="s">
        <v>659</v>
      </c>
      <c r="O41" s="92">
        <v>1.2E-2</v>
      </c>
      <c r="P41" s="92" t="s">
        <v>58</v>
      </c>
      <c r="Q41" s="92"/>
      <c r="R41" s="92" t="s">
        <v>58</v>
      </c>
      <c r="S41" s="92"/>
      <c r="T41" s="93">
        <f t="shared" ref="T41:T46" si="44">(VLOOKUP(H41,AL$4:AN$19,3)*I41)+(VLOOKUP(J41,AL$4:AN$19,3)*K41)+(VLOOKUP(L41,AL$4:AN$19,3)*M41)+(VLOOKUP(N41,AL$4:AN$19,3)*O41)+(VLOOKUP(P41,AL$4:AN$19,3)*Q41)+(VLOOKUP(R41,AL$4:AN$19,3)*S41)</f>
        <v>27.377280000000003</v>
      </c>
      <c r="U41" s="88">
        <f t="shared" ref="U41:U46" si="45">(VLOOKUP(B41,$AL$4:$AN$19,3)*C41)+(VLOOKUP(D41,$AL$4:$AN$19,3)*E41)+(VLOOKUP(F41,$AL$4:$AN$19,3)*G41)+(VLOOKUP(N41,$AL$4:$AN$19,3)*O41)+(VLOOKUP(P41,$AL$4:$AN$19,3)*Q41)+(VLOOKUP(R41,$AL$4:$AN$19,3)*S41)</f>
        <v>123.97727999999999</v>
      </c>
      <c r="V41" s="78">
        <f t="shared" si="29"/>
        <v>0</v>
      </c>
      <c r="W41" s="78">
        <f t="shared" si="30"/>
        <v>0</v>
      </c>
      <c r="X41" s="78">
        <f t="shared" si="31"/>
        <v>41.399999999999991</v>
      </c>
      <c r="Y41" s="78">
        <f t="shared" si="32"/>
        <v>0</v>
      </c>
      <c r="Z41" s="78">
        <f t="shared" si="33"/>
        <v>0</v>
      </c>
      <c r="AA41" s="78">
        <f t="shared" si="34"/>
        <v>0</v>
      </c>
      <c r="AB41" s="78">
        <f t="shared" si="35"/>
        <v>0</v>
      </c>
      <c r="AC41" s="78">
        <f t="shared" si="36"/>
        <v>0</v>
      </c>
      <c r="AD41" s="78">
        <f t="shared" si="37"/>
        <v>0</v>
      </c>
      <c r="AE41" s="78">
        <f t="shared" si="38"/>
        <v>0</v>
      </c>
      <c r="AF41" s="78">
        <f t="shared" si="39"/>
        <v>0</v>
      </c>
      <c r="AG41" s="75">
        <f t="shared" si="40"/>
        <v>0</v>
      </c>
      <c r="AH41" s="75">
        <f t="shared" si="41"/>
        <v>0</v>
      </c>
      <c r="AI41" s="75">
        <f t="shared" si="42"/>
        <v>0</v>
      </c>
      <c r="AJ41" s="73"/>
    </row>
    <row r="42" spans="1:36" x14ac:dyDescent="0.25">
      <c r="A42" s="90" t="s">
        <v>653</v>
      </c>
      <c r="B42" s="91" t="s">
        <v>48</v>
      </c>
      <c r="C42" s="92">
        <v>11.5</v>
      </c>
      <c r="D42" s="91" t="s">
        <v>48</v>
      </c>
      <c r="E42" s="92">
        <v>11.5</v>
      </c>
      <c r="F42" s="91" t="s">
        <v>48</v>
      </c>
      <c r="G42" s="92">
        <v>11.5</v>
      </c>
      <c r="H42" s="91" t="s">
        <v>48</v>
      </c>
      <c r="I42" s="92">
        <f t="shared" si="43"/>
        <v>2.3000000000000003</v>
      </c>
      <c r="J42" s="91" t="s">
        <v>48</v>
      </c>
      <c r="K42" s="92">
        <f t="shared" si="43"/>
        <v>2.3000000000000003</v>
      </c>
      <c r="L42" s="75" t="s">
        <v>48</v>
      </c>
      <c r="M42" s="92">
        <f t="shared" si="43"/>
        <v>2.3000000000000003</v>
      </c>
      <c r="N42" s="92" t="s">
        <v>659</v>
      </c>
      <c r="O42" s="92">
        <v>1.2E-2</v>
      </c>
      <c r="P42" s="92" t="s">
        <v>58</v>
      </c>
      <c r="Q42" s="92"/>
      <c r="R42" s="92" t="s">
        <v>58</v>
      </c>
      <c r="S42" s="92"/>
      <c r="T42" s="93">
        <f t="shared" si="44"/>
        <v>27.377280000000003</v>
      </c>
      <c r="U42" s="88">
        <f t="shared" si="45"/>
        <v>123.97727999999999</v>
      </c>
      <c r="V42" s="78">
        <f t="shared" si="29"/>
        <v>0</v>
      </c>
      <c r="W42" s="78">
        <f t="shared" si="30"/>
        <v>0</v>
      </c>
      <c r="X42" s="78">
        <f t="shared" si="31"/>
        <v>41.399999999999991</v>
      </c>
      <c r="Y42" s="78">
        <f t="shared" si="32"/>
        <v>0</v>
      </c>
      <c r="Z42" s="78">
        <f t="shared" si="33"/>
        <v>0</v>
      </c>
      <c r="AA42" s="78">
        <f t="shared" si="34"/>
        <v>0</v>
      </c>
      <c r="AB42" s="78">
        <f t="shared" si="35"/>
        <v>0</v>
      </c>
      <c r="AC42" s="78">
        <f t="shared" si="36"/>
        <v>0</v>
      </c>
      <c r="AD42" s="78">
        <f t="shared" si="37"/>
        <v>0</v>
      </c>
      <c r="AE42" s="78">
        <f t="shared" si="38"/>
        <v>0</v>
      </c>
      <c r="AF42" s="78">
        <f t="shared" si="39"/>
        <v>0</v>
      </c>
      <c r="AG42" s="75">
        <f t="shared" si="40"/>
        <v>0</v>
      </c>
      <c r="AH42" s="75">
        <f t="shared" si="41"/>
        <v>0</v>
      </c>
      <c r="AI42" s="75">
        <f t="shared" si="42"/>
        <v>0</v>
      </c>
      <c r="AJ42" s="73"/>
    </row>
    <row r="43" spans="1:36" x14ac:dyDescent="0.25">
      <c r="A43" s="90" t="s">
        <v>654</v>
      </c>
      <c r="B43" s="91" t="s">
        <v>48</v>
      </c>
      <c r="C43" s="92">
        <v>16.5</v>
      </c>
      <c r="D43" s="91" t="s">
        <v>48</v>
      </c>
      <c r="E43" s="92">
        <v>16.5</v>
      </c>
      <c r="F43" s="91" t="s">
        <v>48</v>
      </c>
      <c r="G43" s="92">
        <v>16.5</v>
      </c>
      <c r="H43" s="91" t="s">
        <v>48</v>
      </c>
      <c r="I43" s="92">
        <f t="shared" si="43"/>
        <v>3.3000000000000003</v>
      </c>
      <c r="J43" s="91" t="s">
        <v>48</v>
      </c>
      <c r="K43" s="92">
        <f t="shared" si="43"/>
        <v>3.3000000000000003</v>
      </c>
      <c r="L43" s="75" t="s">
        <v>48</v>
      </c>
      <c r="M43" s="92">
        <f t="shared" si="43"/>
        <v>3.3000000000000003</v>
      </c>
      <c r="N43" s="92" t="s">
        <v>659</v>
      </c>
      <c r="O43" s="92">
        <v>1.2E-2</v>
      </c>
      <c r="P43" s="92" t="s">
        <v>58</v>
      </c>
      <c r="Q43" s="92"/>
      <c r="R43" s="92" t="s">
        <v>58</v>
      </c>
      <c r="S43" s="92"/>
      <c r="T43" s="93">
        <f t="shared" si="44"/>
        <v>37.877280000000006</v>
      </c>
      <c r="U43" s="88">
        <f t="shared" si="45"/>
        <v>176.47728000000001</v>
      </c>
      <c r="V43" s="78">
        <f t="shared" si="29"/>
        <v>0</v>
      </c>
      <c r="W43" s="78">
        <f t="shared" si="30"/>
        <v>0</v>
      </c>
      <c r="X43" s="78">
        <f t="shared" si="31"/>
        <v>59.399999999999991</v>
      </c>
      <c r="Y43" s="78">
        <f t="shared" si="32"/>
        <v>0</v>
      </c>
      <c r="Z43" s="78">
        <f t="shared" si="33"/>
        <v>0</v>
      </c>
      <c r="AA43" s="78">
        <f t="shared" si="34"/>
        <v>0</v>
      </c>
      <c r="AB43" s="78">
        <f t="shared" si="35"/>
        <v>0</v>
      </c>
      <c r="AC43" s="78">
        <f t="shared" si="36"/>
        <v>0</v>
      </c>
      <c r="AD43" s="78">
        <f t="shared" si="37"/>
        <v>0</v>
      </c>
      <c r="AE43" s="78">
        <f t="shared" si="38"/>
        <v>0</v>
      </c>
      <c r="AF43" s="78">
        <f t="shared" si="39"/>
        <v>0</v>
      </c>
      <c r="AG43" s="75">
        <f t="shared" si="40"/>
        <v>0</v>
      </c>
      <c r="AH43" s="75">
        <f t="shared" si="41"/>
        <v>0</v>
      </c>
      <c r="AI43" s="75">
        <f t="shared" si="42"/>
        <v>0</v>
      </c>
      <c r="AJ43" s="73"/>
    </row>
    <row r="44" spans="1:36" x14ac:dyDescent="0.25">
      <c r="A44" s="90" t="s">
        <v>655</v>
      </c>
      <c r="B44" s="91" t="s">
        <v>48</v>
      </c>
      <c r="C44" s="92">
        <v>58</v>
      </c>
      <c r="D44" s="91" t="s">
        <v>48</v>
      </c>
      <c r="E44" s="92">
        <v>58</v>
      </c>
      <c r="F44" s="91" t="s">
        <v>48</v>
      </c>
      <c r="G44" s="92">
        <v>58</v>
      </c>
      <c r="H44" s="91" t="s">
        <v>48</v>
      </c>
      <c r="I44" s="92">
        <f t="shared" si="43"/>
        <v>11.600000000000001</v>
      </c>
      <c r="J44" s="91" t="s">
        <v>48</v>
      </c>
      <c r="K44" s="92">
        <f t="shared" si="43"/>
        <v>11.600000000000001</v>
      </c>
      <c r="L44" s="75" t="s">
        <v>48</v>
      </c>
      <c r="M44" s="92">
        <f t="shared" si="43"/>
        <v>11.600000000000001</v>
      </c>
      <c r="N44" s="92" t="s">
        <v>659</v>
      </c>
      <c r="O44" s="92">
        <v>1.2E-2</v>
      </c>
      <c r="P44" s="92" t="s">
        <v>58</v>
      </c>
      <c r="Q44" s="92"/>
      <c r="R44" s="92" t="s">
        <v>58</v>
      </c>
      <c r="S44" s="92"/>
      <c r="T44" s="93">
        <f t="shared" si="44"/>
        <v>125.02728000000002</v>
      </c>
      <c r="U44" s="88">
        <f t="shared" si="45"/>
        <v>612.22727999999995</v>
      </c>
      <c r="V44" s="78">
        <f t="shared" si="29"/>
        <v>0</v>
      </c>
      <c r="W44" s="78">
        <f t="shared" si="30"/>
        <v>0</v>
      </c>
      <c r="X44" s="78">
        <f t="shared" si="31"/>
        <v>208.79999999999998</v>
      </c>
      <c r="Y44" s="78">
        <f t="shared" si="32"/>
        <v>0</v>
      </c>
      <c r="Z44" s="78">
        <f t="shared" si="33"/>
        <v>0</v>
      </c>
      <c r="AA44" s="78">
        <f t="shared" si="34"/>
        <v>0</v>
      </c>
      <c r="AB44" s="78">
        <f t="shared" si="35"/>
        <v>0</v>
      </c>
      <c r="AC44" s="78">
        <f t="shared" si="36"/>
        <v>0</v>
      </c>
      <c r="AD44" s="78">
        <f t="shared" si="37"/>
        <v>0</v>
      </c>
      <c r="AE44" s="78">
        <f t="shared" si="38"/>
        <v>0</v>
      </c>
      <c r="AF44" s="78">
        <f t="shared" si="39"/>
        <v>0</v>
      </c>
      <c r="AG44" s="75">
        <f t="shared" si="40"/>
        <v>0</v>
      </c>
      <c r="AH44" s="75">
        <f t="shared" si="41"/>
        <v>0</v>
      </c>
      <c r="AI44" s="75">
        <f t="shared" si="42"/>
        <v>0</v>
      </c>
      <c r="AJ44" s="73"/>
    </row>
    <row r="45" spans="1:36" x14ac:dyDescent="0.25">
      <c r="A45" s="90" t="s">
        <v>656</v>
      </c>
      <c r="B45" s="91" t="s">
        <v>46</v>
      </c>
      <c r="C45" s="92">
        <v>2.7</v>
      </c>
      <c r="D45" s="91" t="s">
        <v>46</v>
      </c>
      <c r="E45" s="92">
        <v>2.7</v>
      </c>
      <c r="F45" s="91" t="s">
        <v>46</v>
      </c>
      <c r="G45" s="92">
        <v>2.7</v>
      </c>
      <c r="H45" s="91" t="s">
        <v>48</v>
      </c>
      <c r="I45" s="92">
        <f t="shared" si="43"/>
        <v>0.54</v>
      </c>
      <c r="J45" s="91" t="s">
        <v>48</v>
      </c>
      <c r="K45" s="92">
        <f t="shared" si="43"/>
        <v>0.54</v>
      </c>
      <c r="L45" s="75" t="s">
        <v>48</v>
      </c>
      <c r="M45" s="92">
        <f t="shared" si="43"/>
        <v>0.54</v>
      </c>
      <c r="N45" s="92" t="s">
        <v>659</v>
      </c>
      <c r="O45" s="92">
        <v>1.2E-2</v>
      </c>
      <c r="P45" s="92" t="s">
        <v>58</v>
      </c>
      <c r="Q45" s="92"/>
      <c r="R45" s="92" t="s">
        <v>58</v>
      </c>
      <c r="S45" s="92"/>
      <c r="T45" s="93">
        <f t="shared" si="44"/>
        <v>8.8972800000000003</v>
      </c>
      <c r="U45" s="88">
        <f t="shared" si="45"/>
        <v>104.47727999999999</v>
      </c>
      <c r="V45" s="78">
        <f t="shared" si="29"/>
        <v>0</v>
      </c>
      <c r="W45" s="78">
        <f t="shared" si="30"/>
        <v>8.1000000000000014</v>
      </c>
      <c r="X45" s="78">
        <f t="shared" si="31"/>
        <v>1.62</v>
      </c>
      <c r="Y45" s="78">
        <f t="shared" si="32"/>
        <v>0</v>
      </c>
      <c r="Z45" s="78">
        <f t="shared" si="33"/>
        <v>0</v>
      </c>
      <c r="AA45" s="78">
        <f t="shared" si="34"/>
        <v>0</v>
      </c>
      <c r="AB45" s="78">
        <f t="shared" si="35"/>
        <v>0</v>
      </c>
      <c r="AC45" s="78">
        <f t="shared" si="36"/>
        <v>0</v>
      </c>
      <c r="AD45" s="78">
        <f t="shared" si="37"/>
        <v>0</v>
      </c>
      <c r="AE45" s="78">
        <f t="shared" si="38"/>
        <v>0</v>
      </c>
      <c r="AF45" s="78">
        <f t="shared" si="39"/>
        <v>0</v>
      </c>
      <c r="AG45" s="75">
        <f t="shared" si="40"/>
        <v>0</v>
      </c>
      <c r="AH45" s="75">
        <f t="shared" si="41"/>
        <v>0</v>
      </c>
      <c r="AI45" s="75">
        <f t="shared" si="42"/>
        <v>0</v>
      </c>
      <c r="AJ45" s="73"/>
    </row>
    <row r="46" spans="1:36" x14ac:dyDescent="0.25">
      <c r="A46" s="90" t="s">
        <v>657</v>
      </c>
      <c r="B46" s="91" t="s">
        <v>48</v>
      </c>
      <c r="C46" s="92">
        <v>13.5</v>
      </c>
      <c r="D46" s="91" t="s">
        <v>48</v>
      </c>
      <c r="E46" s="92">
        <v>13.5</v>
      </c>
      <c r="F46" s="91" t="s">
        <v>48</v>
      </c>
      <c r="G46" s="92">
        <v>13.5</v>
      </c>
      <c r="H46" s="91" t="s">
        <v>48</v>
      </c>
      <c r="I46" s="92">
        <f t="shared" si="43"/>
        <v>2.7</v>
      </c>
      <c r="J46" s="91" t="s">
        <v>48</v>
      </c>
      <c r="K46" s="92">
        <f t="shared" si="43"/>
        <v>2.7</v>
      </c>
      <c r="L46" s="75" t="s">
        <v>48</v>
      </c>
      <c r="M46" s="92">
        <f t="shared" si="43"/>
        <v>2.7</v>
      </c>
      <c r="N46" s="92" t="s">
        <v>659</v>
      </c>
      <c r="O46" s="92">
        <v>1.2E-2</v>
      </c>
      <c r="P46" s="92" t="s">
        <v>58</v>
      </c>
      <c r="Q46" s="92"/>
      <c r="R46" s="92" t="s">
        <v>58</v>
      </c>
      <c r="S46" s="92"/>
      <c r="T46" s="93">
        <f t="shared" si="44"/>
        <v>31.577280000000002</v>
      </c>
      <c r="U46" s="88">
        <f t="shared" si="45"/>
        <v>144.97728000000001</v>
      </c>
      <c r="V46" s="78">
        <f t="shared" si="29"/>
        <v>0</v>
      </c>
      <c r="W46" s="78">
        <f t="shared" si="30"/>
        <v>0</v>
      </c>
      <c r="X46" s="78">
        <f t="shared" si="31"/>
        <v>48.600000000000009</v>
      </c>
      <c r="Y46" s="78">
        <f t="shared" si="32"/>
        <v>0</v>
      </c>
      <c r="Z46" s="78">
        <f t="shared" si="33"/>
        <v>0</v>
      </c>
      <c r="AA46" s="78">
        <f t="shared" si="34"/>
        <v>0</v>
      </c>
      <c r="AB46" s="78">
        <f t="shared" si="35"/>
        <v>0</v>
      </c>
      <c r="AC46" s="78">
        <f t="shared" si="36"/>
        <v>0</v>
      </c>
      <c r="AD46" s="78">
        <f t="shared" si="37"/>
        <v>0</v>
      </c>
      <c r="AE46" s="78">
        <f t="shared" si="38"/>
        <v>0</v>
      </c>
      <c r="AF46" s="78">
        <f t="shared" si="39"/>
        <v>0</v>
      </c>
      <c r="AG46" s="75">
        <f t="shared" si="40"/>
        <v>0</v>
      </c>
      <c r="AH46" s="75">
        <f t="shared" si="41"/>
        <v>0</v>
      </c>
      <c r="AI46" s="75">
        <f t="shared" si="42"/>
        <v>0</v>
      </c>
      <c r="AJ46" s="73"/>
    </row>
    <row r="47" spans="1:36" x14ac:dyDescent="0.25">
      <c r="A47" s="100" t="s">
        <v>293</v>
      </c>
      <c r="B47" s="101"/>
      <c r="C47" s="102"/>
      <c r="D47" s="103"/>
      <c r="E47" s="103"/>
      <c r="F47" s="103"/>
      <c r="G47" s="103"/>
      <c r="H47" s="103"/>
      <c r="I47" s="103"/>
      <c r="J47" s="103"/>
      <c r="K47" s="103"/>
      <c r="L47" s="103"/>
      <c r="M47" s="103"/>
      <c r="N47" s="103"/>
      <c r="O47" s="103"/>
      <c r="P47" s="103"/>
      <c r="Q47" s="103"/>
      <c r="R47" s="103"/>
      <c r="S47" s="103"/>
      <c r="T47" s="103"/>
      <c r="U47" s="103"/>
      <c r="V47" s="103"/>
      <c r="W47" s="103"/>
      <c r="X47" s="103"/>
      <c r="Y47" s="103"/>
      <c r="Z47" s="103"/>
      <c r="AA47" s="103"/>
      <c r="AB47" s="103"/>
      <c r="AC47" s="103"/>
      <c r="AD47" s="103"/>
      <c r="AE47" s="103"/>
      <c r="AF47" s="103"/>
      <c r="AG47" s="103"/>
      <c r="AH47" s="103"/>
      <c r="AI47" s="103"/>
      <c r="AJ47" s="103"/>
    </row>
    <row r="48" spans="1:36" x14ac:dyDescent="0.25">
      <c r="A48" s="73" t="s">
        <v>294</v>
      </c>
      <c r="B48" s="91" t="s">
        <v>58</v>
      </c>
      <c r="C48" s="92">
        <v>0.255</v>
      </c>
      <c r="D48" s="91" t="s">
        <v>58</v>
      </c>
      <c r="E48" s="92">
        <v>0.251</v>
      </c>
      <c r="F48" s="91" t="s">
        <v>58</v>
      </c>
      <c r="G48" s="92">
        <v>0.15</v>
      </c>
      <c r="H48" s="91" t="s">
        <v>78</v>
      </c>
      <c r="I48" s="92">
        <v>7.0000000000000001E-3</v>
      </c>
      <c r="J48" s="91" t="s">
        <v>78</v>
      </c>
      <c r="K48" s="92">
        <v>3.0000000000000001E-3</v>
      </c>
      <c r="L48" s="75" t="s">
        <v>78</v>
      </c>
      <c r="M48" s="92">
        <v>4.0000000000000001E-3</v>
      </c>
      <c r="N48" s="92" t="s">
        <v>58</v>
      </c>
      <c r="O48" s="92"/>
      <c r="P48" s="92" t="s">
        <v>58</v>
      </c>
      <c r="Q48" s="92"/>
      <c r="R48" s="92" t="s">
        <v>58</v>
      </c>
      <c r="S48" s="92"/>
      <c r="T48" s="93">
        <f>(VLOOKUP(J48,AL$4:AN$17,3)*K48)+(VLOOKUP(L48,AL$4:AN$17,3)*M48)+(VLOOKUP(N48,AL$4:AN$17,3)*O48)+(VLOOKUP(P48,AL$4:AN$17,3)*Q48)+(VLOOKUP(R48,AL$4:AN$17,3)*S48)</f>
        <v>2.1</v>
      </c>
      <c r="U48" s="88">
        <f>(VLOOKUP(B48,AL$4:AN$16,3)*C48)+(VLOOKUP(D48,AL$4:AN$16,3)*E48)+(VLOOKUP(F48,AL$4:AN$16,3)*G48)+(VLOOKUP(H48,AL$4:AN$16,3)*I48)+(VLOOKUP(J48,AL$4:AN$17,3)*K48)+(VLOOKUP(L48,AL$4:AN$17,3)*M48)+(VLOOKUP(N48,AL$4:AN$17,3)*O48)+(VLOOKUP(P48,AL$4:AN$17,3)*Q48)+(VLOOKUP(R48,AL$4:AN$17,3)*S48)</f>
        <v>10.446599999999998</v>
      </c>
      <c r="V48" s="78">
        <f>IF(B48="A",C48,0)+IF(D48="A",E48,0)+IF(F48="A",G48,0)+IF(H48="A",I48,0)+IF(J48="A",K48,0)+IF(L48="A",M48,0)+IF(N48="A",O48,0)+IF(P48="A",Q48,0)+IF(R48="A",S48,0)</f>
        <v>0</v>
      </c>
      <c r="W48" s="78">
        <f>IF(B48="B",C48,0)+IF(D48="B",E48,0)+IF(F48="B",G48,0)+IF(H48="B",I48,0)+IF(J48="B",K48,0)+IF(L48="B",M48,0)+IF(N48="B",O48,0)+IF(P48="B",Q48,0)+IF(R48="B",S48,0)</f>
        <v>0</v>
      </c>
      <c r="X48" s="78">
        <f>IF(B48="C",C48,0)+IF(D48="C",E48,0)+IF(F48="C",G48,0)+IF(H48="C",I48,0)+IF(J48="C",K48,0)+IF(L48="C",M48,0)+IF(N48="C",O48,0)+IF(P48="C",Q48,0)+IF(R48="C",S48,0)</f>
        <v>0</v>
      </c>
      <c r="Y48" s="78">
        <f>IF(B48="D",C48,0)+IF(D48="D",E48,0)+IF(F48="D",G48,0)+IF(H48="D",I48,0)+IF(J48="D",K48,0)+IF(L48="D",M48,0)+IF(N48="D",O48,0)+IF(P48="D",Q48,0)+IF(R48="D",S48,0)</f>
        <v>0</v>
      </c>
      <c r="Z48" s="78">
        <f>IF(B48="E",C48,0)+IF(D48="E",E48,0)+IF(F48="E",G48,0)+IF(H48="E",I48,0)+IF(J48="E",K48,0)+IF(L48="E",M48,0)+IF(N48="E",O48,0)+IF(P48="E",Q48,0)+IF(R48="E",S48,0)</f>
        <v>0</v>
      </c>
      <c r="AA48" s="78">
        <f>IF(B48="F",C48,0)+IF(D48="F",E48,0)+IF(F48="F",G48,0)+IF(H48="F",I48,0)+IF(J48="F",K48,0)+IF(L48="F",M48,0)+IF(N48="F",O48,0)+IF(P48="F",Q48,0)+IF(R48="F",S48,0)</f>
        <v>0.65600000000000003</v>
      </c>
      <c r="AB48" s="78">
        <f>IF(B48="G",C48,0)+IF(D48="G",E48,0)+IF(F48="G",G48,0)+IF(H48="G",I48,0)+IF(J48="G",K48,0)+IF(L48="G",M48,0)+IF(N48="G",O48,0)+IF(P48="G",Q48,0)+IF(R48="G",S48,0)</f>
        <v>0</v>
      </c>
      <c r="AC48" s="78">
        <f>IF(B48="H",C48,0)+IF(D48="H",E48,0)+IF(F48="H",G48,0)+IF(H48="H",I48,0)+IF(J48="H",K48,0)+IF(L48="H",M48,0)+IF(N48="H",O48,0)+IF(P48="H",Q48,0)+IF(R48="H",S48,0)</f>
        <v>0</v>
      </c>
      <c r="AD48" s="78">
        <f>IF(B48="I",C48,0)+IF(D48="I",E48,0)+IF(F48="I",G48,0)+IF(H48="I",I48,0)+IF(J48="I",K48,0)+IF(L48="I",M48,0)+IF(N48="I",O48,0)+IF(P48="I",Q48,0)+IF(R48="I",S48,0)</f>
        <v>0</v>
      </c>
      <c r="AE48" s="78">
        <f>IF(B48="J",C48,0)+IF(D48="J",E48,0)+IF(F48="J",G48,0)+IF(H48="J",I48,0)+IF(J48="J",K48,0)+IF(L48="J",M48,0)+IF(N48="J",O48,0)+IF(P48="J",Q48,0)+IF(R48="J",S48,0)</f>
        <v>0</v>
      </c>
      <c r="AF48" s="78">
        <f>IF(B48="K",C48,0)+IF(D48="K",E48,0)+IF(F48="K",G48,0)+IF(H48="K",I48,0)+IF(J48="K",K48,0)+IF(L48="K",M48,0)+IF(N48="K",O48,0)+IF(P48="K",Q48,0)+IF(R48="K",S48,0)</f>
        <v>0</v>
      </c>
      <c r="AG48" s="75">
        <f>IF(B48="L",C48,0)+IF(D48="L",E48,0)+IF(F48="L",G48,0)+IF(H48="L",I48,0)+IF(J48="L",K48,0)+IF(L48="L",M48,0)+IF(N48="L",O48,0)+IF(P48="L",Q48,0)+IF(R48="L",S48,0)</f>
        <v>0</v>
      </c>
      <c r="AH48" s="75">
        <f t="shared" si="10"/>
        <v>0</v>
      </c>
      <c r="AI48" s="75">
        <f t="shared" si="11"/>
        <v>0.01</v>
      </c>
      <c r="AJ48" s="73"/>
    </row>
    <row r="49" spans="1:36" x14ac:dyDescent="0.25">
      <c r="A49" s="100" t="s">
        <v>295</v>
      </c>
      <c r="B49" s="101"/>
      <c r="C49" s="102"/>
      <c r="D49" s="103"/>
      <c r="E49" s="103"/>
      <c r="F49" s="103"/>
      <c r="G49" s="103"/>
      <c r="H49" s="103"/>
      <c r="I49" s="103"/>
      <c r="J49" s="103"/>
      <c r="K49" s="103"/>
      <c r="L49" s="103"/>
      <c r="M49" s="103"/>
      <c r="N49" s="103"/>
      <c r="O49" s="103"/>
      <c r="P49" s="103"/>
      <c r="Q49" s="103"/>
      <c r="R49" s="103"/>
      <c r="S49" s="103"/>
      <c r="T49" s="103"/>
      <c r="U49" s="103"/>
      <c r="V49" s="103"/>
      <c r="W49" s="103"/>
      <c r="X49" s="103"/>
      <c r="Y49" s="103"/>
      <c r="Z49" s="103"/>
      <c r="AA49" s="103"/>
      <c r="AB49" s="103"/>
      <c r="AC49" s="103"/>
      <c r="AD49" s="103"/>
      <c r="AE49" s="103"/>
      <c r="AF49" s="103"/>
      <c r="AG49" s="103"/>
      <c r="AH49" s="103"/>
      <c r="AI49" s="103"/>
      <c r="AJ49" s="103"/>
    </row>
    <row r="50" spans="1:36" x14ac:dyDescent="0.25">
      <c r="A50" s="73" t="s">
        <v>296</v>
      </c>
      <c r="B50" s="91" t="s">
        <v>58</v>
      </c>
      <c r="C50" s="92">
        <v>0</v>
      </c>
      <c r="D50" s="91" t="s">
        <v>58</v>
      </c>
      <c r="E50" s="92">
        <v>0</v>
      </c>
      <c r="F50" s="91" t="s">
        <v>58</v>
      </c>
      <c r="G50" s="92">
        <v>0</v>
      </c>
      <c r="H50" s="91" t="s">
        <v>78</v>
      </c>
      <c r="I50" s="92">
        <v>0</v>
      </c>
      <c r="J50" s="91" t="s">
        <v>78</v>
      </c>
      <c r="K50" s="92">
        <v>0</v>
      </c>
      <c r="L50" s="75" t="s">
        <v>78</v>
      </c>
      <c r="M50" s="92">
        <v>0</v>
      </c>
      <c r="N50" s="92" t="s">
        <v>58</v>
      </c>
      <c r="O50" s="92"/>
      <c r="P50" s="92" t="s">
        <v>58</v>
      </c>
      <c r="Q50" s="92"/>
      <c r="R50" s="92" t="s">
        <v>58</v>
      </c>
      <c r="S50" s="92"/>
      <c r="T50" s="93">
        <f>(VLOOKUP(J50,AL$4:AN$17,3)*K50)+(VLOOKUP(L50,AL$4:AN$17,3)*M50)+(VLOOKUP(N50,AL$4:AN$17,3)*O50)+(VLOOKUP(P50,AL$4:AN$17,3)*Q50)+(VLOOKUP(R50,AL$4:AN$17,3)*S50)</f>
        <v>0</v>
      </c>
      <c r="U50" s="88">
        <f>(VLOOKUP(B50,AL$4:AN$16,3)*C50)+(VLOOKUP(D50,AL$4:AN$16,3)*E50)+(VLOOKUP(F50,AL$4:AN$16,3)*G50)+(VLOOKUP(H50,AL$4:AN$16,3)*I50)+(VLOOKUP(J50,AL$4:AN$17,3)*K50)+(VLOOKUP(L50,AL$4:AN$17,3)*M50)+(VLOOKUP(N50,AL$4:AN$17,3)*O50)+(VLOOKUP(P50,AL$4:AN$17,3)*Q50)+(VLOOKUP(R50,AL$4:AN$17,3)*S50)</f>
        <v>0</v>
      </c>
      <c r="V50" s="78">
        <f>IF(B50="A",C50,0)+IF(D50="A",E50,0)+IF(F50="A",G50,0)+IF(H50="A",I50,0)+IF(J50="A",K50,0)+IF(L50="A",M50,0)+IF(N50="A",O50,0)+IF(P50="A",Q50,0)+IF(R50="A",S50,0)</f>
        <v>0</v>
      </c>
      <c r="W50" s="78">
        <f>IF(B50="B",C50,0)+IF(D50="B",E50,0)+IF(F50="B",G50,0)+IF(H50="B",I50,0)+IF(J50="B",K50,0)+IF(L50="B",M50,0)+IF(N50="B",O50,0)+IF(P50="B",Q50,0)+IF(R50="B",S50,0)</f>
        <v>0</v>
      </c>
      <c r="X50" s="78">
        <f>IF(B50="C",C50,0)+IF(D50="C",E50,0)+IF(F50="C",G50,0)+IF(H50="C",I50,0)+IF(J50="C",K50,0)+IF(L50="C",M50,0)+IF(N50="C",O50,0)+IF(P50="C",Q50,0)+IF(R50="C",S50,0)</f>
        <v>0</v>
      </c>
      <c r="Y50" s="78">
        <f>IF(B50="D",C50,0)+IF(D50="D",E50,0)+IF(F50="D",G50,0)+IF(H50="D",I50,0)+IF(J50="D",K50,0)+IF(L50="D",M50,0)+IF(N50="D",O50,0)+IF(P50="D",Q50,0)+IF(R50="D",S50,0)</f>
        <v>0</v>
      </c>
      <c r="Z50" s="78">
        <f>IF(B50="E",C50,0)+IF(D50="E",E50,0)+IF(F50="E",G50,0)+IF(H50="E",I50,0)+IF(J50="E",K50,0)+IF(L50="E",M50,0)+IF(N50="E",O50,0)+IF(P50="E",Q50,0)+IF(R50="E",S50,0)</f>
        <v>0</v>
      </c>
      <c r="AA50" s="78">
        <f>IF(B50="F",C50,0)+IF(D50="F",E50,0)+IF(F50="F",G50,0)+IF(H50="F",I50,0)+IF(J50="F",K50,0)+IF(L50="F",M50,0)+IF(N50="F",O50,0)+IF(P50="F",Q50,0)+IF(R50="F",S50,0)</f>
        <v>0</v>
      </c>
      <c r="AB50" s="78">
        <f>IF(B50="G",C50,0)+IF(D50="G",E50,0)+IF(F50="G",G50,0)+IF(H50="G",I50,0)+IF(J50="G",K50,0)+IF(L50="G",M50,0)+IF(N50="G",O50,0)+IF(P50="G",Q50,0)+IF(R50="G",S50,0)</f>
        <v>0</v>
      </c>
      <c r="AC50" s="78">
        <f>IF(B50="H",C50,0)+IF(D50="H",E50,0)+IF(F50="H",G50,0)+IF(H50="H",I50,0)+IF(J50="H",K50,0)+IF(L50="H",M50,0)+IF(N50="H",O50,0)+IF(P50="H",Q50,0)+IF(R50="H",S50,0)</f>
        <v>0</v>
      </c>
      <c r="AD50" s="78">
        <f>IF(B50="I",C50,0)+IF(D50="I",E50,0)+IF(F50="I",G50,0)+IF(H50="I",I50,0)+IF(J50="I",K50,0)+IF(L50="I",M50,0)+IF(N50="I",O50,0)+IF(P50="I",Q50,0)+IF(R50="I",S50,0)</f>
        <v>0</v>
      </c>
      <c r="AE50" s="78">
        <f>IF(B50="J",C50,0)+IF(D50="J",E50,0)+IF(F50="J",G50,0)+IF(H50="J",I50,0)+IF(J50="J",K50,0)+IF(L50="J",M50,0)+IF(N50="J",O50,0)+IF(P50="J",Q50,0)+IF(R50="J",S50,0)</f>
        <v>0</v>
      </c>
      <c r="AF50" s="78">
        <f>IF(B50="K",C50,0)+IF(D50="K",E50,0)+IF(F50="K",G50,0)+IF(H50="K",I50,0)+IF(J50="K",K50,0)+IF(L50="K",M50,0)+IF(N50="K",O50,0)+IF(P50="K",Q50,0)+IF(R50="K",S50,0)</f>
        <v>0</v>
      </c>
      <c r="AG50" s="75">
        <f>IF(B50="L",C50,0)+IF(D50="L",E50,0)+IF(F50="L",G50,0)+IF(H50="L",I50,0)+IF(J50="L",K50,0)+IF(L50="L",M50,0)+IF(N50="L",O50,0)+IF(P50="L",Q50,0)+IF(R50="L",S50,0)</f>
        <v>0</v>
      </c>
      <c r="AH50" s="75">
        <f t="shared" si="10"/>
        <v>0</v>
      </c>
      <c r="AI50" s="75">
        <f t="shared" ref="AI50" si="46">IF(B50="N",C50,0)+IF(D50="N",E50,0)+IF(F50="N",G50,0)+IF(H50="N",I50,0)+IF(J50="N",K50,0)+IF(N50="N",O50,0)+IF(P50="N",Q50,0)+IF(R50="N",S50,0)</f>
        <v>0</v>
      </c>
      <c r="AJ50" s="73"/>
    </row>
    <row r="51" spans="1:36" x14ac:dyDescent="0.25">
      <c r="A51" s="100" t="s">
        <v>297</v>
      </c>
      <c r="B51" s="101"/>
      <c r="C51" s="102"/>
      <c r="D51" s="103"/>
      <c r="E51" s="103"/>
      <c r="F51" s="103"/>
      <c r="G51" s="103"/>
      <c r="H51" s="103"/>
      <c r="I51" s="103"/>
      <c r="J51" s="103"/>
      <c r="K51" s="103"/>
      <c r="L51" s="103"/>
      <c r="M51" s="103"/>
      <c r="N51" s="103"/>
      <c r="O51" s="103"/>
      <c r="P51" s="103"/>
      <c r="Q51" s="103"/>
      <c r="R51" s="103"/>
      <c r="S51" s="103"/>
      <c r="T51" s="103"/>
      <c r="U51" s="103"/>
      <c r="V51" s="103"/>
      <c r="W51" s="103"/>
      <c r="X51" s="103"/>
      <c r="Y51" s="103"/>
      <c r="Z51" s="103"/>
      <c r="AA51" s="103"/>
      <c r="AB51" s="103"/>
      <c r="AC51" s="103"/>
      <c r="AD51" s="103"/>
      <c r="AE51" s="103"/>
      <c r="AF51" s="103"/>
      <c r="AG51" s="103"/>
      <c r="AH51" s="103"/>
      <c r="AI51" s="103"/>
      <c r="AJ51" s="103"/>
    </row>
    <row r="52" spans="1:36" x14ac:dyDescent="0.25">
      <c r="A52" s="73" t="s">
        <v>302</v>
      </c>
      <c r="B52" s="91" t="s">
        <v>78</v>
      </c>
      <c r="C52" s="92">
        <v>3.0000000000000001E-3</v>
      </c>
      <c r="D52" s="91" t="s">
        <v>78</v>
      </c>
      <c r="E52" s="92">
        <v>3.0000000000000001E-3</v>
      </c>
      <c r="F52" s="91" t="s">
        <v>78</v>
      </c>
      <c r="G52" s="92">
        <v>2E-3</v>
      </c>
      <c r="H52" s="91" t="s">
        <v>78</v>
      </c>
      <c r="I52" s="92">
        <v>2E-3</v>
      </c>
      <c r="J52" s="91" t="s">
        <v>78</v>
      </c>
      <c r="K52" s="92">
        <v>2E-3</v>
      </c>
      <c r="L52" s="75" t="s">
        <v>78</v>
      </c>
      <c r="M52" s="92">
        <v>2E-3</v>
      </c>
      <c r="N52" s="92" t="s">
        <v>58</v>
      </c>
      <c r="O52" s="92"/>
      <c r="P52" s="92" t="s">
        <v>58</v>
      </c>
      <c r="Q52" s="92"/>
      <c r="R52" s="92" t="s">
        <v>58</v>
      </c>
      <c r="S52" s="92"/>
      <c r="T52" s="93">
        <f t="shared" ref="T52:T69" si="47">(VLOOKUP(J52,AL$4:AN$17,3)*K52)+(VLOOKUP(L52,AL$4:AN$17,3)*M52)+(VLOOKUP(N52,AL$4:AN$17,3)*O52)+(VLOOKUP(P52,AL$4:AN$17,3)*Q52)+(VLOOKUP(R52,AL$4:AN$17,3)*S52)</f>
        <v>1.2</v>
      </c>
      <c r="U52" s="88">
        <f t="shared" ref="U52:U69" si="48">(VLOOKUP(B52,AL$4:AN$16,3)*C52)+(VLOOKUP(D52,AL$4:AN$16,3)*E52)+(VLOOKUP(F52,AL$4:AN$16,3)*G52)+(VLOOKUP(H52,AL$4:AN$16,3)*I52)+(VLOOKUP(J52,AL$4:AN$17,3)*K52)+(VLOOKUP(L52,AL$4:AN$17,3)*M52)+(VLOOKUP(N52,AL$4:AN$17,3)*O52)+(VLOOKUP(P52,AL$4:AN$17,3)*Q52)+(VLOOKUP(R52,AL$4:AN$17,3)*S52)</f>
        <v>1.5499999999999998</v>
      </c>
      <c r="V52" s="78">
        <f t="shared" ref="V52:V61" si="49">IF(B52="A",C52,0)+IF(D52="A",E52,0)+IF(F52="A",G52,0)+IF(H52="A",I52,0)+IF(J52="A",K52,0)+IF(L52="A",M52,0)+IF(N52="A",O52,0)+IF(P52="A",Q52,0)+IF(R52="A",S52,0)</f>
        <v>0</v>
      </c>
      <c r="W52" s="78">
        <f t="shared" ref="W52:W61" si="50">IF(B52="B",C52,0)+IF(D52="B",E52,0)+IF(F52="B",G52,0)+IF(H52="B",I52,0)+IF(J52="B",K52,0)+IF(L52="B",M52,0)+IF(N52="B",O52,0)+IF(P52="B",Q52,0)+IF(R52="B",S52,0)</f>
        <v>0</v>
      </c>
      <c r="X52" s="78">
        <f t="shared" ref="X52:X61" si="51">IF(B52="C",C52,0)+IF(D52="C",E52,0)+IF(F52="C",G52,0)+IF(H52="C",I52,0)+IF(J52="C",K52,0)+IF(L52="C",M52,0)+IF(N52="C",O52,0)+IF(P52="C",Q52,0)+IF(R52="C",S52,0)</f>
        <v>0</v>
      </c>
      <c r="Y52" s="78">
        <f t="shared" ref="Y52:Y61" si="52">IF(B52="D",C52,0)+IF(D52="D",E52,0)+IF(F52="D",G52,0)+IF(H52="D",I52,0)+IF(J52="D",K52,0)+IF(L52="D",M52,0)+IF(N52="D",O52,0)+IF(P52="D",Q52,0)+IF(R52="D",S52,0)</f>
        <v>0</v>
      </c>
      <c r="Z52" s="78">
        <f t="shared" ref="Z52:Z61" si="53">IF(B52="E",C52,0)+IF(D52="E",E52,0)+IF(F52="E",G52,0)+IF(H52="E",I52,0)+IF(J52="E",K52,0)+IF(L52="E",M52,0)+IF(N52="E",O52,0)+IF(P52="E",Q52,0)+IF(R52="E",S52,0)</f>
        <v>0</v>
      </c>
      <c r="AA52" s="78">
        <f t="shared" ref="AA52:AA61" si="54">IF(B52="F",C52,0)+IF(D52="F",E52,0)+IF(F52="F",G52,0)+IF(H52="F",I52,0)+IF(J52="F",K52,0)+IF(L52="F",M52,0)+IF(N52="F",O52,0)+IF(P52="F",Q52,0)+IF(R52="F",S52,0)</f>
        <v>0</v>
      </c>
      <c r="AB52" s="78">
        <f t="shared" ref="AB52:AB61" si="55">IF(B52="G",C52,0)+IF(D52="G",E52,0)+IF(F52="G",G52,0)+IF(H52="G",I52,0)+IF(J52="G",K52,0)+IF(L52="G",M52,0)+IF(N52="G",O52,0)+IF(P52="G",Q52,0)+IF(R52="G",S52,0)</f>
        <v>0</v>
      </c>
      <c r="AC52" s="78">
        <f t="shared" ref="AC52:AC61" si="56">IF(B52="H",C52,0)+IF(D52="H",E52,0)+IF(F52="H",G52,0)+IF(H52="H",I52,0)+IF(J52="H",K52,0)+IF(L52="H",M52,0)+IF(N52="H",O52,0)+IF(P52="H",Q52,0)+IF(R52="H",S52,0)</f>
        <v>0</v>
      </c>
      <c r="AD52" s="78">
        <f t="shared" ref="AD52:AD61" si="57">IF(B52="I",C52,0)+IF(D52="I",E52,0)+IF(F52="I",G52,0)+IF(H52="I",I52,0)+IF(J52="I",K52,0)+IF(L52="I",M52,0)+IF(N52="I",O52,0)+IF(P52="I",Q52,0)+IF(R52="I",S52,0)</f>
        <v>0</v>
      </c>
      <c r="AE52" s="78">
        <f t="shared" ref="AE52:AE61" si="58">IF(B52="J",C52,0)+IF(D52="J",E52,0)+IF(F52="J",G52,0)+IF(H52="J",I52,0)+IF(J52="J",K52,0)+IF(L52="J",M52,0)+IF(N52="J",O52,0)+IF(P52="J",Q52,0)+IF(R52="J",S52,0)</f>
        <v>0</v>
      </c>
      <c r="AF52" s="78">
        <f t="shared" ref="AF52:AF61" si="59">IF(B52="K",C52,0)+IF(D52="K",E52,0)+IF(F52="K",G52,0)+IF(H52="K",I52,0)+IF(J52="K",K52,0)+IF(L52="K",M52,0)+IF(N52="K",O52,0)+IF(P52="K",Q52,0)+IF(R52="K",S52,0)</f>
        <v>0</v>
      </c>
      <c r="AG52" s="75">
        <f t="shared" ref="AG52:AG61" si="60">IF(B52="L",C52,0)+IF(D52="L",E52,0)+IF(F52="L",G52,0)+IF(H52="L",I52,0)+IF(J52="L",K52,0)+IF(L52="L",M52,0)+IF(N52="L",O52,0)+IF(P52="L",Q52,0)+IF(R52="L",S52,0)</f>
        <v>0</v>
      </c>
      <c r="AH52" s="75">
        <f t="shared" si="10"/>
        <v>0</v>
      </c>
      <c r="AI52" s="75">
        <f t="shared" si="11"/>
        <v>1.2E-2</v>
      </c>
      <c r="AJ52" s="73"/>
    </row>
    <row r="53" spans="1:36" x14ac:dyDescent="0.25">
      <c r="A53" s="73" t="s">
        <v>300</v>
      </c>
      <c r="B53" s="91" t="s">
        <v>78</v>
      </c>
      <c r="C53" s="92">
        <v>3.0000000000000001E-3</v>
      </c>
      <c r="D53" s="91" t="s">
        <v>78</v>
      </c>
      <c r="E53" s="92">
        <v>3.0000000000000001E-3</v>
      </c>
      <c r="F53" s="91" t="s">
        <v>78</v>
      </c>
      <c r="G53" s="92">
        <v>2E-3</v>
      </c>
      <c r="H53" s="91" t="s">
        <v>78</v>
      </c>
      <c r="I53" s="92">
        <v>2E-3</v>
      </c>
      <c r="J53" s="91" t="s">
        <v>78</v>
      </c>
      <c r="K53" s="92">
        <v>2E-3</v>
      </c>
      <c r="L53" s="75" t="s">
        <v>78</v>
      </c>
      <c r="M53" s="92">
        <v>2E-3</v>
      </c>
      <c r="N53" s="92" t="s">
        <v>58</v>
      </c>
      <c r="O53" s="92"/>
      <c r="P53" s="92" t="s">
        <v>58</v>
      </c>
      <c r="Q53" s="92"/>
      <c r="R53" s="92" t="s">
        <v>58</v>
      </c>
      <c r="S53" s="92"/>
      <c r="T53" s="93">
        <f t="shared" si="47"/>
        <v>1.2</v>
      </c>
      <c r="U53" s="88">
        <f t="shared" si="48"/>
        <v>1.5499999999999998</v>
      </c>
      <c r="V53" s="78">
        <f t="shared" si="49"/>
        <v>0</v>
      </c>
      <c r="W53" s="78">
        <f t="shared" si="50"/>
        <v>0</v>
      </c>
      <c r="X53" s="78">
        <f t="shared" si="51"/>
        <v>0</v>
      </c>
      <c r="Y53" s="78">
        <f t="shared" si="52"/>
        <v>0</v>
      </c>
      <c r="Z53" s="78">
        <f t="shared" si="53"/>
        <v>0</v>
      </c>
      <c r="AA53" s="78">
        <f t="shared" si="54"/>
        <v>0</v>
      </c>
      <c r="AB53" s="78">
        <f t="shared" si="55"/>
        <v>0</v>
      </c>
      <c r="AC53" s="78">
        <f t="shared" si="56"/>
        <v>0</v>
      </c>
      <c r="AD53" s="78">
        <f t="shared" si="57"/>
        <v>0</v>
      </c>
      <c r="AE53" s="78">
        <f t="shared" si="58"/>
        <v>0</v>
      </c>
      <c r="AF53" s="78">
        <f t="shared" si="59"/>
        <v>0</v>
      </c>
      <c r="AG53" s="75">
        <f t="shared" si="60"/>
        <v>0</v>
      </c>
      <c r="AH53" s="75">
        <f t="shared" si="10"/>
        <v>0</v>
      </c>
      <c r="AI53" s="75">
        <f t="shared" si="11"/>
        <v>1.2E-2</v>
      </c>
      <c r="AJ53" s="73"/>
    </row>
    <row r="54" spans="1:36" x14ac:dyDescent="0.25">
      <c r="A54" s="73" t="s">
        <v>304</v>
      </c>
      <c r="B54" s="91" t="s">
        <v>58</v>
      </c>
      <c r="C54" s="92">
        <v>0.872</v>
      </c>
      <c r="D54" s="91" t="s">
        <v>58</v>
      </c>
      <c r="E54" s="92">
        <v>0.33</v>
      </c>
      <c r="F54" s="91" t="s">
        <v>58</v>
      </c>
      <c r="G54" s="92">
        <v>0.186</v>
      </c>
      <c r="H54" s="91" t="s">
        <v>75</v>
      </c>
      <c r="I54" s="92">
        <v>0.4</v>
      </c>
      <c r="J54" s="91" t="s">
        <v>75</v>
      </c>
      <c r="K54" s="92">
        <v>0.2</v>
      </c>
      <c r="L54" s="75" t="s">
        <v>75</v>
      </c>
      <c r="M54" s="92">
        <v>0.2</v>
      </c>
      <c r="N54" s="92" t="s">
        <v>58</v>
      </c>
      <c r="O54" s="92"/>
      <c r="P54" s="92" t="s">
        <v>58</v>
      </c>
      <c r="Q54" s="92"/>
      <c r="R54" s="92" t="s">
        <v>58</v>
      </c>
      <c r="S54" s="92"/>
      <c r="T54" s="93">
        <f t="shared" si="47"/>
        <v>14</v>
      </c>
      <c r="U54" s="88">
        <f t="shared" si="48"/>
        <v>45.141800000000003</v>
      </c>
      <c r="V54" s="78">
        <f t="shared" si="49"/>
        <v>0</v>
      </c>
      <c r="W54" s="78">
        <f t="shared" si="50"/>
        <v>0</v>
      </c>
      <c r="X54" s="78">
        <f t="shared" si="51"/>
        <v>0</v>
      </c>
      <c r="Y54" s="78">
        <f t="shared" si="52"/>
        <v>0</v>
      </c>
      <c r="Z54" s="78">
        <f t="shared" si="53"/>
        <v>0</v>
      </c>
      <c r="AA54" s="78">
        <f t="shared" si="54"/>
        <v>1.3879999999999999</v>
      </c>
      <c r="AB54" s="78">
        <f t="shared" si="55"/>
        <v>0</v>
      </c>
      <c r="AC54" s="78">
        <f t="shared" si="56"/>
        <v>0</v>
      </c>
      <c r="AD54" s="78">
        <f t="shared" si="57"/>
        <v>0</v>
      </c>
      <c r="AE54" s="78">
        <f t="shared" si="58"/>
        <v>0</v>
      </c>
      <c r="AF54" s="78">
        <f t="shared" si="59"/>
        <v>0</v>
      </c>
      <c r="AG54" s="75">
        <f t="shared" si="60"/>
        <v>0</v>
      </c>
      <c r="AH54" s="75">
        <f t="shared" si="10"/>
        <v>0.60000000000000009</v>
      </c>
      <c r="AI54" s="75">
        <f t="shared" si="11"/>
        <v>0</v>
      </c>
      <c r="AJ54" s="73"/>
    </row>
    <row r="55" spans="1:36" x14ac:dyDescent="0.25">
      <c r="A55" s="73" t="s">
        <v>306</v>
      </c>
      <c r="B55" s="91" t="s">
        <v>58</v>
      </c>
      <c r="C55" s="92">
        <v>1.9</v>
      </c>
      <c r="D55" s="91" t="s">
        <v>58</v>
      </c>
      <c r="E55" s="92">
        <v>0.28000000000000003</v>
      </c>
      <c r="F55" s="91" t="s">
        <v>58</v>
      </c>
      <c r="G55" s="92">
        <v>0.22</v>
      </c>
      <c r="H55" s="91" t="s">
        <v>75</v>
      </c>
      <c r="I55" s="92">
        <v>0.79</v>
      </c>
      <c r="J55" s="91" t="s">
        <v>75</v>
      </c>
      <c r="K55" s="92">
        <v>0.17</v>
      </c>
      <c r="L55" s="75" t="s">
        <v>75</v>
      </c>
      <c r="M55" s="92">
        <v>0.17</v>
      </c>
      <c r="N55" s="92" t="s">
        <v>58</v>
      </c>
      <c r="O55" s="92"/>
      <c r="P55" s="92" t="s">
        <v>58</v>
      </c>
      <c r="Q55" s="92"/>
      <c r="R55" s="92" t="s">
        <v>58</v>
      </c>
      <c r="S55" s="92"/>
      <c r="T55" s="93">
        <f t="shared" si="47"/>
        <v>11.9</v>
      </c>
      <c r="U55" s="88">
        <f t="shared" si="48"/>
        <v>69.190000000000012</v>
      </c>
      <c r="V55" s="78">
        <f t="shared" si="49"/>
        <v>0</v>
      </c>
      <c r="W55" s="78">
        <f t="shared" si="50"/>
        <v>0</v>
      </c>
      <c r="X55" s="78">
        <f t="shared" si="51"/>
        <v>0</v>
      </c>
      <c r="Y55" s="78">
        <f t="shared" si="52"/>
        <v>0</v>
      </c>
      <c r="Z55" s="78">
        <f t="shared" si="53"/>
        <v>0</v>
      </c>
      <c r="AA55" s="78">
        <f t="shared" si="54"/>
        <v>2.4</v>
      </c>
      <c r="AB55" s="78">
        <f t="shared" si="55"/>
        <v>0</v>
      </c>
      <c r="AC55" s="78">
        <f t="shared" si="56"/>
        <v>0</v>
      </c>
      <c r="AD55" s="78">
        <f t="shared" si="57"/>
        <v>0</v>
      </c>
      <c r="AE55" s="78">
        <f t="shared" si="58"/>
        <v>0</v>
      </c>
      <c r="AF55" s="78">
        <f t="shared" si="59"/>
        <v>0</v>
      </c>
      <c r="AG55" s="75">
        <f t="shared" si="60"/>
        <v>0</v>
      </c>
      <c r="AH55" s="75">
        <f t="shared" si="10"/>
        <v>0.96000000000000008</v>
      </c>
      <c r="AI55" s="75">
        <f t="shared" si="11"/>
        <v>0</v>
      </c>
      <c r="AJ55" s="73"/>
    </row>
    <row r="56" spans="1:36" x14ac:dyDescent="0.25">
      <c r="A56" s="73" t="s">
        <v>308</v>
      </c>
      <c r="B56" s="91" t="s">
        <v>58</v>
      </c>
      <c r="C56" s="92">
        <v>1.1000000000000001</v>
      </c>
      <c r="D56" s="91" t="s">
        <v>58</v>
      </c>
      <c r="E56" s="92">
        <v>0.94</v>
      </c>
      <c r="F56" s="91" t="s">
        <v>58</v>
      </c>
      <c r="G56" s="92">
        <v>0.21</v>
      </c>
      <c r="H56" s="91" t="s">
        <v>75</v>
      </c>
      <c r="I56" s="92">
        <v>0.82199999999999995</v>
      </c>
      <c r="J56" s="91" t="s">
        <v>75</v>
      </c>
      <c r="K56" s="92">
        <v>0.42</v>
      </c>
      <c r="L56" s="75" t="s">
        <v>75</v>
      </c>
      <c r="M56" s="92">
        <v>0.4</v>
      </c>
      <c r="N56" s="92" t="s">
        <v>58</v>
      </c>
      <c r="O56" s="92"/>
      <c r="P56" s="92" t="s">
        <v>58</v>
      </c>
      <c r="Q56" s="92"/>
      <c r="R56" s="92" t="s">
        <v>58</v>
      </c>
      <c r="S56" s="92"/>
      <c r="T56" s="93">
        <f t="shared" si="47"/>
        <v>28.7</v>
      </c>
      <c r="U56" s="88">
        <f t="shared" si="48"/>
        <v>85.257499999999993</v>
      </c>
      <c r="V56" s="78">
        <f t="shared" si="49"/>
        <v>0</v>
      </c>
      <c r="W56" s="78">
        <f t="shared" si="50"/>
        <v>0</v>
      </c>
      <c r="X56" s="78">
        <f t="shared" si="51"/>
        <v>0</v>
      </c>
      <c r="Y56" s="78">
        <f t="shared" si="52"/>
        <v>0</v>
      </c>
      <c r="Z56" s="78">
        <f t="shared" si="53"/>
        <v>0</v>
      </c>
      <c r="AA56" s="78">
        <f t="shared" si="54"/>
        <v>2.25</v>
      </c>
      <c r="AB56" s="78">
        <f t="shared" si="55"/>
        <v>0</v>
      </c>
      <c r="AC56" s="78">
        <f t="shared" si="56"/>
        <v>0</v>
      </c>
      <c r="AD56" s="78">
        <f t="shared" si="57"/>
        <v>0</v>
      </c>
      <c r="AE56" s="78">
        <f t="shared" si="58"/>
        <v>0</v>
      </c>
      <c r="AF56" s="78">
        <f t="shared" si="59"/>
        <v>0</v>
      </c>
      <c r="AG56" s="75">
        <f t="shared" si="60"/>
        <v>0</v>
      </c>
      <c r="AH56" s="75">
        <f t="shared" si="10"/>
        <v>1.242</v>
      </c>
      <c r="AI56" s="75">
        <f t="shared" si="11"/>
        <v>0</v>
      </c>
      <c r="AJ56" s="73"/>
    </row>
    <row r="57" spans="1:36" x14ac:dyDescent="0.25">
      <c r="A57" s="73" t="s">
        <v>310</v>
      </c>
      <c r="B57" s="91" t="s">
        <v>58</v>
      </c>
      <c r="C57" s="92">
        <v>1.38</v>
      </c>
      <c r="D57" s="91" t="s">
        <v>58</v>
      </c>
      <c r="E57" s="92">
        <v>0.92</v>
      </c>
      <c r="F57" s="91" t="s">
        <v>58</v>
      </c>
      <c r="G57" s="92">
        <v>0.33</v>
      </c>
      <c r="H57" s="91" t="s">
        <v>75</v>
      </c>
      <c r="I57" s="92">
        <v>0.75</v>
      </c>
      <c r="J57" s="91" t="s">
        <v>75</v>
      </c>
      <c r="K57" s="92">
        <v>0.4</v>
      </c>
      <c r="L57" s="75" t="s">
        <v>75</v>
      </c>
      <c r="M57" s="92">
        <v>0.4</v>
      </c>
      <c r="N57" s="92" t="s">
        <v>58</v>
      </c>
      <c r="O57" s="92"/>
      <c r="P57" s="92" t="s">
        <v>58</v>
      </c>
      <c r="Q57" s="92"/>
      <c r="R57" s="92" t="s">
        <v>58</v>
      </c>
      <c r="S57" s="92"/>
      <c r="T57" s="93">
        <f t="shared" si="47"/>
        <v>28</v>
      </c>
      <c r="U57" s="88">
        <f t="shared" si="48"/>
        <v>86.730500000000006</v>
      </c>
      <c r="V57" s="78">
        <f t="shared" si="49"/>
        <v>0</v>
      </c>
      <c r="W57" s="78">
        <f t="shared" si="50"/>
        <v>0</v>
      </c>
      <c r="X57" s="78">
        <f t="shared" si="51"/>
        <v>0</v>
      </c>
      <c r="Y57" s="78">
        <f t="shared" si="52"/>
        <v>0</v>
      </c>
      <c r="Z57" s="78">
        <f t="shared" si="53"/>
        <v>0</v>
      </c>
      <c r="AA57" s="78">
        <f t="shared" si="54"/>
        <v>2.63</v>
      </c>
      <c r="AB57" s="78">
        <f t="shared" si="55"/>
        <v>0</v>
      </c>
      <c r="AC57" s="78">
        <f t="shared" si="56"/>
        <v>0</v>
      </c>
      <c r="AD57" s="78">
        <f t="shared" si="57"/>
        <v>0</v>
      </c>
      <c r="AE57" s="78">
        <f t="shared" si="58"/>
        <v>0</v>
      </c>
      <c r="AF57" s="78">
        <f t="shared" si="59"/>
        <v>0</v>
      </c>
      <c r="AG57" s="75">
        <f t="shared" si="60"/>
        <v>0</v>
      </c>
      <c r="AH57" s="75">
        <f t="shared" si="10"/>
        <v>1.1499999999999999</v>
      </c>
      <c r="AI57" s="75">
        <f t="shared" si="11"/>
        <v>0</v>
      </c>
      <c r="AJ57" s="73"/>
    </row>
    <row r="58" spans="1:36" x14ac:dyDescent="0.25">
      <c r="A58" s="73" t="s">
        <v>311</v>
      </c>
      <c r="B58" s="91" t="s">
        <v>58</v>
      </c>
      <c r="C58" s="92">
        <v>0.872</v>
      </c>
      <c r="D58" s="91" t="s">
        <v>58</v>
      </c>
      <c r="E58" s="92">
        <v>0.33</v>
      </c>
      <c r="F58" s="91" t="s">
        <v>58</v>
      </c>
      <c r="G58" s="92">
        <v>0.186</v>
      </c>
      <c r="H58" s="91" t="s">
        <v>75</v>
      </c>
      <c r="I58" s="92">
        <v>0.4</v>
      </c>
      <c r="J58" s="91" t="s">
        <v>75</v>
      </c>
      <c r="K58" s="92">
        <v>0.2</v>
      </c>
      <c r="L58" s="75" t="s">
        <v>75</v>
      </c>
      <c r="M58" s="92">
        <v>0.2</v>
      </c>
      <c r="N58" s="92" t="s">
        <v>58</v>
      </c>
      <c r="O58" s="92"/>
      <c r="P58" s="92" t="s">
        <v>58</v>
      </c>
      <c r="Q58" s="92"/>
      <c r="R58" s="92" t="s">
        <v>58</v>
      </c>
      <c r="S58" s="92"/>
      <c r="T58" s="93">
        <f t="shared" si="47"/>
        <v>14</v>
      </c>
      <c r="U58" s="88">
        <f t="shared" si="48"/>
        <v>45.141800000000003</v>
      </c>
      <c r="V58" s="78">
        <f t="shared" si="49"/>
        <v>0</v>
      </c>
      <c r="W58" s="78">
        <f t="shared" si="50"/>
        <v>0</v>
      </c>
      <c r="X58" s="78">
        <f t="shared" si="51"/>
        <v>0</v>
      </c>
      <c r="Y58" s="78">
        <f t="shared" si="52"/>
        <v>0</v>
      </c>
      <c r="Z58" s="78">
        <f t="shared" si="53"/>
        <v>0</v>
      </c>
      <c r="AA58" s="78">
        <f t="shared" si="54"/>
        <v>1.3879999999999999</v>
      </c>
      <c r="AB58" s="78">
        <f t="shared" si="55"/>
        <v>0</v>
      </c>
      <c r="AC58" s="78">
        <f t="shared" si="56"/>
        <v>0</v>
      </c>
      <c r="AD58" s="78">
        <f t="shared" si="57"/>
        <v>0</v>
      </c>
      <c r="AE58" s="78">
        <f t="shared" si="58"/>
        <v>0</v>
      </c>
      <c r="AF58" s="78">
        <f t="shared" si="59"/>
        <v>0</v>
      </c>
      <c r="AG58" s="75">
        <f t="shared" si="60"/>
        <v>0</v>
      </c>
      <c r="AH58" s="75">
        <f t="shared" si="10"/>
        <v>0.60000000000000009</v>
      </c>
      <c r="AI58" s="75">
        <f t="shared" si="11"/>
        <v>0</v>
      </c>
      <c r="AJ58" s="73"/>
    </row>
    <row r="59" spans="1:36" x14ac:dyDescent="0.25">
      <c r="A59" s="73" t="s">
        <v>313</v>
      </c>
      <c r="B59" s="91" t="s">
        <v>58</v>
      </c>
      <c r="C59" s="92">
        <v>1.9</v>
      </c>
      <c r="D59" s="91" t="s">
        <v>58</v>
      </c>
      <c r="E59" s="92">
        <v>0.28000000000000003</v>
      </c>
      <c r="F59" s="91" t="s">
        <v>58</v>
      </c>
      <c r="G59" s="92">
        <v>0.22</v>
      </c>
      <c r="H59" s="91" t="s">
        <v>75</v>
      </c>
      <c r="I59" s="92">
        <v>0.79</v>
      </c>
      <c r="J59" s="91" t="s">
        <v>75</v>
      </c>
      <c r="K59" s="92">
        <v>0.17</v>
      </c>
      <c r="L59" s="75" t="s">
        <v>75</v>
      </c>
      <c r="M59" s="92">
        <v>0.17</v>
      </c>
      <c r="N59" s="92" t="s">
        <v>58</v>
      </c>
      <c r="O59" s="92"/>
      <c r="P59" s="92" t="s">
        <v>58</v>
      </c>
      <c r="Q59" s="92"/>
      <c r="R59" s="92" t="s">
        <v>58</v>
      </c>
      <c r="S59" s="92"/>
      <c r="T59" s="93">
        <f t="shared" si="47"/>
        <v>11.9</v>
      </c>
      <c r="U59" s="88">
        <f t="shared" si="48"/>
        <v>69.190000000000012</v>
      </c>
      <c r="V59" s="78">
        <f t="shared" si="49"/>
        <v>0</v>
      </c>
      <c r="W59" s="78">
        <f t="shared" si="50"/>
        <v>0</v>
      </c>
      <c r="X59" s="78">
        <f t="shared" si="51"/>
        <v>0</v>
      </c>
      <c r="Y59" s="78">
        <f t="shared" si="52"/>
        <v>0</v>
      </c>
      <c r="Z59" s="78">
        <f t="shared" si="53"/>
        <v>0</v>
      </c>
      <c r="AA59" s="78">
        <f t="shared" si="54"/>
        <v>2.4</v>
      </c>
      <c r="AB59" s="78">
        <f t="shared" si="55"/>
        <v>0</v>
      </c>
      <c r="AC59" s="78">
        <f t="shared" si="56"/>
        <v>0</v>
      </c>
      <c r="AD59" s="78">
        <f t="shared" si="57"/>
        <v>0</v>
      </c>
      <c r="AE59" s="78">
        <f t="shared" si="58"/>
        <v>0</v>
      </c>
      <c r="AF59" s="78">
        <f t="shared" si="59"/>
        <v>0</v>
      </c>
      <c r="AG59" s="75">
        <f t="shared" si="60"/>
        <v>0</v>
      </c>
      <c r="AH59" s="75">
        <f t="shared" si="10"/>
        <v>0.96000000000000008</v>
      </c>
      <c r="AI59" s="75">
        <f t="shared" si="11"/>
        <v>0</v>
      </c>
      <c r="AJ59" s="73"/>
    </row>
    <row r="60" spans="1:36" x14ac:dyDescent="0.25">
      <c r="A60" s="73" t="s">
        <v>315</v>
      </c>
      <c r="B60" s="91" t="s">
        <v>58</v>
      </c>
      <c r="C60" s="92">
        <v>1.1100000000000001</v>
      </c>
      <c r="D60" s="91" t="s">
        <v>58</v>
      </c>
      <c r="E60" s="92">
        <v>0.94</v>
      </c>
      <c r="F60" s="91" t="s">
        <v>58</v>
      </c>
      <c r="G60" s="92">
        <v>0.21</v>
      </c>
      <c r="H60" s="91" t="s">
        <v>75</v>
      </c>
      <c r="I60" s="92">
        <v>0.82199999999999995</v>
      </c>
      <c r="J60" s="91" t="s">
        <v>75</v>
      </c>
      <c r="K60" s="92">
        <v>0.42</v>
      </c>
      <c r="L60" s="75" t="s">
        <v>75</v>
      </c>
      <c r="M60" s="92">
        <v>0.4</v>
      </c>
      <c r="N60" s="92" t="s">
        <v>58</v>
      </c>
      <c r="O60" s="92"/>
      <c r="P60" s="92" t="s">
        <v>58</v>
      </c>
      <c r="Q60" s="92"/>
      <c r="R60" s="92" t="s">
        <v>58</v>
      </c>
      <c r="S60" s="92"/>
      <c r="T60" s="93">
        <f t="shared" si="47"/>
        <v>28.7</v>
      </c>
      <c r="U60" s="88">
        <f t="shared" si="48"/>
        <v>85.381</v>
      </c>
      <c r="V60" s="78">
        <f t="shared" si="49"/>
        <v>0</v>
      </c>
      <c r="W60" s="78">
        <f t="shared" si="50"/>
        <v>0</v>
      </c>
      <c r="X60" s="78">
        <f t="shared" si="51"/>
        <v>0</v>
      </c>
      <c r="Y60" s="78">
        <f t="shared" si="52"/>
        <v>0</v>
      </c>
      <c r="Z60" s="78">
        <f t="shared" si="53"/>
        <v>0</v>
      </c>
      <c r="AA60" s="78">
        <f t="shared" si="54"/>
        <v>2.2599999999999998</v>
      </c>
      <c r="AB60" s="78">
        <f t="shared" si="55"/>
        <v>0</v>
      </c>
      <c r="AC60" s="78">
        <f t="shared" si="56"/>
        <v>0</v>
      </c>
      <c r="AD60" s="78">
        <f t="shared" si="57"/>
        <v>0</v>
      </c>
      <c r="AE60" s="78">
        <f t="shared" si="58"/>
        <v>0</v>
      </c>
      <c r="AF60" s="78">
        <f t="shared" si="59"/>
        <v>0</v>
      </c>
      <c r="AG60" s="75">
        <f t="shared" si="60"/>
        <v>0</v>
      </c>
      <c r="AH60" s="75">
        <f t="shared" si="10"/>
        <v>1.242</v>
      </c>
      <c r="AI60" s="75">
        <f t="shared" si="11"/>
        <v>0</v>
      </c>
      <c r="AJ60" s="73"/>
    </row>
    <row r="61" spans="1:36" x14ac:dyDescent="0.25">
      <c r="A61" s="73" t="s">
        <v>317</v>
      </c>
      <c r="B61" s="91" t="s">
        <v>58</v>
      </c>
      <c r="C61" s="92">
        <v>1.38</v>
      </c>
      <c r="D61" s="91" t="s">
        <v>58</v>
      </c>
      <c r="E61" s="92">
        <v>0.92</v>
      </c>
      <c r="F61" s="91" t="s">
        <v>58</v>
      </c>
      <c r="G61" s="92">
        <v>0.33</v>
      </c>
      <c r="H61" s="91" t="s">
        <v>75</v>
      </c>
      <c r="I61" s="92">
        <v>0.75</v>
      </c>
      <c r="J61" s="91" t="s">
        <v>75</v>
      </c>
      <c r="K61" s="92">
        <v>0.4</v>
      </c>
      <c r="L61" s="75" t="s">
        <v>75</v>
      </c>
      <c r="M61" s="92">
        <v>0.4</v>
      </c>
      <c r="N61" s="92" t="s">
        <v>58</v>
      </c>
      <c r="O61" s="92"/>
      <c r="P61" s="92" t="s">
        <v>58</v>
      </c>
      <c r="Q61" s="92"/>
      <c r="R61" s="92" t="s">
        <v>58</v>
      </c>
      <c r="S61" s="92"/>
      <c r="T61" s="93">
        <f t="shared" si="47"/>
        <v>28</v>
      </c>
      <c r="U61" s="88">
        <f t="shared" si="48"/>
        <v>86.730500000000006</v>
      </c>
      <c r="V61" s="78">
        <f t="shared" si="49"/>
        <v>0</v>
      </c>
      <c r="W61" s="78">
        <f t="shared" si="50"/>
        <v>0</v>
      </c>
      <c r="X61" s="78">
        <f t="shared" si="51"/>
        <v>0</v>
      </c>
      <c r="Y61" s="78">
        <f t="shared" si="52"/>
        <v>0</v>
      </c>
      <c r="Z61" s="78">
        <f t="shared" si="53"/>
        <v>0</v>
      </c>
      <c r="AA61" s="78">
        <f t="shared" si="54"/>
        <v>2.63</v>
      </c>
      <c r="AB61" s="78">
        <f t="shared" si="55"/>
        <v>0</v>
      </c>
      <c r="AC61" s="78">
        <f t="shared" si="56"/>
        <v>0</v>
      </c>
      <c r="AD61" s="78">
        <f t="shared" si="57"/>
        <v>0</v>
      </c>
      <c r="AE61" s="78">
        <f t="shared" si="58"/>
        <v>0</v>
      </c>
      <c r="AF61" s="78">
        <f t="shared" si="59"/>
        <v>0</v>
      </c>
      <c r="AG61" s="75">
        <f t="shared" si="60"/>
        <v>0</v>
      </c>
      <c r="AH61" s="75">
        <f t="shared" si="10"/>
        <v>1.1499999999999999</v>
      </c>
      <c r="AI61" s="75">
        <f t="shared" si="11"/>
        <v>0</v>
      </c>
      <c r="AJ61" s="73"/>
    </row>
    <row r="62" spans="1:36" x14ac:dyDescent="0.25">
      <c r="A62" s="73" t="s">
        <v>327</v>
      </c>
      <c r="B62" s="91" t="s">
        <v>58</v>
      </c>
      <c r="C62" s="92">
        <v>7.1</v>
      </c>
      <c r="D62" s="91" t="s">
        <v>58</v>
      </c>
      <c r="E62" s="92">
        <v>3.17</v>
      </c>
      <c r="F62" s="91" t="s">
        <v>58</v>
      </c>
      <c r="G62" s="92">
        <v>1.7</v>
      </c>
      <c r="H62" s="91" t="s">
        <v>58</v>
      </c>
      <c r="I62" s="92">
        <v>0</v>
      </c>
      <c r="J62" s="91" t="s">
        <v>58</v>
      </c>
      <c r="K62" s="92">
        <v>0</v>
      </c>
      <c r="L62" s="75" t="s">
        <v>58</v>
      </c>
      <c r="M62" s="92">
        <v>1.4</v>
      </c>
      <c r="N62" s="92" t="s">
        <v>56</v>
      </c>
      <c r="O62" s="92">
        <v>0.1</v>
      </c>
      <c r="P62" s="92" t="s">
        <v>58</v>
      </c>
      <c r="Q62" s="92"/>
      <c r="R62" s="92" t="s">
        <v>58</v>
      </c>
      <c r="S62" s="92"/>
      <c r="T62" s="93">
        <f t="shared" si="47"/>
        <v>18.29</v>
      </c>
      <c r="U62" s="88">
        <f t="shared" si="48"/>
        <v>166.11949999999999</v>
      </c>
      <c r="V62" s="78">
        <f t="shared" si="17"/>
        <v>0</v>
      </c>
      <c r="W62" s="78">
        <f t="shared" si="18"/>
        <v>0</v>
      </c>
      <c r="X62" s="78">
        <f t="shared" si="19"/>
        <v>0</v>
      </c>
      <c r="Y62" s="78">
        <f t="shared" si="20"/>
        <v>0</v>
      </c>
      <c r="Z62" s="78">
        <f t="shared" si="21"/>
        <v>0.1</v>
      </c>
      <c r="AA62" s="78">
        <f t="shared" si="22"/>
        <v>13.37</v>
      </c>
      <c r="AB62" s="78">
        <f t="shared" si="23"/>
        <v>0</v>
      </c>
      <c r="AC62" s="78">
        <f t="shared" si="24"/>
        <v>0</v>
      </c>
      <c r="AD62" s="78">
        <f t="shared" si="25"/>
        <v>0</v>
      </c>
      <c r="AE62" s="78">
        <f t="shared" si="26"/>
        <v>0</v>
      </c>
      <c r="AF62" s="78">
        <f t="shared" si="27"/>
        <v>0</v>
      </c>
      <c r="AG62" s="75">
        <f t="shared" si="28"/>
        <v>0</v>
      </c>
      <c r="AH62" s="75">
        <f t="shared" si="10"/>
        <v>0</v>
      </c>
      <c r="AI62" s="75">
        <f t="shared" si="11"/>
        <v>0</v>
      </c>
      <c r="AJ62" s="73"/>
    </row>
    <row r="63" spans="1:36" x14ac:dyDescent="0.25">
      <c r="A63" s="73" t="s">
        <v>333</v>
      </c>
      <c r="B63" s="91" t="s">
        <v>58</v>
      </c>
      <c r="C63" s="92">
        <v>3.3</v>
      </c>
      <c r="D63" s="91" t="s">
        <v>58</v>
      </c>
      <c r="E63" s="92">
        <v>1.66</v>
      </c>
      <c r="F63" s="91" t="s">
        <v>58</v>
      </c>
      <c r="G63" s="92">
        <v>1.06</v>
      </c>
      <c r="H63" s="91" t="s">
        <v>58</v>
      </c>
      <c r="I63" s="92">
        <v>0.92</v>
      </c>
      <c r="J63" s="91" t="s">
        <v>58</v>
      </c>
      <c r="K63" s="92">
        <v>0.3</v>
      </c>
      <c r="L63" s="75" t="s">
        <v>58</v>
      </c>
      <c r="M63" s="92">
        <v>0.31</v>
      </c>
      <c r="N63" s="92" t="s">
        <v>56</v>
      </c>
      <c r="O63" s="92">
        <v>0.1</v>
      </c>
      <c r="P63" s="92" t="s">
        <v>58</v>
      </c>
      <c r="Q63" s="92"/>
      <c r="R63" s="92" t="s">
        <v>58</v>
      </c>
      <c r="S63" s="92"/>
      <c r="T63" s="93">
        <f t="shared" si="47"/>
        <v>8.5335000000000001</v>
      </c>
      <c r="U63" s="88">
        <f t="shared" si="48"/>
        <v>94.242499999999993</v>
      </c>
      <c r="V63" s="78">
        <f>IF(B63="A",C63,0)+IF(D63="A",E63,0)+IF(F63="A",G63,0)+IF(H63="A",I63,0)+IF(J63="A",K63,0)+IF(L63="A",M63,0)+IF(N63="A",O63,0)+IF(P63="A",Q63,0)+IF(R63="A",S63,0)</f>
        <v>0</v>
      </c>
      <c r="W63" s="78">
        <f>IF(B63="B",C63,0)+IF(D63="B",E63,0)+IF(F63="B",G63,0)+IF(H63="B",I63,0)+IF(J63="B",K63,0)+IF(L63="B",M63,0)+IF(N63="B",O63,0)+IF(P63="B",Q63,0)+IF(R63="B",S63,0)</f>
        <v>0</v>
      </c>
      <c r="X63" s="78">
        <f>IF(B63="C",C63,0)+IF(D63="C",E63,0)+IF(F63="C",G63,0)+IF(H63="C",I63,0)+IF(J63="C",K63,0)+IF(L63="C",M63,0)+IF(N63="C",O63,0)+IF(P63="C",Q63,0)+IF(R63="C",S63,0)</f>
        <v>0</v>
      </c>
      <c r="Y63" s="78">
        <f>IF(B63="D",C63,0)+IF(D63="D",E63,0)+IF(F63="D",G63,0)+IF(H63="D",I63,0)+IF(J63="D",K63,0)+IF(L63="D",M63,0)+IF(N63="D",O63,0)+IF(P63="D",Q63,0)+IF(R63="D",S63,0)</f>
        <v>0</v>
      </c>
      <c r="Z63" s="78">
        <f>IF(B63="E",C63,0)+IF(D63="E",E63,0)+IF(F63="E",G63,0)+IF(H63="E",I63,0)+IF(J63="E",K63,0)+IF(L63="E",M63,0)+IF(N63="E",O63,0)+IF(P63="E",Q63,0)+IF(R63="E",S63,0)</f>
        <v>0.1</v>
      </c>
      <c r="AA63" s="78">
        <f>IF(B63="F",C63,0)+IF(D63="F",E63,0)+IF(F63="F",G63,0)+IF(H63="F",I63,0)+IF(J63="F",K63,0)+IF(L63="F",M63,0)+IF(N63="F",O63,0)+IF(P63="F",Q63,0)+IF(R63="F",S63,0)</f>
        <v>7.5499999999999989</v>
      </c>
      <c r="AB63" s="78">
        <f>IF(B63="G",C63,0)+IF(D63="G",E63,0)+IF(F63="G",G63,0)+IF(H63="G",I63,0)+IF(J63="G",K63,0)+IF(L63="G",M63,0)+IF(N63="G",O63,0)+IF(P63="G",Q63,0)+IF(R63="G",S63,0)</f>
        <v>0</v>
      </c>
      <c r="AC63" s="78">
        <f>IF(B63="H",C63,0)+IF(D63="H",E63,0)+IF(F63="H",G63,0)+IF(H63="H",I63,0)+IF(J63="H",K63,0)+IF(L63="H",M63,0)+IF(N63="H",O63,0)+IF(P63="H",Q63,0)+IF(R63="H",S63,0)</f>
        <v>0</v>
      </c>
      <c r="AD63" s="78">
        <f>IF(B63="I",C63,0)+IF(D63="I",E63,0)+IF(F63="I",G63,0)+IF(H63="I",I63,0)+IF(J63="I",K63,0)+IF(L63="I",M63,0)+IF(N63="I",O63,0)+IF(P63="I",Q63,0)+IF(R63="I",S63,0)</f>
        <v>0</v>
      </c>
      <c r="AE63" s="78">
        <f>IF(B63="J",C63,0)+IF(D63="J",E63,0)+IF(F63="J",G63,0)+IF(H63="J",I63,0)+IF(J63="J",K63,0)+IF(L63="J",M63,0)+IF(N63="J",O63,0)+IF(P63="J",Q63,0)+IF(R63="J",S63,0)</f>
        <v>0</v>
      </c>
      <c r="AF63" s="78">
        <f>IF(B63="K",C63,0)+IF(D63="K",E63,0)+IF(F63="K",G63,0)+IF(H63="K",I63,0)+IF(J63="K",K63,0)+IF(L63="K",M63,0)+IF(N63="K",O63,0)+IF(P63="K",Q63,0)+IF(R63="K",S63,0)</f>
        <v>0</v>
      </c>
      <c r="AG63" s="75">
        <f>IF(B63="L",C63,0)+IF(D63="L",E63,0)+IF(F63="L",G63,0)+IF(H63="L",I63,0)+IF(J63="L",K63,0)+IF(L63="L",M63,0)+IF(N63="L",O63,0)+IF(P63="L",Q63,0)+IF(R63="L",S63,0)</f>
        <v>0</v>
      </c>
      <c r="AH63" s="75">
        <f t="shared" si="10"/>
        <v>0</v>
      </c>
      <c r="AI63" s="75">
        <f t="shared" si="11"/>
        <v>0</v>
      </c>
      <c r="AJ63" s="73"/>
    </row>
    <row r="64" spans="1:36" x14ac:dyDescent="0.25">
      <c r="A64" s="73" t="s">
        <v>329</v>
      </c>
      <c r="B64" s="91" t="s">
        <v>58</v>
      </c>
      <c r="C64" s="92">
        <v>3.3</v>
      </c>
      <c r="D64" s="91" t="s">
        <v>58</v>
      </c>
      <c r="E64" s="92">
        <v>1.66</v>
      </c>
      <c r="F64" s="91" t="s">
        <v>58</v>
      </c>
      <c r="G64" s="92">
        <v>1.06</v>
      </c>
      <c r="H64" s="91" t="s">
        <v>58</v>
      </c>
      <c r="I64" s="92">
        <v>0.92</v>
      </c>
      <c r="J64" s="91" t="s">
        <v>58</v>
      </c>
      <c r="K64" s="92">
        <v>0.3</v>
      </c>
      <c r="L64" s="75" t="s">
        <v>58</v>
      </c>
      <c r="M64" s="92">
        <v>0.31</v>
      </c>
      <c r="N64" s="92" t="s">
        <v>56</v>
      </c>
      <c r="O64" s="92">
        <v>0.1</v>
      </c>
      <c r="P64" s="92" t="s">
        <v>58</v>
      </c>
      <c r="Q64" s="92"/>
      <c r="R64" s="92" t="s">
        <v>58</v>
      </c>
      <c r="S64" s="92"/>
      <c r="T64" s="93">
        <f t="shared" si="47"/>
        <v>8.5335000000000001</v>
      </c>
      <c r="U64" s="88">
        <f t="shared" si="48"/>
        <v>94.242499999999993</v>
      </c>
      <c r="V64" s="78">
        <f>IF(B64="A",C64,0)+IF(D64="A",E64,0)+IF(F64="A",G64,0)+IF(H64="A",I64,0)+IF(J64="A",K64,0)+IF(L64="A",M64,0)+IF(N64="A",O64,0)+IF(P64="A",Q64,0)+IF(R64="A",S64,0)</f>
        <v>0</v>
      </c>
      <c r="W64" s="78">
        <f>IF(B64="B",C64,0)+IF(D64="B",E64,0)+IF(F64="B",G64,0)+IF(H64="B",I64,0)+IF(J64="B",K64,0)+IF(L64="B",M64,0)+IF(N64="B",O64,0)+IF(P64="B",Q64,0)+IF(R64="B",S64,0)</f>
        <v>0</v>
      </c>
      <c r="X64" s="78">
        <f>IF(B64="C",C64,0)+IF(D64="C",E64,0)+IF(F64="C",G64,0)+IF(H64="C",I64,0)+IF(J64="C",K64,0)+IF(L64="C",M64,0)+IF(N64="C",O64,0)+IF(P64="C",Q64,0)+IF(R64="C",S64,0)</f>
        <v>0</v>
      </c>
      <c r="Y64" s="78">
        <f>IF(B64="D",C64,0)+IF(D64="D",E64,0)+IF(F64="D",G64,0)+IF(H64="D",I64,0)+IF(J64="D",K64,0)+IF(L64="D",M64,0)+IF(N64="D",O64,0)+IF(P64="D",Q64,0)+IF(R64="D",S64,0)</f>
        <v>0</v>
      </c>
      <c r="Z64" s="78">
        <f>IF(B64="E",C64,0)+IF(D64="E",E64,0)+IF(F64="E",G64,0)+IF(H64="E",I64,0)+IF(J64="E",K64,0)+IF(L64="E",M64,0)+IF(N64="E",O64,0)+IF(P64="E",Q64,0)+IF(R64="E",S64,0)</f>
        <v>0.1</v>
      </c>
      <c r="AA64" s="78">
        <f>IF(B64="F",C64,0)+IF(D64="F",E64,0)+IF(F64="F",G64,0)+IF(H64="F",I64,0)+IF(J64="F",K64,0)+IF(L64="F",M64,0)+IF(N64="F",O64,0)+IF(P64="F",Q64,0)+IF(R64="F",S64,0)</f>
        <v>7.5499999999999989</v>
      </c>
      <c r="AB64" s="78">
        <f>IF(B64="G",C64,0)+IF(D64="G",E64,0)+IF(F64="G",G64,0)+IF(H64="G",I64,0)+IF(J64="G",K64,0)+IF(L64="G",M64,0)+IF(N64="G",O64,0)+IF(P64="G",Q64,0)+IF(R64="G",S64,0)</f>
        <v>0</v>
      </c>
      <c r="AC64" s="78">
        <f>IF(B64="H",C64,0)+IF(D64="H",E64,0)+IF(F64="H",G64,0)+IF(H64="H",I64,0)+IF(J64="H",K64,0)+IF(L64="H",M64,0)+IF(N64="H",O64,0)+IF(P64="H",Q64,0)+IF(R64="H",S64,0)</f>
        <v>0</v>
      </c>
      <c r="AD64" s="78">
        <f>IF(B64="I",C64,0)+IF(D64="I",E64,0)+IF(F64="I",G64,0)+IF(H64="I",I64,0)+IF(J64="I",K64,0)+IF(L64="I",M64,0)+IF(N64="I",O64,0)+IF(P64="I",Q64,0)+IF(R64="I",S64,0)</f>
        <v>0</v>
      </c>
      <c r="AE64" s="78">
        <f>IF(B64="J",C64,0)+IF(D64="J",E64,0)+IF(F64="J",G64,0)+IF(H64="J",I64,0)+IF(J64="J",K64,0)+IF(L64="J",M64,0)+IF(N64="J",O64,0)+IF(P64="J",Q64,0)+IF(R64="J",S64,0)</f>
        <v>0</v>
      </c>
      <c r="AF64" s="78">
        <f>IF(B64="K",C64,0)+IF(D64="K",E64,0)+IF(F64="K",G64,0)+IF(H64="K",I64,0)+IF(J64="K",K64,0)+IF(L64="K",M64,0)+IF(N64="K",O64,0)+IF(P64="K",Q64,0)+IF(R64="K",S64,0)</f>
        <v>0</v>
      </c>
      <c r="AG64" s="75">
        <f>IF(B64="L",C64,0)+IF(D64="L",E64,0)+IF(F64="L",G64,0)+IF(H64="L",I64,0)+IF(J64="L",K64,0)+IF(L64="L",M64,0)+IF(N64="L",O64,0)+IF(P64="L",Q64,0)+IF(R64="L",S64,0)</f>
        <v>0</v>
      </c>
      <c r="AH64" s="75">
        <f t="shared" si="10"/>
        <v>0</v>
      </c>
      <c r="AI64" s="75">
        <f t="shared" si="11"/>
        <v>0</v>
      </c>
      <c r="AJ64" s="73"/>
    </row>
    <row r="65" spans="1:36" x14ac:dyDescent="0.25">
      <c r="A65" s="73" t="s">
        <v>331</v>
      </c>
      <c r="B65" s="91" t="s">
        <v>58</v>
      </c>
      <c r="C65" s="92">
        <v>3.3</v>
      </c>
      <c r="D65" s="91" t="s">
        <v>58</v>
      </c>
      <c r="E65" s="92">
        <v>1.66</v>
      </c>
      <c r="F65" s="91" t="s">
        <v>58</v>
      </c>
      <c r="G65" s="92">
        <v>1.06</v>
      </c>
      <c r="H65" s="91" t="s">
        <v>58</v>
      </c>
      <c r="I65" s="92">
        <v>0.92</v>
      </c>
      <c r="J65" s="91" t="s">
        <v>58</v>
      </c>
      <c r="K65" s="92">
        <v>0.3</v>
      </c>
      <c r="L65" s="75" t="s">
        <v>58</v>
      </c>
      <c r="M65" s="92">
        <v>0.31</v>
      </c>
      <c r="N65" s="92" t="s">
        <v>56</v>
      </c>
      <c r="O65" s="92">
        <v>0.1</v>
      </c>
      <c r="P65" s="92" t="s">
        <v>58</v>
      </c>
      <c r="Q65" s="92"/>
      <c r="R65" s="92" t="s">
        <v>58</v>
      </c>
      <c r="S65" s="92"/>
      <c r="T65" s="93">
        <f t="shared" si="47"/>
        <v>8.5335000000000001</v>
      </c>
      <c r="U65" s="88">
        <f t="shared" si="48"/>
        <v>94.242499999999993</v>
      </c>
      <c r="V65" s="78">
        <f>IF(B65="A",C65,0)+IF(D65="A",E65,0)+IF(F65="A",G65,0)+IF(H65="A",I65,0)+IF(J65="A",K65,0)+IF(L65="A",M65,0)+IF(N65="A",O65,0)+IF(P65="A",Q65,0)+IF(R65="A",S65,0)</f>
        <v>0</v>
      </c>
      <c r="W65" s="78">
        <f>IF(B65="B",C65,0)+IF(D65="B",E65,0)+IF(F65="B",G65,0)+IF(H65="B",I65,0)+IF(J65="B",K65,0)+IF(L65="B",M65,0)+IF(N65="B",O65,0)+IF(P65="B",Q65,0)+IF(R65="B",S65,0)</f>
        <v>0</v>
      </c>
      <c r="X65" s="78">
        <f>IF(B65="C",C65,0)+IF(D65="C",E65,0)+IF(F65="C",G65,0)+IF(H65="C",I65,0)+IF(J65="C",K65,0)+IF(L65="C",M65,0)+IF(N65="C",O65,0)+IF(P65="C",Q65,0)+IF(R65="C",S65,0)</f>
        <v>0</v>
      </c>
      <c r="Y65" s="78">
        <f>IF(B65="D",C65,0)+IF(D65="D",E65,0)+IF(F65="D",G65,0)+IF(H65="D",I65,0)+IF(J65="D",K65,0)+IF(L65="D",M65,0)+IF(N65="D",O65,0)+IF(P65="D",Q65,0)+IF(R65="D",S65,0)</f>
        <v>0</v>
      </c>
      <c r="Z65" s="78">
        <f>IF(B65="E",C65,0)+IF(D65="E",E65,0)+IF(F65="E",G65,0)+IF(H65="E",I65,0)+IF(J65="E",K65,0)+IF(L65="E",M65,0)+IF(N65="E",O65,0)+IF(P65="E",Q65,0)+IF(R65="E",S65,0)</f>
        <v>0.1</v>
      </c>
      <c r="AA65" s="78">
        <f>IF(B65="F",C65,0)+IF(D65="F",E65,0)+IF(F65="F",G65,0)+IF(H65="F",I65,0)+IF(J65="F",K65,0)+IF(L65="F",M65,0)+IF(N65="F",O65,0)+IF(P65="F",Q65,0)+IF(R65="F",S65,0)</f>
        <v>7.5499999999999989</v>
      </c>
      <c r="AB65" s="78">
        <f>IF(B65="G",C65,0)+IF(D65="G",E65,0)+IF(F65="G",G65,0)+IF(H65="G",I65,0)+IF(J65="G",K65,0)+IF(L65="G",M65,0)+IF(N65="G",O65,0)+IF(P65="G",Q65,0)+IF(R65="G",S65,0)</f>
        <v>0</v>
      </c>
      <c r="AC65" s="78">
        <f>IF(B65="H",C65,0)+IF(D65="H",E65,0)+IF(F65="H",G65,0)+IF(H65="H",I65,0)+IF(J65="H",K65,0)+IF(L65="H",M65,0)+IF(N65="H",O65,0)+IF(P65="H",Q65,0)+IF(R65="H",S65,0)</f>
        <v>0</v>
      </c>
      <c r="AD65" s="78">
        <f>IF(B65="I",C65,0)+IF(D65="I",E65,0)+IF(F65="I",G65,0)+IF(H65="I",I65,0)+IF(J65="I",K65,0)+IF(L65="I",M65,0)+IF(N65="I",O65,0)+IF(P65="I",Q65,0)+IF(R65="I",S65,0)</f>
        <v>0</v>
      </c>
      <c r="AE65" s="78">
        <f>IF(B65="J",C65,0)+IF(D65="J",E65,0)+IF(F65="J",G65,0)+IF(H65="J",I65,0)+IF(J65="J",K65,0)+IF(L65="J",M65,0)+IF(N65="J",O65,0)+IF(P65="J",Q65,0)+IF(R65="J",S65,0)</f>
        <v>0</v>
      </c>
      <c r="AF65" s="78">
        <f>IF(B65="K",C65,0)+IF(D65="K",E65,0)+IF(F65="K",G65,0)+IF(H65="K",I65,0)+IF(J65="K",K65,0)+IF(L65="K",M65,0)+IF(N65="K",O65,0)+IF(P65="K",Q65,0)+IF(R65="K",S65,0)</f>
        <v>0</v>
      </c>
      <c r="AG65" s="75">
        <f>IF(B65="L",C65,0)+IF(D65="L",E65,0)+IF(F65="L",G65,0)+IF(H65="L",I65,0)+IF(J65="L",K65,0)+IF(L65="L",M65,0)+IF(N65="L",O65,0)+IF(P65="L",Q65,0)+IF(R65="L",S65,0)</f>
        <v>0</v>
      </c>
      <c r="AH65" s="75">
        <f t="shared" si="10"/>
        <v>0</v>
      </c>
      <c r="AI65" s="75">
        <f t="shared" si="11"/>
        <v>0</v>
      </c>
      <c r="AJ65" s="73"/>
    </row>
    <row r="66" spans="1:36" x14ac:dyDescent="0.25">
      <c r="A66" s="73" t="s">
        <v>335</v>
      </c>
      <c r="B66" s="91" t="s">
        <v>58</v>
      </c>
      <c r="C66" s="92">
        <v>7</v>
      </c>
      <c r="D66" s="91" t="s">
        <v>58</v>
      </c>
      <c r="E66" s="92">
        <v>5.2</v>
      </c>
      <c r="F66" s="91" t="s">
        <v>58</v>
      </c>
      <c r="G66" s="92">
        <v>5.2</v>
      </c>
      <c r="H66" s="91" t="s">
        <v>58</v>
      </c>
      <c r="I66" s="92">
        <v>4.5999999999999996</v>
      </c>
      <c r="J66" s="91" t="s">
        <v>58</v>
      </c>
      <c r="K66" s="92">
        <v>2.8</v>
      </c>
      <c r="L66" s="75" t="s">
        <v>58</v>
      </c>
      <c r="M66" s="92">
        <v>2.8</v>
      </c>
      <c r="N66" s="92" t="s">
        <v>56</v>
      </c>
      <c r="O66" s="92">
        <v>0.1</v>
      </c>
      <c r="P66" s="92" t="s">
        <v>58</v>
      </c>
      <c r="Q66" s="92"/>
      <c r="R66" s="92" t="s">
        <v>58</v>
      </c>
      <c r="S66" s="92"/>
      <c r="T66" s="93">
        <f t="shared" si="47"/>
        <v>70.16</v>
      </c>
      <c r="U66" s="88">
        <f t="shared" si="48"/>
        <v>341.85999999999996</v>
      </c>
      <c r="V66" s="78"/>
      <c r="W66" s="78"/>
      <c r="X66" s="78"/>
      <c r="Y66" s="78"/>
      <c r="Z66" s="78"/>
      <c r="AA66" s="78"/>
      <c r="AB66" s="78"/>
      <c r="AC66" s="78"/>
      <c r="AD66" s="78"/>
      <c r="AE66" s="78"/>
      <c r="AF66" s="78"/>
      <c r="AG66" s="75"/>
      <c r="AH66" s="75"/>
      <c r="AI66" s="75"/>
      <c r="AJ66" s="73"/>
    </row>
    <row r="67" spans="1:36" x14ac:dyDescent="0.25">
      <c r="A67" s="73" t="s">
        <v>320</v>
      </c>
      <c r="B67" s="91" t="s">
        <v>58</v>
      </c>
      <c r="C67" s="92">
        <v>3.9</v>
      </c>
      <c r="D67" s="91" t="s">
        <v>58</v>
      </c>
      <c r="E67" s="92">
        <v>1.8</v>
      </c>
      <c r="F67" s="91" t="s">
        <v>58</v>
      </c>
      <c r="G67" s="92">
        <v>1.3</v>
      </c>
      <c r="H67" s="91" t="s">
        <v>58</v>
      </c>
      <c r="I67" s="92">
        <v>2.2999999999999998</v>
      </c>
      <c r="J67" s="91" t="s">
        <v>58</v>
      </c>
      <c r="K67" s="92">
        <v>1</v>
      </c>
      <c r="L67" s="75" t="s">
        <v>58</v>
      </c>
      <c r="M67" s="92">
        <v>1</v>
      </c>
      <c r="N67" s="92" t="s">
        <v>56</v>
      </c>
      <c r="O67" s="92">
        <v>0</v>
      </c>
      <c r="P67" s="92" t="s">
        <v>58</v>
      </c>
      <c r="Q67" s="92"/>
      <c r="R67" s="92" t="s">
        <v>58</v>
      </c>
      <c r="S67" s="92"/>
      <c r="T67" s="93">
        <f t="shared" si="47"/>
        <v>24.7</v>
      </c>
      <c r="U67" s="88">
        <f t="shared" si="48"/>
        <v>139.55499999999998</v>
      </c>
      <c r="V67" s="78">
        <f t="shared" ref="V67" si="61">IF(B67="A",C67,0)+IF(D67="A",E67,0)+IF(F67="A",G67,0)+IF(H67="A",I67,0)+IF(J67="A",K67,0)+IF(L67="A",M67,0)+IF(N67="A",O67,0)+IF(P67="A",Q67,0)+IF(R67="A",S67,0)</f>
        <v>0</v>
      </c>
      <c r="W67" s="78">
        <f t="shared" ref="W67" si="62">IF(B67="B",C67,0)+IF(D67="B",E67,0)+IF(F67="B",G67,0)+IF(H67="B",I67,0)+IF(J67="B",K67,0)+IF(L67="B",M67,0)+IF(N67="B",O67,0)+IF(P67="B",Q67,0)+IF(R67="B",S67,0)</f>
        <v>0</v>
      </c>
      <c r="X67" s="78">
        <f t="shared" ref="X67" si="63">IF(B67="C",C67,0)+IF(D67="C",E67,0)+IF(F67="C",G67,0)+IF(H67="C",I67,0)+IF(J67="C",K67,0)+IF(L67="C",M67,0)+IF(N67="C",O67,0)+IF(P67="C",Q67,0)+IF(R67="C",S67,0)</f>
        <v>0</v>
      </c>
      <c r="Y67" s="78">
        <f t="shared" ref="Y67" si="64">IF(B67="D",C67,0)+IF(D67="D",E67,0)+IF(F67="D",G67,0)+IF(H67="D",I67,0)+IF(J67="D",K67,0)+IF(L67="D",M67,0)+IF(N67="D",O67,0)+IF(P67="D",Q67,0)+IF(R67="D",S67,0)</f>
        <v>0</v>
      </c>
      <c r="Z67" s="78">
        <f t="shared" ref="Z67" si="65">IF(B67="E",C67,0)+IF(D67="E",E67,0)+IF(F67="E",G67,0)+IF(H67="E",I67,0)+IF(J67="E",K67,0)+IF(L67="E",M67,0)+IF(N67="E",O67,0)+IF(P67="E",Q67,0)+IF(R67="E",S67,0)</f>
        <v>0</v>
      </c>
      <c r="AA67" s="78">
        <f t="shared" ref="AA67" si="66">IF(B67="F",C67,0)+IF(D67="F",E67,0)+IF(F67="F",G67,0)+IF(H67="F",I67,0)+IF(J67="F",K67,0)+IF(L67="F",M67,0)+IF(N67="F",O67,0)+IF(P67="F",Q67,0)+IF(R67="F",S67,0)</f>
        <v>11.3</v>
      </c>
      <c r="AB67" s="78">
        <f t="shared" ref="AB67" si="67">IF(B67="G",C67,0)+IF(D67="G",E67,0)+IF(F67="G",G67,0)+IF(H67="G",I67,0)+IF(J67="G",K67,0)+IF(L67="G",M67,0)+IF(N67="G",O67,0)+IF(P67="G",Q67,0)+IF(R67="G",S67,0)</f>
        <v>0</v>
      </c>
      <c r="AC67" s="78">
        <f t="shared" ref="AC67" si="68">IF(B67="H",C67,0)+IF(D67="H",E67,0)+IF(F67="H",G67,0)+IF(H67="H",I67,0)+IF(J67="H",K67,0)+IF(L67="H",M67,0)+IF(N67="H",O67,0)+IF(P67="H",Q67,0)+IF(R67="H",S67,0)</f>
        <v>0</v>
      </c>
      <c r="AD67" s="78">
        <f t="shared" ref="AD67" si="69">IF(B67="I",C67,0)+IF(D67="I",E67,0)+IF(F67="I",G67,0)+IF(H67="I",I67,0)+IF(J67="I",K67,0)+IF(L67="I",M67,0)+IF(N67="I",O67,0)+IF(P67="I",Q67,0)+IF(R67="I",S67,0)</f>
        <v>0</v>
      </c>
      <c r="AE67" s="78">
        <f t="shared" ref="AE67" si="70">IF(B67="J",C67,0)+IF(D67="J",E67,0)+IF(F67="J",G67,0)+IF(H67="J",I67,0)+IF(J67="J",K67,0)+IF(L67="J",M67,0)+IF(N67="J",O67,0)+IF(P67="J",Q67,0)+IF(R67="J",S67,0)</f>
        <v>0</v>
      </c>
      <c r="AF67" s="78">
        <f t="shared" ref="AF67" si="71">IF(B67="K",C67,0)+IF(D67="K",E67,0)+IF(F67="K",G67,0)+IF(H67="K",I67,0)+IF(J67="K",K67,0)+IF(L67="K",M67,0)+IF(N67="K",O67,0)+IF(P67="K",Q67,0)+IF(R67="K",S67,0)</f>
        <v>0</v>
      </c>
      <c r="AG67" s="75">
        <f t="shared" ref="AG67" si="72">IF(B67="L",C67,0)+IF(D67="L",E67,0)+IF(F67="L",G67,0)+IF(H67="L",I67,0)+IF(J67="L",K67,0)+IF(L67="L",M67,0)+IF(N67="L",O67,0)+IF(P67="L",Q67,0)+IF(R67="L",S67,0)</f>
        <v>0</v>
      </c>
      <c r="AH67" s="75">
        <f t="shared" ref="AH67" si="73">IF(B67="M",C67,0)+IF(D67="M",E67,0)+IF(F67="M",G67,0)+IF(H67="M",I67,0)+IF(J67="M",K67,0)+IF(N67="M",O67,0)+IF(P67="M",Q67,0)+IF(R67="M",S67,0)</f>
        <v>0</v>
      </c>
      <c r="AI67" s="75">
        <f t="shared" ref="AI67" si="74">IF(B67="N",C67,0)+IF(D67="N",E67,0)+IF(F67="N",G67,0)+IF(H67="N",I67,0)+IF(J67="N",K67,0)+IF(N67="N",O67,0)+IF(P67="N",Q67,0)+IF(R67="N",S67,0)</f>
        <v>0</v>
      </c>
      <c r="AJ67" s="73"/>
    </row>
    <row r="68" spans="1:36" x14ac:dyDescent="0.25">
      <c r="A68" s="73" t="s">
        <v>323</v>
      </c>
      <c r="B68" s="91" t="s">
        <v>58</v>
      </c>
      <c r="C68" s="92">
        <v>7.1</v>
      </c>
      <c r="D68" s="91" t="s">
        <v>58</v>
      </c>
      <c r="E68" s="92">
        <v>3.17</v>
      </c>
      <c r="F68" s="91" t="s">
        <v>58</v>
      </c>
      <c r="G68" s="92">
        <v>1.7</v>
      </c>
      <c r="H68" s="91" t="s">
        <v>58</v>
      </c>
      <c r="I68" s="92">
        <v>0</v>
      </c>
      <c r="J68" s="91" t="s">
        <v>58</v>
      </c>
      <c r="K68" s="92">
        <v>0</v>
      </c>
      <c r="L68" s="75" t="s">
        <v>58</v>
      </c>
      <c r="M68" s="92">
        <v>1.4</v>
      </c>
      <c r="N68" s="92" t="s">
        <v>56</v>
      </c>
      <c r="O68" s="92">
        <v>0.1</v>
      </c>
      <c r="P68" s="92" t="s">
        <v>58</v>
      </c>
      <c r="Q68" s="92"/>
      <c r="R68" s="92" t="s">
        <v>58</v>
      </c>
      <c r="S68" s="92"/>
      <c r="T68" s="93">
        <f t="shared" si="47"/>
        <v>18.29</v>
      </c>
      <c r="U68" s="88">
        <f t="shared" si="48"/>
        <v>166.11949999999999</v>
      </c>
      <c r="V68" s="78">
        <f t="shared" si="17"/>
        <v>0</v>
      </c>
      <c r="W68" s="78">
        <f t="shared" si="18"/>
        <v>0</v>
      </c>
      <c r="X68" s="78">
        <f t="shared" si="19"/>
        <v>0</v>
      </c>
      <c r="Y68" s="78">
        <f t="shared" si="20"/>
        <v>0</v>
      </c>
      <c r="Z68" s="78">
        <f t="shared" si="21"/>
        <v>0.1</v>
      </c>
      <c r="AA68" s="78">
        <f t="shared" si="22"/>
        <v>13.37</v>
      </c>
      <c r="AB68" s="78">
        <f t="shared" si="23"/>
        <v>0</v>
      </c>
      <c r="AC68" s="78">
        <f t="shared" si="24"/>
        <v>0</v>
      </c>
      <c r="AD68" s="78">
        <f t="shared" si="25"/>
        <v>0</v>
      </c>
      <c r="AE68" s="78">
        <f t="shared" si="26"/>
        <v>0</v>
      </c>
      <c r="AF68" s="78">
        <f t="shared" si="27"/>
        <v>0</v>
      </c>
      <c r="AG68" s="75">
        <f t="shared" si="28"/>
        <v>0</v>
      </c>
      <c r="AH68" s="75">
        <f t="shared" si="10"/>
        <v>0</v>
      </c>
      <c r="AI68" s="75">
        <f t="shared" si="11"/>
        <v>0</v>
      </c>
      <c r="AJ68" s="73"/>
    </row>
    <row r="69" spans="1:36" x14ac:dyDescent="0.25">
      <c r="A69" s="73" t="s">
        <v>325</v>
      </c>
      <c r="B69" s="91" t="s">
        <v>58</v>
      </c>
      <c r="C69" s="92">
        <v>4.7300000000000004</v>
      </c>
      <c r="D69" s="91" t="s">
        <v>58</v>
      </c>
      <c r="E69" s="92">
        <v>2.5</v>
      </c>
      <c r="F69" s="91" t="s">
        <v>58</v>
      </c>
      <c r="G69" s="92">
        <v>2.17</v>
      </c>
      <c r="H69" s="91" t="s">
        <v>58</v>
      </c>
      <c r="I69" s="92">
        <v>1.56</v>
      </c>
      <c r="J69" s="91" t="s">
        <v>58</v>
      </c>
      <c r="K69" s="92">
        <v>1</v>
      </c>
      <c r="L69" s="75" t="s">
        <v>58</v>
      </c>
      <c r="M69" s="92">
        <v>0.5</v>
      </c>
      <c r="N69" s="92" t="s">
        <v>56</v>
      </c>
      <c r="O69" s="92">
        <v>0.02</v>
      </c>
      <c r="P69" s="92" t="s">
        <v>58</v>
      </c>
      <c r="Q69" s="92"/>
      <c r="R69" s="92" t="s">
        <v>58</v>
      </c>
      <c r="S69" s="92"/>
      <c r="T69" s="93">
        <f t="shared" si="47"/>
        <v>18.724999999999998</v>
      </c>
      <c r="U69" s="88">
        <f t="shared" si="48"/>
        <v>154.08099999999999</v>
      </c>
      <c r="V69" s="78">
        <f t="shared" si="17"/>
        <v>0</v>
      </c>
      <c r="W69" s="78">
        <f t="shared" si="18"/>
        <v>0</v>
      </c>
      <c r="X69" s="78">
        <f t="shared" si="19"/>
        <v>0</v>
      </c>
      <c r="Y69" s="78">
        <f t="shared" si="20"/>
        <v>0</v>
      </c>
      <c r="Z69" s="78">
        <f t="shared" si="21"/>
        <v>0.02</v>
      </c>
      <c r="AA69" s="78">
        <f t="shared" si="22"/>
        <v>12.46</v>
      </c>
      <c r="AB69" s="78">
        <f t="shared" si="23"/>
        <v>0</v>
      </c>
      <c r="AC69" s="78">
        <f t="shared" si="24"/>
        <v>0</v>
      </c>
      <c r="AD69" s="78">
        <f t="shared" si="25"/>
        <v>0</v>
      </c>
      <c r="AE69" s="78">
        <f t="shared" si="26"/>
        <v>0</v>
      </c>
      <c r="AF69" s="78">
        <f t="shared" si="27"/>
        <v>0</v>
      </c>
      <c r="AG69" s="75">
        <f t="shared" si="28"/>
        <v>0</v>
      </c>
      <c r="AH69" s="75">
        <f t="shared" si="10"/>
        <v>0</v>
      </c>
      <c r="AI69" s="75">
        <f t="shared" si="11"/>
        <v>0</v>
      </c>
      <c r="AJ69" s="73"/>
    </row>
    <row r="70" spans="1:36" x14ac:dyDescent="0.25">
      <c r="A70" s="100" t="s">
        <v>336</v>
      </c>
      <c r="B70" s="103"/>
      <c r="C70" s="102"/>
      <c r="D70" s="103"/>
      <c r="E70" s="103"/>
      <c r="F70" s="103"/>
      <c r="G70" s="103"/>
      <c r="H70" s="103"/>
      <c r="I70" s="103"/>
      <c r="J70" s="103"/>
      <c r="K70" s="103"/>
      <c r="L70" s="103"/>
      <c r="M70" s="103"/>
      <c r="N70" s="103"/>
      <c r="O70" s="103"/>
      <c r="P70" s="103"/>
      <c r="Q70" s="103"/>
      <c r="R70" s="103"/>
      <c r="S70" s="103"/>
      <c r="T70" s="103"/>
      <c r="U70" s="103"/>
      <c r="V70" s="103"/>
      <c r="W70" s="103"/>
      <c r="X70" s="103"/>
      <c r="Y70" s="103"/>
      <c r="Z70" s="103"/>
      <c r="AA70" s="103"/>
      <c r="AB70" s="103"/>
      <c r="AC70" s="103"/>
      <c r="AD70" s="103"/>
      <c r="AE70" s="103"/>
      <c r="AF70" s="103"/>
      <c r="AG70" s="103"/>
      <c r="AH70" s="103"/>
      <c r="AI70" s="103"/>
      <c r="AJ70" s="103"/>
    </row>
    <row r="71" spans="1:36" x14ac:dyDescent="0.25">
      <c r="A71" s="73" t="s">
        <v>339</v>
      </c>
      <c r="B71" s="91" t="s">
        <v>62</v>
      </c>
      <c r="C71" s="92">
        <v>0</v>
      </c>
      <c r="D71" s="91" t="s">
        <v>62</v>
      </c>
      <c r="E71" s="92">
        <v>0</v>
      </c>
      <c r="F71" s="91" t="s">
        <v>62</v>
      </c>
      <c r="G71" s="92">
        <v>0</v>
      </c>
      <c r="H71" s="91" t="s">
        <v>62</v>
      </c>
      <c r="I71" s="92">
        <v>0</v>
      </c>
      <c r="J71" s="91" t="s">
        <v>62</v>
      </c>
      <c r="K71" s="92">
        <v>0</v>
      </c>
      <c r="L71" s="75" t="s">
        <v>62</v>
      </c>
      <c r="M71" s="92">
        <v>0</v>
      </c>
      <c r="N71" s="92" t="s">
        <v>64</v>
      </c>
      <c r="O71" s="92">
        <v>0</v>
      </c>
      <c r="P71" s="92" t="s">
        <v>67</v>
      </c>
      <c r="Q71" s="92">
        <v>0.3</v>
      </c>
      <c r="R71" s="92" t="s">
        <v>72</v>
      </c>
      <c r="S71" s="92">
        <v>0</v>
      </c>
      <c r="T71" s="93">
        <f t="shared" ref="T71:T79" si="75">(VLOOKUP(J71,AL$4:AN$17,3)*K71)+(VLOOKUP(L71,AL$4:AN$17,3)*M71)+(VLOOKUP(N71,AL$4:AN$17,3)*O71)+(VLOOKUP(P71,AL$4:AN$17,3)*Q71)+(VLOOKUP(R71,AL$4:AN$17,3)*S71)</f>
        <v>10.5</v>
      </c>
      <c r="U71" s="88">
        <f t="shared" ref="U71:U79" si="76">(VLOOKUP(B71,AL$4:AN$16,3)*C71)+(VLOOKUP(D71,AL$4:AN$16,3)*E71)+(VLOOKUP(F71,AL$4:AN$16,3)*G71)+(VLOOKUP(H71,AL$4:AN$16,3)*I71)+(VLOOKUP(J71,AL$4:AN$17,3)*K71)+(VLOOKUP(L71,AL$4:AN$17,3)*M71)+(VLOOKUP(N71,AL$4:AN$17,3)*O71)+(VLOOKUP(P71,AL$4:AN$17,3)*Q71)+(VLOOKUP(R71,AL$4:AN$17,3)*S71)</f>
        <v>10.5</v>
      </c>
      <c r="V71" s="78">
        <f t="shared" ref="V71:V79" si="77">IF(B71="A",C71,0)+IF(D71="A",E71,0)+IF(F71="A",G71,0)+IF(H71="A",I71,0)+IF(J71="A",K71,0)+IF(L71="A",M71,0)+IF(N71="A",O71,0)+IF(P71="A",Q71,0)+IF(R71="A",S71,0)</f>
        <v>0</v>
      </c>
      <c r="W71" s="78">
        <f t="shared" ref="W71:W79" si="78">IF(B71="B",C71,0)+IF(D71="B",E71,0)+IF(F71="B",G71,0)+IF(H71="B",I71,0)+IF(J71="B",K71,0)+IF(L71="B",M71,0)+IF(N71="B",O71,0)+IF(P71="B",Q71,0)+IF(R71="B",S71,0)</f>
        <v>0</v>
      </c>
      <c r="X71" s="78">
        <f t="shared" ref="X71:X79" si="79">IF(B71="C",C71,0)+IF(D71="C",E71,0)+IF(F71="C",G71,0)+IF(H71="C",I71,0)+IF(J71="C",K71,0)+IF(L71="C",M71,0)+IF(N71="C",O71,0)+IF(P71="C",Q71,0)+IF(R71="C",S71,0)</f>
        <v>0</v>
      </c>
      <c r="Y71" s="78">
        <f t="shared" ref="Y71:Y79" si="80">IF(B71="D",C71,0)+IF(D71="D",E71,0)+IF(F71="D",G71,0)+IF(H71="D",I71,0)+IF(J71="D",K71,0)+IF(L71="D",M71,0)+IF(N71="D",O71,0)+IF(P71="D",Q71,0)+IF(R71="D",S71,0)</f>
        <v>0</v>
      </c>
      <c r="Z71" s="78">
        <f t="shared" ref="Z71:Z79" si="81">IF(B71="E",C71,0)+IF(D71="E",E71,0)+IF(F71="E",G71,0)+IF(H71="E",I71,0)+IF(J71="E",K71,0)+IF(L71="E",M71,0)+IF(N71="E",O71,0)+IF(P71="E",Q71,0)+IF(R71="E",S71,0)</f>
        <v>0</v>
      </c>
      <c r="AA71" s="78">
        <f t="shared" ref="AA71:AA79" si="82">IF(B71="F",C71,0)+IF(D71="F",E71,0)+IF(F71="F",G71,0)+IF(H71="F",I71,0)+IF(J71="F",K71,0)+IF(L71="F",M71,0)+IF(N71="F",O71,0)+IF(P71="F",Q71,0)+IF(R71="F",S71,0)</f>
        <v>0</v>
      </c>
      <c r="AB71" s="78">
        <f t="shared" ref="AB71:AB79" si="83">IF(B71="G",C71,0)+IF(D71="G",E71,0)+IF(F71="G",G71,0)+IF(H71="G",I71,0)+IF(J71="G",K71,0)+IF(L71="G",M71,0)+IF(N71="G",O71,0)+IF(P71="G",Q71,0)+IF(R71="G",S71,0)</f>
        <v>0</v>
      </c>
      <c r="AC71" s="78">
        <f t="shared" ref="AC71:AC79" si="84">IF(B71="H",C71,0)+IF(D71="H",E71,0)+IF(F71="H",G71,0)+IF(H71="H",I71,0)+IF(J71="H",K71,0)+IF(L71="H",M71,0)+IF(N71="H",O71,0)+IF(P71="H",Q71,0)+IF(R71="H",S71,0)</f>
        <v>0</v>
      </c>
      <c r="AD71" s="78">
        <f t="shared" ref="AD71:AD79" si="85">IF(B71="I",C71,0)+IF(D71="I",E71,0)+IF(F71="I",G71,0)+IF(H71="I",I71,0)+IF(J71="I",K71,0)+IF(L71="I",M71,0)+IF(N71="I",O71,0)+IF(P71="I",Q71,0)+IF(R71="I",S71,0)</f>
        <v>0</v>
      </c>
      <c r="AE71" s="78">
        <f t="shared" ref="AE71:AE79" si="86">IF(B71="J",C71,0)+IF(D71="J",E71,0)+IF(F71="J",G71,0)+IF(H71="J",I71,0)+IF(J71="J",K71,0)+IF(L71="J",M71,0)+IF(N71="J",O71,0)+IF(P71="J",Q71,0)+IF(R71="J",S71,0)</f>
        <v>0.3</v>
      </c>
      <c r="AF71" s="78">
        <f t="shared" ref="AF71:AF79" si="87">IF(B71="K",C71,0)+IF(D71="K",E71,0)+IF(F71="K",G71,0)+IF(H71="K",I71,0)+IF(J71="K",K71,0)+IF(L71="K",M71,0)+IF(N71="K",O71,0)+IF(P71="K",Q71,0)+IF(R71="K",S71,0)</f>
        <v>0</v>
      </c>
      <c r="AG71" s="75">
        <f t="shared" ref="AG71:AG79" si="88">IF(B71="L",C71,0)+IF(D71="L",E71,0)+IF(F71="L",G71,0)+IF(H71="L",I71,0)+IF(J71="L",K71,0)+IF(L71="L",M71,0)+IF(N71="L",O71,0)+IF(P71="L",Q71,0)+IF(R71="L",S71,0)</f>
        <v>0</v>
      </c>
      <c r="AH71" s="75">
        <f t="shared" si="10"/>
        <v>0</v>
      </c>
      <c r="AI71" s="75">
        <f t="shared" si="11"/>
        <v>0</v>
      </c>
      <c r="AJ71" s="73"/>
    </row>
    <row r="72" spans="1:36" x14ac:dyDescent="0.25">
      <c r="A72" s="73" t="s">
        <v>341</v>
      </c>
      <c r="B72" s="91" t="s">
        <v>62</v>
      </c>
      <c r="C72" s="92">
        <v>0</v>
      </c>
      <c r="D72" s="91" t="s">
        <v>62</v>
      </c>
      <c r="E72" s="92">
        <v>0</v>
      </c>
      <c r="F72" s="91" t="s">
        <v>62</v>
      </c>
      <c r="G72" s="92">
        <v>0</v>
      </c>
      <c r="H72" s="91" t="s">
        <v>62</v>
      </c>
      <c r="I72" s="92">
        <v>0</v>
      </c>
      <c r="J72" s="91" t="s">
        <v>62</v>
      </c>
      <c r="K72" s="92">
        <v>0</v>
      </c>
      <c r="L72" s="75" t="s">
        <v>62</v>
      </c>
      <c r="M72" s="92">
        <v>0</v>
      </c>
      <c r="N72" s="92" t="s">
        <v>64</v>
      </c>
      <c r="O72" s="92">
        <v>0</v>
      </c>
      <c r="P72" s="92" t="s">
        <v>67</v>
      </c>
      <c r="Q72" s="92">
        <v>0.3</v>
      </c>
      <c r="R72" s="92" t="s">
        <v>72</v>
      </c>
      <c r="S72" s="92">
        <v>0</v>
      </c>
      <c r="T72" s="93">
        <f t="shared" si="75"/>
        <v>10.5</v>
      </c>
      <c r="U72" s="88">
        <f t="shared" si="76"/>
        <v>10.5</v>
      </c>
      <c r="V72" s="78">
        <f t="shared" si="77"/>
        <v>0</v>
      </c>
      <c r="W72" s="78">
        <f t="shared" si="78"/>
        <v>0</v>
      </c>
      <c r="X72" s="78">
        <f t="shared" si="79"/>
        <v>0</v>
      </c>
      <c r="Y72" s="78">
        <f t="shared" si="80"/>
        <v>0</v>
      </c>
      <c r="Z72" s="78">
        <f t="shared" si="81"/>
        <v>0</v>
      </c>
      <c r="AA72" s="78">
        <f t="shared" si="82"/>
        <v>0</v>
      </c>
      <c r="AB72" s="78">
        <f t="shared" si="83"/>
        <v>0</v>
      </c>
      <c r="AC72" s="78">
        <f t="shared" si="84"/>
        <v>0</v>
      </c>
      <c r="AD72" s="78">
        <f t="shared" si="85"/>
        <v>0</v>
      </c>
      <c r="AE72" s="78">
        <f t="shared" si="86"/>
        <v>0.3</v>
      </c>
      <c r="AF72" s="78">
        <f t="shared" si="87"/>
        <v>0</v>
      </c>
      <c r="AG72" s="75">
        <f t="shared" si="88"/>
        <v>0</v>
      </c>
      <c r="AH72" s="75">
        <f t="shared" si="10"/>
        <v>0</v>
      </c>
      <c r="AI72" s="75">
        <f t="shared" si="11"/>
        <v>0</v>
      </c>
      <c r="AJ72" s="73"/>
    </row>
    <row r="73" spans="1:36" x14ac:dyDescent="0.25">
      <c r="A73" s="73" t="s">
        <v>343</v>
      </c>
      <c r="B73" s="91" t="s">
        <v>62</v>
      </c>
      <c r="C73" s="92">
        <v>0.5</v>
      </c>
      <c r="D73" s="91" t="s">
        <v>62</v>
      </c>
      <c r="E73" s="92">
        <v>0.5</v>
      </c>
      <c r="F73" s="91" t="s">
        <v>62</v>
      </c>
      <c r="G73" s="92">
        <v>0.2</v>
      </c>
      <c r="H73" s="91" t="s">
        <v>62</v>
      </c>
      <c r="I73" s="92">
        <v>0.1</v>
      </c>
      <c r="J73" s="91" t="s">
        <v>62</v>
      </c>
      <c r="K73" s="92">
        <v>0.05</v>
      </c>
      <c r="L73" s="75" t="s">
        <v>62</v>
      </c>
      <c r="M73" s="92">
        <v>0.05</v>
      </c>
      <c r="N73" s="92" t="s">
        <v>64</v>
      </c>
      <c r="O73" s="92">
        <v>0</v>
      </c>
      <c r="P73" s="92" t="s">
        <v>67</v>
      </c>
      <c r="Q73" s="92">
        <v>0.2</v>
      </c>
      <c r="R73" s="92" t="s">
        <v>72</v>
      </c>
      <c r="S73" s="92">
        <v>0.02</v>
      </c>
      <c r="T73" s="93">
        <f t="shared" si="75"/>
        <v>8.65</v>
      </c>
      <c r="U73" s="88">
        <f t="shared" si="76"/>
        <v>24.9</v>
      </c>
      <c r="V73" s="78">
        <f t="shared" si="77"/>
        <v>0</v>
      </c>
      <c r="W73" s="78">
        <f t="shared" si="78"/>
        <v>0</v>
      </c>
      <c r="X73" s="78">
        <f t="shared" si="79"/>
        <v>0</v>
      </c>
      <c r="Y73" s="78">
        <f t="shared" si="80"/>
        <v>0</v>
      </c>
      <c r="Z73" s="78">
        <f t="shared" si="81"/>
        <v>0</v>
      </c>
      <c r="AA73" s="78">
        <f t="shared" si="82"/>
        <v>0</v>
      </c>
      <c r="AB73" s="78">
        <f t="shared" si="83"/>
        <v>0</v>
      </c>
      <c r="AC73" s="78">
        <f t="shared" si="84"/>
        <v>1.4000000000000001</v>
      </c>
      <c r="AD73" s="78">
        <f t="shared" si="85"/>
        <v>0</v>
      </c>
      <c r="AE73" s="78">
        <f t="shared" si="86"/>
        <v>0.2</v>
      </c>
      <c r="AF73" s="78">
        <f t="shared" si="87"/>
        <v>0</v>
      </c>
      <c r="AG73" s="75">
        <f t="shared" si="88"/>
        <v>0.02</v>
      </c>
      <c r="AH73" s="75">
        <f t="shared" si="10"/>
        <v>0</v>
      </c>
      <c r="AI73" s="75">
        <f t="shared" si="11"/>
        <v>0</v>
      </c>
      <c r="AJ73" s="73"/>
    </row>
    <row r="74" spans="1:36" x14ac:dyDescent="0.25">
      <c r="A74" s="73" t="s">
        <v>345</v>
      </c>
      <c r="B74" s="91" t="s">
        <v>62</v>
      </c>
      <c r="C74" s="92">
        <v>0.6</v>
      </c>
      <c r="D74" s="91" t="s">
        <v>62</v>
      </c>
      <c r="E74" s="92">
        <v>0.6</v>
      </c>
      <c r="F74" s="91" t="s">
        <v>62</v>
      </c>
      <c r="G74" s="92">
        <v>0.4</v>
      </c>
      <c r="H74" s="91" t="s">
        <v>62</v>
      </c>
      <c r="I74" s="92">
        <v>0.32</v>
      </c>
      <c r="J74" s="91" t="s">
        <v>62</v>
      </c>
      <c r="K74" s="92">
        <v>0.16</v>
      </c>
      <c r="L74" s="75" t="s">
        <v>62</v>
      </c>
      <c r="M74" s="92">
        <v>0.18</v>
      </c>
      <c r="N74" s="92" t="s">
        <v>64</v>
      </c>
      <c r="O74" s="92">
        <v>0</v>
      </c>
      <c r="P74" s="92" t="s">
        <v>67</v>
      </c>
      <c r="Q74" s="92">
        <v>0.2</v>
      </c>
      <c r="R74" s="92" t="s">
        <v>72</v>
      </c>
      <c r="S74" s="92">
        <v>0.02</v>
      </c>
      <c r="T74" s="93">
        <f t="shared" si="75"/>
        <v>11.65</v>
      </c>
      <c r="U74" s="88">
        <f t="shared" si="76"/>
        <v>35.65</v>
      </c>
      <c r="V74" s="78">
        <f t="shared" si="77"/>
        <v>0</v>
      </c>
      <c r="W74" s="78">
        <f t="shared" si="78"/>
        <v>0</v>
      </c>
      <c r="X74" s="78">
        <f t="shared" si="79"/>
        <v>0</v>
      </c>
      <c r="Y74" s="78">
        <f t="shared" si="80"/>
        <v>0</v>
      </c>
      <c r="Z74" s="78">
        <f t="shared" si="81"/>
        <v>0</v>
      </c>
      <c r="AA74" s="78">
        <f t="shared" si="82"/>
        <v>0</v>
      </c>
      <c r="AB74" s="78">
        <f t="shared" si="83"/>
        <v>0</v>
      </c>
      <c r="AC74" s="78">
        <f t="shared" si="84"/>
        <v>2.2600000000000002</v>
      </c>
      <c r="AD74" s="78">
        <f t="shared" si="85"/>
        <v>0</v>
      </c>
      <c r="AE74" s="78">
        <f t="shared" si="86"/>
        <v>0.2</v>
      </c>
      <c r="AF74" s="78">
        <f t="shared" si="87"/>
        <v>0</v>
      </c>
      <c r="AG74" s="75">
        <f t="shared" si="88"/>
        <v>0.02</v>
      </c>
      <c r="AH74" s="75">
        <f t="shared" si="10"/>
        <v>0</v>
      </c>
      <c r="AI74" s="75">
        <f t="shared" si="11"/>
        <v>0</v>
      </c>
      <c r="AJ74" s="73"/>
    </row>
    <row r="75" spans="1:36" x14ac:dyDescent="0.25">
      <c r="A75" s="73" t="s">
        <v>347</v>
      </c>
      <c r="B75" s="91" t="s">
        <v>62</v>
      </c>
      <c r="C75" s="92">
        <v>1.2</v>
      </c>
      <c r="D75" s="91" t="s">
        <v>62</v>
      </c>
      <c r="E75" s="92">
        <v>0.8</v>
      </c>
      <c r="F75" s="91" t="s">
        <v>62</v>
      </c>
      <c r="G75" s="92">
        <v>0.32</v>
      </c>
      <c r="H75" s="91" t="s">
        <v>62</v>
      </c>
      <c r="I75" s="92">
        <v>0.32</v>
      </c>
      <c r="J75" s="91" t="s">
        <v>62</v>
      </c>
      <c r="K75" s="92">
        <v>0.14000000000000001</v>
      </c>
      <c r="L75" s="75" t="s">
        <v>62</v>
      </c>
      <c r="M75" s="92">
        <v>0.23</v>
      </c>
      <c r="N75" s="92" t="s">
        <v>69</v>
      </c>
      <c r="O75" s="92">
        <v>0.12</v>
      </c>
      <c r="P75" s="92" t="s">
        <v>67</v>
      </c>
      <c r="Q75" s="92">
        <v>0.2</v>
      </c>
      <c r="R75" s="92" t="s">
        <v>72</v>
      </c>
      <c r="S75" s="92">
        <v>0.02</v>
      </c>
      <c r="T75" s="93">
        <f t="shared" si="75"/>
        <v>14.425000000000001</v>
      </c>
      <c r="U75" s="88">
        <f t="shared" si="76"/>
        <v>47.424999999999997</v>
      </c>
      <c r="V75" s="78">
        <f t="shared" si="77"/>
        <v>0</v>
      </c>
      <c r="W75" s="78">
        <f t="shared" si="78"/>
        <v>0</v>
      </c>
      <c r="X75" s="78">
        <f t="shared" si="79"/>
        <v>0</v>
      </c>
      <c r="Y75" s="78">
        <f t="shared" si="80"/>
        <v>0</v>
      </c>
      <c r="Z75" s="78">
        <f t="shared" si="81"/>
        <v>0</v>
      </c>
      <c r="AA75" s="78">
        <f t="shared" si="82"/>
        <v>0</v>
      </c>
      <c r="AB75" s="78">
        <f t="shared" si="83"/>
        <v>0</v>
      </c>
      <c r="AC75" s="78">
        <f t="shared" si="84"/>
        <v>3.01</v>
      </c>
      <c r="AD75" s="78">
        <f t="shared" si="85"/>
        <v>0</v>
      </c>
      <c r="AE75" s="78">
        <f t="shared" si="86"/>
        <v>0.2</v>
      </c>
      <c r="AF75" s="78">
        <f t="shared" si="87"/>
        <v>0.12</v>
      </c>
      <c r="AG75" s="75">
        <f t="shared" si="88"/>
        <v>0.02</v>
      </c>
      <c r="AH75" s="75">
        <f t="shared" si="10"/>
        <v>0</v>
      </c>
      <c r="AI75" s="75">
        <f t="shared" si="11"/>
        <v>0</v>
      </c>
      <c r="AJ75" s="73"/>
    </row>
    <row r="76" spans="1:36" x14ac:dyDescent="0.25">
      <c r="A76" s="73" t="s">
        <v>349</v>
      </c>
      <c r="B76" s="91" t="s">
        <v>62</v>
      </c>
      <c r="C76" s="92">
        <v>1.2</v>
      </c>
      <c r="D76" s="91" t="s">
        <v>62</v>
      </c>
      <c r="E76" s="92">
        <v>0.8</v>
      </c>
      <c r="F76" s="91" t="s">
        <v>62</v>
      </c>
      <c r="G76" s="92">
        <v>0.32</v>
      </c>
      <c r="H76" s="91" t="s">
        <v>62</v>
      </c>
      <c r="I76" s="92">
        <v>0.32</v>
      </c>
      <c r="J76" s="91" t="s">
        <v>62</v>
      </c>
      <c r="K76" s="92">
        <v>0.14000000000000001</v>
      </c>
      <c r="L76" s="75" t="s">
        <v>62</v>
      </c>
      <c r="M76" s="92">
        <v>0.23</v>
      </c>
      <c r="N76" s="92" t="s">
        <v>64</v>
      </c>
      <c r="O76" s="92">
        <v>0</v>
      </c>
      <c r="P76" s="92" t="s">
        <v>67</v>
      </c>
      <c r="Q76" s="92">
        <v>1</v>
      </c>
      <c r="R76" s="92" t="s">
        <v>72</v>
      </c>
      <c r="S76" s="92">
        <v>0.02</v>
      </c>
      <c r="T76" s="93">
        <f t="shared" si="75"/>
        <v>40.024999999999999</v>
      </c>
      <c r="U76" s="88">
        <f t="shared" si="76"/>
        <v>73.025000000000006</v>
      </c>
      <c r="V76" s="78">
        <f t="shared" si="77"/>
        <v>0</v>
      </c>
      <c r="W76" s="78">
        <f t="shared" si="78"/>
        <v>0</v>
      </c>
      <c r="X76" s="78">
        <f t="shared" si="79"/>
        <v>0</v>
      </c>
      <c r="Y76" s="78">
        <f t="shared" si="80"/>
        <v>0</v>
      </c>
      <c r="Z76" s="78">
        <f t="shared" si="81"/>
        <v>0</v>
      </c>
      <c r="AA76" s="78">
        <f t="shared" si="82"/>
        <v>0</v>
      </c>
      <c r="AB76" s="78">
        <f t="shared" si="83"/>
        <v>0</v>
      </c>
      <c r="AC76" s="78">
        <f t="shared" si="84"/>
        <v>3.01</v>
      </c>
      <c r="AD76" s="78">
        <f t="shared" si="85"/>
        <v>0</v>
      </c>
      <c r="AE76" s="78">
        <f t="shared" si="86"/>
        <v>1</v>
      </c>
      <c r="AF76" s="78">
        <f t="shared" si="87"/>
        <v>0</v>
      </c>
      <c r="AG76" s="75">
        <f t="shared" si="88"/>
        <v>0.02</v>
      </c>
      <c r="AH76" s="75">
        <f t="shared" si="10"/>
        <v>0</v>
      </c>
      <c r="AI76" s="75">
        <f t="shared" si="11"/>
        <v>0</v>
      </c>
      <c r="AJ76" s="73"/>
    </row>
    <row r="77" spans="1:36" x14ac:dyDescent="0.25">
      <c r="A77" s="73" t="s">
        <v>351</v>
      </c>
      <c r="B77" s="91" t="s">
        <v>62</v>
      </c>
      <c r="C77" s="92">
        <v>1.2</v>
      </c>
      <c r="D77" s="91" t="s">
        <v>62</v>
      </c>
      <c r="E77" s="92">
        <v>0.8</v>
      </c>
      <c r="F77" s="91" t="s">
        <v>62</v>
      </c>
      <c r="G77" s="92">
        <v>0.32</v>
      </c>
      <c r="H77" s="91" t="s">
        <v>62</v>
      </c>
      <c r="I77" s="92">
        <v>0.32</v>
      </c>
      <c r="J77" s="91" t="s">
        <v>62</v>
      </c>
      <c r="K77" s="92">
        <v>0.14000000000000001</v>
      </c>
      <c r="L77" s="75" t="s">
        <v>62</v>
      </c>
      <c r="M77" s="92">
        <v>0.23</v>
      </c>
      <c r="N77" s="92" t="s">
        <v>64</v>
      </c>
      <c r="O77" s="92">
        <v>0</v>
      </c>
      <c r="P77" s="92" t="s">
        <v>67</v>
      </c>
      <c r="Q77" s="92">
        <v>1</v>
      </c>
      <c r="R77" s="92" t="s">
        <v>72</v>
      </c>
      <c r="S77" s="92">
        <v>0.02</v>
      </c>
      <c r="T77" s="93">
        <f t="shared" si="75"/>
        <v>40.024999999999999</v>
      </c>
      <c r="U77" s="88">
        <f t="shared" si="76"/>
        <v>73.025000000000006</v>
      </c>
      <c r="V77" s="78">
        <f t="shared" si="77"/>
        <v>0</v>
      </c>
      <c r="W77" s="78">
        <f t="shared" si="78"/>
        <v>0</v>
      </c>
      <c r="X77" s="78">
        <f t="shared" si="79"/>
        <v>0</v>
      </c>
      <c r="Y77" s="78">
        <f t="shared" si="80"/>
        <v>0</v>
      </c>
      <c r="Z77" s="78">
        <f t="shared" si="81"/>
        <v>0</v>
      </c>
      <c r="AA77" s="78">
        <f t="shared" si="82"/>
        <v>0</v>
      </c>
      <c r="AB77" s="78">
        <f t="shared" si="83"/>
        <v>0</v>
      </c>
      <c r="AC77" s="78">
        <f t="shared" si="84"/>
        <v>3.01</v>
      </c>
      <c r="AD77" s="78">
        <f t="shared" si="85"/>
        <v>0</v>
      </c>
      <c r="AE77" s="78">
        <f t="shared" si="86"/>
        <v>1</v>
      </c>
      <c r="AF77" s="78">
        <f t="shared" si="87"/>
        <v>0</v>
      </c>
      <c r="AG77" s="75">
        <f t="shared" si="88"/>
        <v>0.02</v>
      </c>
      <c r="AH77" s="75">
        <f t="shared" si="10"/>
        <v>0</v>
      </c>
      <c r="AI77" s="75">
        <f t="shared" si="11"/>
        <v>0</v>
      </c>
      <c r="AJ77" s="73"/>
    </row>
    <row r="78" spans="1:36" x14ac:dyDescent="0.25">
      <c r="A78" s="73" t="s">
        <v>353</v>
      </c>
      <c r="B78" s="91" t="s">
        <v>62</v>
      </c>
      <c r="C78" s="92">
        <v>3.3</v>
      </c>
      <c r="D78" s="91" t="s">
        <v>62</v>
      </c>
      <c r="E78" s="92">
        <v>1</v>
      </c>
      <c r="F78" s="91" t="s">
        <v>62</v>
      </c>
      <c r="G78" s="92">
        <v>1</v>
      </c>
      <c r="H78" s="91" t="s">
        <v>62</v>
      </c>
      <c r="I78" s="92">
        <v>0.55000000000000004</v>
      </c>
      <c r="J78" s="91" t="s">
        <v>62</v>
      </c>
      <c r="K78" s="92">
        <v>0.37</v>
      </c>
      <c r="L78" s="75" t="s">
        <v>62</v>
      </c>
      <c r="M78" s="92">
        <v>0.37</v>
      </c>
      <c r="N78" s="92" t="s">
        <v>64</v>
      </c>
      <c r="O78" s="92">
        <v>0</v>
      </c>
      <c r="P78" s="92" t="s">
        <v>67</v>
      </c>
      <c r="Q78" s="92">
        <v>1</v>
      </c>
      <c r="R78" s="92" t="s">
        <v>72</v>
      </c>
      <c r="S78" s="92">
        <v>0.02</v>
      </c>
      <c r="T78" s="93">
        <f t="shared" si="75"/>
        <v>44.65</v>
      </c>
      <c r="U78" s="88">
        <f t="shared" si="76"/>
        <v>117.77500000000001</v>
      </c>
      <c r="V78" s="78">
        <f t="shared" si="77"/>
        <v>0</v>
      </c>
      <c r="W78" s="78">
        <f t="shared" si="78"/>
        <v>0</v>
      </c>
      <c r="X78" s="78">
        <f t="shared" si="79"/>
        <v>0</v>
      </c>
      <c r="Y78" s="78">
        <f t="shared" si="80"/>
        <v>0</v>
      </c>
      <c r="Z78" s="78">
        <f t="shared" si="81"/>
        <v>0</v>
      </c>
      <c r="AA78" s="78">
        <f t="shared" si="82"/>
        <v>0</v>
      </c>
      <c r="AB78" s="78">
        <f t="shared" si="83"/>
        <v>0</v>
      </c>
      <c r="AC78" s="78">
        <f t="shared" si="84"/>
        <v>6.59</v>
      </c>
      <c r="AD78" s="78">
        <f t="shared" si="85"/>
        <v>0</v>
      </c>
      <c r="AE78" s="78">
        <f t="shared" si="86"/>
        <v>1</v>
      </c>
      <c r="AF78" s="78">
        <f t="shared" si="87"/>
        <v>0</v>
      </c>
      <c r="AG78" s="75">
        <f t="shared" si="88"/>
        <v>0.02</v>
      </c>
      <c r="AH78" s="75">
        <f t="shared" si="10"/>
        <v>0</v>
      </c>
      <c r="AI78" s="75">
        <f t="shared" si="11"/>
        <v>0</v>
      </c>
      <c r="AJ78" s="73"/>
    </row>
    <row r="79" spans="1:36" x14ac:dyDescent="0.25">
      <c r="A79" s="73" t="s">
        <v>356</v>
      </c>
      <c r="B79" s="91" t="s">
        <v>62</v>
      </c>
      <c r="C79" s="92">
        <v>3.3</v>
      </c>
      <c r="D79" s="91" t="s">
        <v>62</v>
      </c>
      <c r="E79" s="92">
        <v>1</v>
      </c>
      <c r="F79" s="91" t="s">
        <v>62</v>
      </c>
      <c r="G79" s="92">
        <v>1</v>
      </c>
      <c r="H79" s="91" t="s">
        <v>62</v>
      </c>
      <c r="I79" s="92">
        <v>0.55000000000000004</v>
      </c>
      <c r="J79" s="91" t="s">
        <v>62</v>
      </c>
      <c r="K79" s="92">
        <v>0.37</v>
      </c>
      <c r="L79" s="75" t="s">
        <v>62</v>
      </c>
      <c r="M79" s="92">
        <v>0.37</v>
      </c>
      <c r="N79" s="92" t="s">
        <v>64</v>
      </c>
      <c r="O79" s="92">
        <v>0</v>
      </c>
      <c r="P79" s="92" t="s">
        <v>67</v>
      </c>
      <c r="Q79" s="92">
        <v>1</v>
      </c>
      <c r="R79" s="92" t="s">
        <v>72</v>
      </c>
      <c r="S79" s="92">
        <v>0.02</v>
      </c>
      <c r="T79" s="93">
        <f t="shared" si="75"/>
        <v>44.65</v>
      </c>
      <c r="U79" s="88">
        <f t="shared" si="76"/>
        <v>117.77500000000001</v>
      </c>
      <c r="V79" s="78">
        <f t="shared" si="77"/>
        <v>0</v>
      </c>
      <c r="W79" s="78">
        <f t="shared" si="78"/>
        <v>0</v>
      </c>
      <c r="X79" s="78">
        <f t="shared" si="79"/>
        <v>0</v>
      </c>
      <c r="Y79" s="78">
        <f t="shared" si="80"/>
        <v>0</v>
      </c>
      <c r="Z79" s="78">
        <f t="shared" si="81"/>
        <v>0</v>
      </c>
      <c r="AA79" s="78">
        <f t="shared" si="82"/>
        <v>0</v>
      </c>
      <c r="AB79" s="78">
        <f t="shared" si="83"/>
        <v>0</v>
      </c>
      <c r="AC79" s="78">
        <f t="shared" si="84"/>
        <v>6.59</v>
      </c>
      <c r="AD79" s="78">
        <f t="shared" si="85"/>
        <v>0</v>
      </c>
      <c r="AE79" s="78">
        <f t="shared" si="86"/>
        <v>1</v>
      </c>
      <c r="AF79" s="78">
        <f t="shared" si="87"/>
        <v>0</v>
      </c>
      <c r="AG79" s="75">
        <f t="shared" si="88"/>
        <v>0.02</v>
      </c>
      <c r="AH79" s="75">
        <f t="shared" si="10"/>
        <v>0</v>
      </c>
      <c r="AI79" s="75">
        <f t="shared" si="11"/>
        <v>0</v>
      </c>
      <c r="AJ79" s="73"/>
    </row>
    <row r="80" spans="1:36" x14ac:dyDescent="0.25">
      <c r="A80" s="73" t="s">
        <v>358</v>
      </c>
      <c r="B80" s="91" t="s">
        <v>62</v>
      </c>
      <c r="C80" s="92">
        <v>3.3</v>
      </c>
      <c r="D80" s="91" t="s">
        <v>62</v>
      </c>
      <c r="E80" s="92">
        <v>1</v>
      </c>
      <c r="F80" s="91" t="s">
        <v>62</v>
      </c>
      <c r="G80" s="92">
        <v>1</v>
      </c>
      <c r="H80" s="91" t="s">
        <v>62</v>
      </c>
      <c r="I80" s="92">
        <v>0.55000000000000004</v>
      </c>
      <c r="J80" s="91" t="s">
        <v>62</v>
      </c>
      <c r="K80" s="289">
        <v>0.75</v>
      </c>
      <c r="L80" s="290"/>
      <c r="M80" s="291"/>
      <c r="N80" s="92" t="s">
        <v>64</v>
      </c>
      <c r="O80" s="92">
        <v>0</v>
      </c>
      <c r="P80" s="92" t="s">
        <v>67</v>
      </c>
      <c r="Q80" s="92">
        <v>1</v>
      </c>
      <c r="R80" s="92" t="s">
        <v>72</v>
      </c>
      <c r="S80" s="92">
        <v>0.02</v>
      </c>
      <c r="T80" s="93">
        <f>(VLOOKUP(J80,AL$4:AN$17,3)*K80)+(VLOOKUP(N80,AL$4:AN$17,3)*O80)+(VLOOKUP(P80,AL$4:AN$17,3)*Q80)+(VLOOKUP(R80,AL$4:AN$17,3)*S80)</f>
        <v>44.774999999999999</v>
      </c>
      <c r="U80" s="93">
        <f>(VLOOKUP(B80,AL$4:AN$17,3)*C80)+(VLOOKUP(D80,AL$4:AN$17,3)*E80)+(VLOOKUP(F80,AL$4:AN$17,3)*G80)+(VLOOKUP(H80,AL$4:AN$17,3)*I80)+(VLOOKUP(J80,AL$4:AN$17,3)*K80)+(VLOOKUP(N80,AL$4:AN$17,3)*O80)+(VLOOKUP(P80,AL$4:AN$17,3)*Q80)+(VLOOKUP(R80,AL$4:AN$17,3)*S80)</f>
        <v>117.9</v>
      </c>
      <c r="V80" s="78">
        <f t="shared" ref="V80" si="89">IF(B80="A",C80,0)+IF(D80="A",E80,0)+IF(F80="A",G80,0)+IF(H80="A",I80,0)+IF(J80="A",K80,0)+IF(L80="A",M80,0)+IF(N80="A",O80,0)+IF(P80="A",Q80,0)+IF(R80="A",S80,0)</f>
        <v>0</v>
      </c>
      <c r="W80" s="78">
        <f t="shared" ref="W80" si="90">IF(B80="B",C80,0)+IF(D80="B",E80,0)+IF(F80="B",G80,0)+IF(H80="B",I80,0)+IF(J80="B",K80,0)+IF(L80="B",M80,0)+IF(N80="B",O80,0)+IF(P80="B",Q80,0)+IF(R80="B",S80,0)</f>
        <v>0</v>
      </c>
      <c r="X80" s="78">
        <f t="shared" ref="X80" si="91">IF(B80="C",C80,0)+IF(D80="C",E80,0)+IF(F80="C",G80,0)+IF(H80="C",I80,0)+IF(J80="C",K80,0)+IF(L80="C",M80,0)+IF(N80="C",O80,0)+IF(P80="C",Q80,0)+IF(R80="C",S80,0)</f>
        <v>0</v>
      </c>
      <c r="Y80" s="78">
        <f t="shared" ref="Y80" si="92">IF(B80="D",C80,0)+IF(D80="D",E80,0)+IF(F80="D",G80,0)+IF(H80="D",I80,0)+IF(J80="D",K80,0)+IF(L80="D",M80,0)+IF(N80="D",O80,0)+IF(P80="D",Q80,0)+IF(R80="D",S80,0)</f>
        <v>0</v>
      </c>
      <c r="Z80" s="78">
        <f t="shared" ref="Z80" si="93">IF(B80="E",C80,0)+IF(D80="E",E80,0)+IF(F80="E",G80,0)+IF(H80="E",I80,0)+IF(J80="E",K80,0)+IF(L80="E",M80,0)+IF(N80="E",O80,0)+IF(P80="E",Q80,0)+IF(R80="E",S80,0)</f>
        <v>0</v>
      </c>
      <c r="AA80" s="78">
        <f t="shared" ref="AA80" si="94">IF(B80="F",C80,0)+IF(D80="F",E80,0)+IF(F80="F",G80,0)+IF(H80="F",I80,0)+IF(J80="F",K80,0)+IF(L80="F",M80,0)+IF(N80="F",O80,0)+IF(P80="F",Q80,0)+IF(R80="F",S80,0)</f>
        <v>0</v>
      </c>
      <c r="AB80" s="78">
        <f t="shared" ref="AB80" si="95">IF(B80="G",C80,0)+IF(D80="G",E80,0)+IF(F80="G",G80,0)+IF(H80="G",I80,0)+IF(J80="G",K80,0)+IF(L80="G",M80,0)+IF(N80="G",O80,0)+IF(P80="G",Q80,0)+IF(R80="G",S80,0)</f>
        <v>0</v>
      </c>
      <c r="AC80" s="78">
        <f t="shared" ref="AC80" si="96">IF(B80="H",C80,0)+IF(D80="H",E80,0)+IF(F80="H",G80,0)+IF(H80="H",I80,0)+IF(J80="H",K80,0)+IF(L80="H",M80,0)+IF(N80="H",O80,0)+IF(P80="H",Q80,0)+IF(R80="H",S80,0)</f>
        <v>6.6</v>
      </c>
      <c r="AD80" s="78">
        <f t="shared" ref="AD80" si="97">IF(B80="I",C80,0)+IF(D80="I",E80,0)+IF(F80="I",G80,0)+IF(H80="I",I80,0)+IF(J80="I",K80,0)+IF(L80="I",M80,0)+IF(N80="I",O80,0)+IF(P80="I",Q80,0)+IF(R80="I",S80,0)</f>
        <v>0</v>
      </c>
      <c r="AE80" s="78">
        <f t="shared" ref="AE80" si="98">IF(B80="J",C80,0)+IF(D80="J",E80,0)+IF(F80="J",G80,0)+IF(H80="J",I80,0)+IF(J80="J",K80,0)+IF(L80="J",M80,0)+IF(N80="J",O80,0)+IF(P80="J",Q80,0)+IF(R80="J",S80,0)</f>
        <v>1</v>
      </c>
      <c r="AF80" s="78">
        <f t="shared" ref="AF80" si="99">IF(B80="K",C80,0)+IF(D80="K",E80,0)+IF(F80="K",G80,0)+IF(H80="K",I80,0)+IF(J80="K",K80,0)+IF(L80="K",M80,0)+IF(N80="K",O80,0)+IF(P80="K",Q80,0)+IF(R80="K",S80,0)</f>
        <v>0</v>
      </c>
      <c r="AG80" s="75">
        <f t="shared" ref="AG80" si="100">IF(B80="L",C80,0)+IF(D80="L",E80,0)+IF(F80="L",G80,0)+IF(H80="L",I80,0)+IF(J80="L",K80,0)+IF(L80="L",M80,0)+IF(N80="L",O80,0)+IF(P80="L",Q80,0)+IF(R80="L",S80,0)</f>
        <v>0.02</v>
      </c>
      <c r="AH80" s="75">
        <f t="shared" ref="AH80" si="101">IF(B80="M",C80,0)+IF(D80="M",E80,0)+IF(F80="M",G80,0)+IF(H80="M",I80,0)+IF(J80="M",K80,0)+IF(N80="M",O80,0)+IF(P80="M",Q80,0)+IF(R80="M",S80,0)</f>
        <v>0</v>
      </c>
      <c r="AI80" s="75">
        <f t="shared" ref="AI80" si="102">IF(B80="N",C80,0)+IF(D80="N",E80,0)+IF(F80="N",G80,0)+IF(H80="N",I80,0)+IF(J80="N",K80,0)+IF(N80="N",O80,0)+IF(P80="N",Q80,0)+IF(R80="N",S80,0)</f>
        <v>0</v>
      </c>
      <c r="AJ80" s="73"/>
    </row>
    <row r="81" spans="1:36" x14ac:dyDescent="0.25">
      <c r="A81" s="73" t="s">
        <v>361</v>
      </c>
      <c r="B81" s="91" t="s">
        <v>62</v>
      </c>
      <c r="C81" s="92">
        <v>6.7</v>
      </c>
      <c r="D81" s="91" t="s">
        <v>62</v>
      </c>
      <c r="E81" s="92">
        <v>3</v>
      </c>
      <c r="F81" s="91" t="s">
        <v>62</v>
      </c>
      <c r="G81" s="92">
        <v>1</v>
      </c>
      <c r="H81" s="91" t="s">
        <v>62</v>
      </c>
      <c r="I81" s="92">
        <v>1</v>
      </c>
      <c r="J81" s="91" t="s">
        <v>62</v>
      </c>
      <c r="K81" s="92">
        <v>0.75</v>
      </c>
      <c r="L81" s="75" t="s">
        <v>62</v>
      </c>
      <c r="M81" s="92">
        <v>0.75</v>
      </c>
      <c r="N81" s="92" t="s">
        <v>64</v>
      </c>
      <c r="O81" s="92">
        <v>0.01</v>
      </c>
      <c r="P81" s="92" t="s">
        <v>67</v>
      </c>
      <c r="Q81" s="92">
        <v>1</v>
      </c>
      <c r="R81" s="92" t="s">
        <v>69</v>
      </c>
      <c r="S81" s="92">
        <v>0.02</v>
      </c>
      <c r="T81" s="93">
        <f t="shared" ref="T81:T96" si="103">(VLOOKUP(J81,AL$4:AN$17,3)*K81)+(VLOOKUP(L81,AL$4:AN$17,3)*M81)+(VLOOKUP(N81,AL$4:AN$17,3)*O81)+(VLOOKUP(P81,AL$4:AN$17,3)*Q81)+(VLOOKUP(R81,AL$4:AN$17,3)*S81)</f>
        <v>54.25</v>
      </c>
      <c r="U81" s="88">
        <f t="shared" ref="U81:U96" si="104">(VLOOKUP(B81,AL$4:AN$16,3)*C81)+(VLOOKUP(D81,AL$4:AN$16,3)*E81)+(VLOOKUP(F81,AL$4:AN$16,3)*G81)+(VLOOKUP(H81,AL$4:AN$16,3)*I81)+(VLOOKUP(J81,AL$4:AN$17,3)*K81)+(VLOOKUP(L81,AL$4:AN$17,3)*M81)+(VLOOKUP(N81,AL$4:AN$17,3)*O81)+(VLOOKUP(P81,AL$4:AN$17,3)*Q81)+(VLOOKUP(R81,AL$4:AN$17,3)*S81)</f>
        <v>200.5</v>
      </c>
      <c r="V81" s="78">
        <f t="shared" ref="V81:V94" si="105">IF(B81="A",C81,0)+IF(D81="A",E81,0)+IF(F81="A",G81,0)+IF(H81="A",I81,0)+IF(J81="A",K81,0)+IF(L81="A",M81,0)+IF(N81="A",O81,0)+IF(P81="A",Q81,0)+IF(R81="A",S81,0)</f>
        <v>0</v>
      </c>
      <c r="W81" s="78">
        <f t="shared" ref="W81:W94" si="106">IF(B81="B",C81,0)+IF(D81="B",E81,0)+IF(F81="B",G81,0)+IF(H81="B",I81,0)+IF(J81="B",K81,0)+IF(L81="B",M81,0)+IF(N81="B",O81,0)+IF(P81="B",Q81,0)+IF(R81="B",S81,0)</f>
        <v>0</v>
      </c>
      <c r="X81" s="78">
        <f t="shared" ref="X81:X94" si="107">IF(B81="C",C81,0)+IF(D81="C",E81,0)+IF(F81="C",G81,0)+IF(H81="C",I81,0)+IF(J81="C",K81,0)+IF(L81="C",M81,0)+IF(N81="C",O81,0)+IF(P81="C",Q81,0)+IF(R81="C",S81,0)</f>
        <v>0</v>
      </c>
      <c r="Y81" s="78">
        <f t="shared" ref="Y81:Y94" si="108">IF(B81="D",C81,0)+IF(D81="D",E81,0)+IF(F81="D",G81,0)+IF(H81="D",I81,0)+IF(J81="D",K81,0)+IF(L81="D",M81,0)+IF(N81="D",O81,0)+IF(P81="D",Q81,0)+IF(R81="D",S81,0)</f>
        <v>0</v>
      </c>
      <c r="Z81" s="78">
        <f t="shared" ref="Z81:Z94" si="109">IF(B81="E",C81,0)+IF(D81="E",E81,0)+IF(F81="E",G81,0)+IF(H81="E",I81,0)+IF(J81="E",K81,0)+IF(L81="E",M81,0)+IF(N81="E",O81,0)+IF(P81="E",Q81,0)+IF(R81="E",S81,0)</f>
        <v>0</v>
      </c>
      <c r="AA81" s="78">
        <f t="shared" ref="AA81:AA94" si="110">IF(B81="F",C81,0)+IF(D81="F",E81,0)+IF(F81="F",G81,0)+IF(H81="F",I81,0)+IF(J81="F",K81,0)+IF(L81="F",M81,0)+IF(N81="F",O81,0)+IF(P81="F",Q81,0)+IF(R81="F",S81,0)</f>
        <v>0</v>
      </c>
      <c r="AB81" s="78">
        <f t="shared" ref="AB81:AB94" si="111">IF(B81="G",C81,0)+IF(D81="G",E81,0)+IF(F81="G",G81,0)+IF(H81="G",I81,0)+IF(J81="G",K81,0)+IF(L81="G",M81,0)+IF(N81="G",O81,0)+IF(P81="G",Q81,0)+IF(R81="G",S81,0)</f>
        <v>0</v>
      </c>
      <c r="AC81" s="78">
        <f t="shared" ref="AC81:AC94" si="112">IF(B81="H",C81,0)+IF(D81="H",E81,0)+IF(F81="H",G81,0)+IF(H81="H",I81,0)+IF(J81="H",K81,0)+IF(L81="H",M81,0)+IF(N81="H",O81,0)+IF(P81="H",Q81,0)+IF(R81="H",S81,0)</f>
        <v>13.2</v>
      </c>
      <c r="AD81" s="78">
        <f t="shared" ref="AD81:AD94" si="113">IF(B81="I",C81,0)+IF(D81="I",E81,0)+IF(F81="I",G81,0)+IF(H81="I",I81,0)+IF(J81="I",K81,0)+IF(L81="I",M81,0)+IF(N81="I",O81,0)+IF(P81="I",Q81,0)+IF(R81="I",S81,0)</f>
        <v>0.01</v>
      </c>
      <c r="AE81" s="78">
        <f t="shared" ref="AE81:AE94" si="114">IF(B81="J",C81,0)+IF(D81="J",E81,0)+IF(F81="J",G81,0)+IF(H81="J",I81,0)+IF(J81="J",K81,0)+IF(L81="J",M81,0)+IF(N81="J",O81,0)+IF(P81="J",Q81,0)+IF(R81="J",S81,0)</f>
        <v>1</v>
      </c>
      <c r="AF81" s="78">
        <f t="shared" ref="AF81:AF94" si="115">IF(B81="K",C81,0)+IF(D81="K",E81,0)+IF(F81="K",G81,0)+IF(H81="K",I81,0)+IF(J81="K",K81,0)+IF(L81="K",M81,0)+IF(N81="K",O81,0)+IF(P81="K",Q81,0)+IF(R81="K",S81,0)</f>
        <v>0.02</v>
      </c>
      <c r="AG81" s="75">
        <f t="shared" si="28"/>
        <v>0</v>
      </c>
      <c r="AH81" s="75">
        <f t="shared" si="10"/>
        <v>0</v>
      </c>
      <c r="AI81" s="75">
        <f t="shared" si="11"/>
        <v>0</v>
      </c>
      <c r="AJ81" s="73"/>
    </row>
    <row r="82" spans="1:36" x14ac:dyDescent="0.25">
      <c r="A82" s="73" t="s">
        <v>367</v>
      </c>
      <c r="B82" s="91" t="s">
        <v>62</v>
      </c>
      <c r="C82" s="92">
        <v>7.1</v>
      </c>
      <c r="D82" s="91" t="s">
        <v>62</v>
      </c>
      <c r="E82" s="92">
        <v>3</v>
      </c>
      <c r="F82" s="91" t="s">
        <v>62</v>
      </c>
      <c r="G82" s="92">
        <v>1.9</v>
      </c>
      <c r="H82" s="91" t="s">
        <v>62</v>
      </c>
      <c r="I82" s="92">
        <v>2.8</v>
      </c>
      <c r="J82" s="91" t="s">
        <v>62</v>
      </c>
      <c r="K82" s="92">
        <v>1.8</v>
      </c>
      <c r="L82" s="75" t="s">
        <v>62</v>
      </c>
      <c r="M82" s="92">
        <v>3</v>
      </c>
      <c r="N82" s="92" t="s">
        <v>64</v>
      </c>
      <c r="O82" s="92">
        <v>0.02</v>
      </c>
      <c r="P82" s="92" t="s">
        <v>67</v>
      </c>
      <c r="Q82" s="92">
        <v>1</v>
      </c>
      <c r="R82" s="92" t="s">
        <v>69</v>
      </c>
      <c r="S82" s="92">
        <v>0.02</v>
      </c>
      <c r="T82" s="93">
        <f t="shared" si="103"/>
        <v>95.600000000000009</v>
      </c>
      <c r="U82" s="88">
        <f t="shared" si="104"/>
        <v>280.59999999999997</v>
      </c>
      <c r="V82" s="78">
        <f t="shared" si="105"/>
        <v>0</v>
      </c>
      <c r="W82" s="78">
        <f t="shared" si="106"/>
        <v>0</v>
      </c>
      <c r="X82" s="78">
        <f t="shared" si="107"/>
        <v>0</v>
      </c>
      <c r="Y82" s="78">
        <f t="shared" si="108"/>
        <v>0</v>
      </c>
      <c r="Z82" s="78">
        <f t="shared" si="109"/>
        <v>0</v>
      </c>
      <c r="AA82" s="78">
        <f t="shared" si="110"/>
        <v>0</v>
      </c>
      <c r="AB82" s="78">
        <f t="shared" si="111"/>
        <v>0</v>
      </c>
      <c r="AC82" s="78">
        <f t="shared" si="112"/>
        <v>19.600000000000001</v>
      </c>
      <c r="AD82" s="78">
        <f t="shared" si="113"/>
        <v>0.02</v>
      </c>
      <c r="AE82" s="78">
        <f t="shared" si="114"/>
        <v>1</v>
      </c>
      <c r="AF82" s="78">
        <f t="shared" si="115"/>
        <v>0.02</v>
      </c>
      <c r="AG82" s="75">
        <f t="shared" si="28"/>
        <v>0</v>
      </c>
      <c r="AH82" s="75">
        <f t="shared" si="10"/>
        <v>0</v>
      </c>
      <c r="AI82" s="75">
        <f t="shared" si="11"/>
        <v>0</v>
      </c>
      <c r="AJ82" s="73"/>
    </row>
    <row r="83" spans="1:36" x14ac:dyDescent="0.25">
      <c r="A83" s="73" t="s">
        <v>363</v>
      </c>
      <c r="B83" s="91" t="s">
        <v>62</v>
      </c>
      <c r="C83" s="92">
        <v>5.7</v>
      </c>
      <c r="D83" s="91" t="s">
        <v>62</v>
      </c>
      <c r="E83" s="92">
        <v>2.4</v>
      </c>
      <c r="F83" s="91" t="s">
        <v>62</v>
      </c>
      <c r="G83" s="92">
        <v>1.4</v>
      </c>
      <c r="H83" s="91" t="s">
        <v>62</v>
      </c>
      <c r="I83" s="92">
        <v>2.1</v>
      </c>
      <c r="J83" s="91" t="s">
        <v>62</v>
      </c>
      <c r="K83" s="92">
        <v>0.7</v>
      </c>
      <c r="L83" s="75" t="s">
        <v>62</v>
      </c>
      <c r="M83" s="92">
        <v>0.7</v>
      </c>
      <c r="N83" s="92" t="s">
        <v>64</v>
      </c>
      <c r="O83" s="92">
        <v>0.02</v>
      </c>
      <c r="P83" s="92" t="s">
        <v>67</v>
      </c>
      <c r="Q83" s="92">
        <v>0</v>
      </c>
      <c r="R83" s="92" t="s">
        <v>69</v>
      </c>
      <c r="S83" s="92">
        <v>0.02</v>
      </c>
      <c r="T83" s="93">
        <f t="shared" si="103"/>
        <v>18.099999999999998</v>
      </c>
      <c r="U83" s="88">
        <f t="shared" si="104"/>
        <v>163.1</v>
      </c>
      <c r="V83" s="78">
        <f t="shared" si="105"/>
        <v>0</v>
      </c>
      <c r="W83" s="78">
        <f t="shared" si="106"/>
        <v>0</v>
      </c>
      <c r="X83" s="78">
        <f t="shared" si="107"/>
        <v>0</v>
      </c>
      <c r="Y83" s="78">
        <f t="shared" si="108"/>
        <v>0</v>
      </c>
      <c r="Z83" s="78">
        <f t="shared" si="109"/>
        <v>0</v>
      </c>
      <c r="AA83" s="78">
        <f t="shared" si="110"/>
        <v>0</v>
      </c>
      <c r="AB83" s="78">
        <f t="shared" si="111"/>
        <v>0</v>
      </c>
      <c r="AC83" s="78">
        <f t="shared" si="112"/>
        <v>12.999999999999998</v>
      </c>
      <c r="AD83" s="78">
        <f t="shared" si="113"/>
        <v>0.02</v>
      </c>
      <c r="AE83" s="78">
        <f t="shared" si="114"/>
        <v>0</v>
      </c>
      <c r="AF83" s="78">
        <f t="shared" si="115"/>
        <v>0.02</v>
      </c>
      <c r="AG83" s="75">
        <f t="shared" si="28"/>
        <v>0</v>
      </c>
      <c r="AH83" s="75">
        <f t="shared" si="10"/>
        <v>0</v>
      </c>
      <c r="AI83" s="75">
        <f t="shared" si="11"/>
        <v>0</v>
      </c>
      <c r="AJ83" s="73"/>
    </row>
    <row r="84" spans="1:36" x14ac:dyDescent="0.25">
      <c r="A84" s="73" t="s">
        <v>365</v>
      </c>
      <c r="B84" s="91" t="s">
        <v>62</v>
      </c>
      <c r="C84" s="92">
        <v>6.5</v>
      </c>
      <c r="D84" s="91" t="s">
        <v>62</v>
      </c>
      <c r="E84" s="92">
        <v>2.7</v>
      </c>
      <c r="F84" s="91" t="s">
        <v>62</v>
      </c>
      <c r="G84" s="92">
        <v>1.8</v>
      </c>
      <c r="H84" s="91" t="s">
        <v>62</v>
      </c>
      <c r="I84" s="92">
        <v>2.1</v>
      </c>
      <c r="J84" s="91" t="s">
        <v>62</v>
      </c>
      <c r="K84" s="92">
        <v>0.9</v>
      </c>
      <c r="L84" s="75" t="s">
        <v>62</v>
      </c>
      <c r="M84" s="92">
        <v>1</v>
      </c>
      <c r="N84" s="92" t="s">
        <v>64</v>
      </c>
      <c r="O84" s="92">
        <v>0.02</v>
      </c>
      <c r="P84" s="92" t="s">
        <v>67</v>
      </c>
      <c r="Q84" s="92">
        <v>0.2</v>
      </c>
      <c r="R84" s="92" t="s">
        <v>69</v>
      </c>
      <c r="S84" s="92">
        <v>0.02</v>
      </c>
      <c r="T84" s="93">
        <f t="shared" si="103"/>
        <v>31.349999999999998</v>
      </c>
      <c r="U84" s="88">
        <f t="shared" si="104"/>
        <v>195.1</v>
      </c>
      <c r="V84" s="78">
        <f t="shared" si="105"/>
        <v>0</v>
      </c>
      <c r="W84" s="78">
        <f t="shared" si="106"/>
        <v>0</v>
      </c>
      <c r="X84" s="78">
        <f t="shared" si="107"/>
        <v>0</v>
      </c>
      <c r="Y84" s="78">
        <f t="shared" si="108"/>
        <v>0</v>
      </c>
      <c r="Z84" s="78">
        <f t="shared" si="109"/>
        <v>0</v>
      </c>
      <c r="AA84" s="78">
        <f t="shared" si="110"/>
        <v>0</v>
      </c>
      <c r="AB84" s="78">
        <f t="shared" si="111"/>
        <v>0</v>
      </c>
      <c r="AC84" s="78">
        <f t="shared" si="112"/>
        <v>15</v>
      </c>
      <c r="AD84" s="78">
        <f t="shared" si="113"/>
        <v>0.02</v>
      </c>
      <c r="AE84" s="78">
        <f t="shared" si="114"/>
        <v>0.2</v>
      </c>
      <c r="AF84" s="78">
        <f t="shared" si="115"/>
        <v>0.02</v>
      </c>
      <c r="AG84" s="75">
        <f t="shared" si="28"/>
        <v>0</v>
      </c>
      <c r="AH84" s="75">
        <f t="shared" si="10"/>
        <v>0</v>
      </c>
      <c r="AI84" s="75">
        <f t="shared" si="11"/>
        <v>0</v>
      </c>
      <c r="AJ84" s="73"/>
    </row>
    <row r="85" spans="1:36" x14ac:dyDescent="0.25">
      <c r="A85" s="73" t="s">
        <v>373</v>
      </c>
      <c r="B85" s="91" t="s">
        <v>62</v>
      </c>
      <c r="C85" s="92">
        <v>6</v>
      </c>
      <c r="D85" s="91" t="s">
        <v>62</v>
      </c>
      <c r="E85" s="92">
        <v>2.4</v>
      </c>
      <c r="F85" s="91" t="s">
        <v>62</v>
      </c>
      <c r="G85" s="92">
        <v>1.9</v>
      </c>
      <c r="H85" s="91" t="s">
        <v>62</v>
      </c>
      <c r="I85" s="92">
        <v>2.1</v>
      </c>
      <c r="J85" s="91" t="s">
        <v>62</v>
      </c>
      <c r="K85" s="92">
        <v>0.9</v>
      </c>
      <c r="L85" s="75" t="s">
        <v>62</v>
      </c>
      <c r="M85" s="92">
        <v>1</v>
      </c>
      <c r="N85" s="92" t="s">
        <v>64</v>
      </c>
      <c r="O85" s="92">
        <v>0.02</v>
      </c>
      <c r="P85" s="92" t="s">
        <v>67</v>
      </c>
      <c r="Q85" s="92">
        <v>0</v>
      </c>
      <c r="R85" s="92" t="s">
        <v>69</v>
      </c>
      <c r="S85" s="92">
        <v>0.02</v>
      </c>
      <c r="T85" s="93">
        <f t="shared" si="103"/>
        <v>24.349999999999998</v>
      </c>
      <c r="U85" s="88">
        <f t="shared" si="104"/>
        <v>179.35</v>
      </c>
      <c r="V85" s="78">
        <f t="shared" si="105"/>
        <v>0</v>
      </c>
      <c r="W85" s="78">
        <f t="shared" si="106"/>
        <v>0</v>
      </c>
      <c r="X85" s="78">
        <f t="shared" si="107"/>
        <v>0</v>
      </c>
      <c r="Y85" s="78">
        <f t="shared" si="108"/>
        <v>0</v>
      </c>
      <c r="Z85" s="78">
        <f t="shared" si="109"/>
        <v>0</v>
      </c>
      <c r="AA85" s="78">
        <f t="shared" si="110"/>
        <v>0</v>
      </c>
      <c r="AB85" s="78">
        <f t="shared" si="111"/>
        <v>0</v>
      </c>
      <c r="AC85" s="78">
        <f t="shared" si="112"/>
        <v>14.3</v>
      </c>
      <c r="AD85" s="78">
        <f t="shared" si="113"/>
        <v>0.02</v>
      </c>
      <c r="AE85" s="78">
        <f t="shared" si="114"/>
        <v>0</v>
      </c>
      <c r="AF85" s="78">
        <f t="shared" si="115"/>
        <v>0.02</v>
      </c>
      <c r="AG85" s="75">
        <f t="shared" si="28"/>
        <v>0</v>
      </c>
      <c r="AH85" s="75">
        <f t="shared" si="10"/>
        <v>0</v>
      </c>
      <c r="AI85" s="75">
        <f t="shared" si="11"/>
        <v>0</v>
      </c>
      <c r="AJ85" s="73"/>
    </row>
    <row r="86" spans="1:36" x14ac:dyDescent="0.25">
      <c r="A86" s="73" t="s">
        <v>369</v>
      </c>
      <c r="B86" s="91" t="s">
        <v>62</v>
      </c>
      <c r="C86" s="92">
        <v>6.7</v>
      </c>
      <c r="D86" s="91" t="s">
        <v>62</v>
      </c>
      <c r="E86" s="92">
        <v>3</v>
      </c>
      <c r="F86" s="91" t="s">
        <v>62</v>
      </c>
      <c r="G86" s="92">
        <v>1.9</v>
      </c>
      <c r="H86" s="91" t="s">
        <v>62</v>
      </c>
      <c r="I86" s="92">
        <v>0</v>
      </c>
      <c r="J86" s="91" t="s">
        <v>62</v>
      </c>
      <c r="K86" s="92">
        <v>0</v>
      </c>
      <c r="L86" s="75" t="s">
        <v>62</v>
      </c>
      <c r="M86" s="92">
        <v>0.53</v>
      </c>
      <c r="N86" s="92" t="s">
        <v>64</v>
      </c>
      <c r="O86" s="92">
        <v>0.02</v>
      </c>
      <c r="P86" s="92" t="s">
        <v>67</v>
      </c>
      <c r="Q86" s="92">
        <v>2</v>
      </c>
      <c r="R86" s="92" t="s">
        <v>69</v>
      </c>
      <c r="S86" s="92">
        <v>0.02</v>
      </c>
      <c r="T86" s="93">
        <f t="shared" si="103"/>
        <v>77.225000000000009</v>
      </c>
      <c r="U86" s="88">
        <f t="shared" si="104"/>
        <v>222.22499999999999</v>
      </c>
      <c r="V86" s="78">
        <f t="shared" si="105"/>
        <v>0</v>
      </c>
      <c r="W86" s="78">
        <f t="shared" si="106"/>
        <v>0</v>
      </c>
      <c r="X86" s="78">
        <f t="shared" si="107"/>
        <v>0</v>
      </c>
      <c r="Y86" s="78">
        <f t="shared" si="108"/>
        <v>0</v>
      </c>
      <c r="Z86" s="78">
        <f t="shared" si="109"/>
        <v>0</v>
      </c>
      <c r="AA86" s="78">
        <f t="shared" si="110"/>
        <v>0</v>
      </c>
      <c r="AB86" s="78">
        <f t="shared" si="111"/>
        <v>0</v>
      </c>
      <c r="AC86" s="78">
        <f t="shared" si="112"/>
        <v>12.129999999999999</v>
      </c>
      <c r="AD86" s="78">
        <f t="shared" si="113"/>
        <v>0.02</v>
      </c>
      <c r="AE86" s="78">
        <f t="shared" si="114"/>
        <v>2</v>
      </c>
      <c r="AF86" s="78">
        <f t="shared" si="115"/>
        <v>0.02</v>
      </c>
      <c r="AG86" s="75">
        <f t="shared" si="28"/>
        <v>0</v>
      </c>
      <c r="AH86" s="75">
        <f t="shared" si="10"/>
        <v>0</v>
      </c>
      <c r="AI86" s="75">
        <f t="shared" si="11"/>
        <v>0</v>
      </c>
      <c r="AJ86" s="73"/>
    </row>
    <row r="87" spans="1:36" x14ac:dyDescent="0.25">
      <c r="A87" s="73" t="s">
        <v>371</v>
      </c>
      <c r="B87" s="91" t="s">
        <v>62</v>
      </c>
      <c r="C87" s="92">
        <v>6.5</v>
      </c>
      <c r="D87" s="91" t="s">
        <v>62</v>
      </c>
      <c r="E87" s="92">
        <v>2.4</v>
      </c>
      <c r="F87" s="91" t="s">
        <v>62</v>
      </c>
      <c r="G87" s="92">
        <v>1.8</v>
      </c>
      <c r="H87" s="91" t="s">
        <v>62</v>
      </c>
      <c r="I87" s="92">
        <v>0</v>
      </c>
      <c r="J87" s="91" t="s">
        <v>62</v>
      </c>
      <c r="K87" s="92">
        <v>0.8</v>
      </c>
      <c r="L87" s="75" t="s">
        <v>62</v>
      </c>
      <c r="M87" s="92">
        <v>1.2</v>
      </c>
      <c r="N87" s="92" t="s">
        <v>64</v>
      </c>
      <c r="O87" s="92">
        <v>0.02</v>
      </c>
      <c r="P87" s="92" t="s">
        <v>67</v>
      </c>
      <c r="Q87" s="92">
        <v>0.2</v>
      </c>
      <c r="R87" s="92" t="s">
        <v>69</v>
      </c>
      <c r="S87" s="92">
        <v>0.02</v>
      </c>
      <c r="T87" s="93">
        <f t="shared" si="103"/>
        <v>32.6</v>
      </c>
      <c r="U87" s="88">
        <f t="shared" si="104"/>
        <v>166.35</v>
      </c>
      <c r="V87" s="78">
        <f t="shared" si="105"/>
        <v>0</v>
      </c>
      <c r="W87" s="78">
        <f t="shared" si="106"/>
        <v>0</v>
      </c>
      <c r="X87" s="78">
        <f t="shared" si="107"/>
        <v>0</v>
      </c>
      <c r="Y87" s="78">
        <f t="shared" si="108"/>
        <v>0</v>
      </c>
      <c r="Z87" s="78">
        <f t="shared" si="109"/>
        <v>0</v>
      </c>
      <c r="AA87" s="78">
        <f t="shared" si="110"/>
        <v>0</v>
      </c>
      <c r="AB87" s="78">
        <f t="shared" si="111"/>
        <v>0</v>
      </c>
      <c r="AC87" s="78">
        <f t="shared" si="112"/>
        <v>12.700000000000001</v>
      </c>
      <c r="AD87" s="78">
        <f t="shared" si="113"/>
        <v>0.02</v>
      </c>
      <c r="AE87" s="78">
        <f t="shared" si="114"/>
        <v>0.2</v>
      </c>
      <c r="AF87" s="78">
        <f t="shared" si="115"/>
        <v>0.02</v>
      </c>
      <c r="AG87" s="75">
        <f t="shared" si="28"/>
        <v>0</v>
      </c>
      <c r="AH87" s="75">
        <f t="shared" si="10"/>
        <v>0</v>
      </c>
      <c r="AI87" s="75">
        <f t="shared" si="11"/>
        <v>0</v>
      </c>
      <c r="AJ87" s="73"/>
    </row>
    <row r="88" spans="1:36" x14ac:dyDescent="0.25">
      <c r="A88" s="73" t="s">
        <v>374</v>
      </c>
      <c r="B88" s="91" t="s">
        <v>62</v>
      </c>
      <c r="C88" s="92">
        <v>7.1</v>
      </c>
      <c r="D88" s="91" t="s">
        <v>62</v>
      </c>
      <c r="E88" s="92">
        <v>3</v>
      </c>
      <c r="F88" s="91" t="s">
        <v>62</v>
      </c>
      <c r="G88" s="92">
        <v>1.9</v>
      </c>
      <c r="H88" s="91" t="s">
        <v>62</v>
      </c>
      <c r="I88" s="92">
        <v>2.8</v>
      </c>
      <c r="J88" s="91" t="s">
        <v>62</v>
      </c>
      <c r="K88" s="92">
        <v>1.8</v>
      </c>
      <c r="L88" s="75" t="s">
        <v>62</v>
      </c>
      <c r="M88" s="92">
        <v>3</v>
      </c>
      <c r="N88" s="92" t="s">
        <v>64</v>
      </c>
      <c r="O88" s="92">
        <v>0.02</v>
      </c>
      <c r="P88" s="92" t="s">
        <v>67</v>
      </c>
      <c r="Q88" s="92">
        <v>1</v>
      </c>
      <c r="R88" s="92" t="s">
        <v>69</v>
      </c>
      <c r="S88" s="92">
        <v>0.02</v>
      </c>
      <c r="T88" s="93">
        <f t="shared" si="103"/>
        <v>95.600000000000009</v>
      </c>
      <c r="U88" s="88">
        <f t="shared" si="104"/>
        <v>280.59999999999997</v>
      </c>
      <c r="V88" s="78">
        <f t="shared" si="105"/>
        <v>0</v>
      </c>
      <c r="W88" s="78">
        <f t="shared" si="106"/>
        <v>0</v>
      </c>
      <c r="X88" s="78">
        <f t="shared" si="107"/>
        <v>0</v>
      </c>
      <c r="Y88" s="78">
        <f t="shared" si="108"/>
        <v>0</v>
      </c>
      <c r="Z88" s="78">
        <f t="shared" si="109"/>
        <v>0</v>
      </c>
      <c r="AA88" s="78">
        <f t="shared" si="110"/>
        <v>0</v>
      </c>
      <c r="AB88" s="78">
        <f t="shared" si="111"/>
        <v>0</v>
      </c>
      <c r="AC88" s="78">
        <f t="shared" si="112"/>
        <v>19.600000000000001</v>
      </c>
      <c r="AD88" s="78">
        <f t="shared" si="113"/>
        <v>0.02</v>
      </c>
      <c r="AE88" s="78">
        <f t="shared" si="114"/>
        <v>1</v>
      </c>
      <c r="AF88" s="78">
        <f t="shared" si="115"/>
        <v>0.02</v>
      </c>
      <c r="AG88" s="75">
        <f t="shared" si="28"/>
        <v>0</v>
      </c>
      <c r="AH88" s="75">
        <f t="shared" si="10"/>
        <v>0</v>
      </c>
      <c r="AI88" s="75">
        <f t="shared" si="11"/>
        <v>0</v>
      </c>
      <c r="AJ88" s="73"/>
    </row>
    <row r="89" spans="1:36" x14ac:dyDescent="0.25">
      <c r="A89" s="104" t="s">
        <v>375</v>
      </c>
      <c r="B89" s="91" t="s">
        <v>62</v>
      </c>
      <c r="C89" s="92">
        <v>7.1</v>
      </c>
      <c r="D89" s="91" t="s">
        <v>62</v>
      </c>
      <c r="E89" s="92">
        <v>3</v>
      </c>
      <c r="F89" s="91" t="s">
        <v>62</v>
      </c>
      <c r="G89" s="92">
        <v>1.9</v>
      </c>
      <c r="H89" s="91" t="s">
        <v>62</v>
      </c>
      <c r="I89" s="92">
        <v>2.4</v>
      </c>
      <c r="J89" s="91" t="s">
        <v>62</v>
      </c>
      <c r="K89" s="92">
        <v>1.8</v>
      </c>
      <c r="L89" s="75" t="s">
        <v>62</v>
      </c>
      <c r="M89" s="92">
        <v>2.8</v>
      </c>
      <c r="N89" s="92" t="s">
        <v>64</v>
      </c>
      <c r="O89" s="92">
        <v>0.02</v>
      </c>
      <c r="P89" s="92" t="s">
        <v>67</v>
      </c>
      <c r="Q89" s="92">
        <v>1</v>
      </c>
      <c r="R89" s="92" t="s">
        <v>69</v>
      </c>
      <c r="S89" s="92">
        <v>0.02</v>
      </c>
      <c r="T89" s="93">
        <f>(VLOOKUP(J89,AL$4:AN$17,3)*K89)+(VLOOKUP(L89,AL$4:AN$17,3)*M89)+(VLOOKUP(N89,AL$4:AN$17,3)*O89)+(VLOOKUP(P89,AL$4:AN$17,3)*Q89)+(VLOOKUP(R89,AL$4:AN$17,3)*S89)</f>
        <v>93.100000000000009</v>
      </c>
      <c r="U89" s="88">
        <f t="shared" si="104"/>
        <v>273.09999999999997</v>
      </c>
      <c r="V89" s="78">
        <f t="shared" si="105"/>
        <v>0</v>
      </c>
      <c r="W89" s="78">
        <f t="shared" si="106"/>
        <v>0</v>
      </c>
      <c r="X89" s="78">
        <f t="shared" si="107"/>
        <v>0</v>
      </c>
      <c r="Y89" s="78">
        <f t="shared" si="108"/>
        <v>0</v>
      </c>
      <c r="Z89" s="78">
        <f t="shared" si="109"/>
        <v>0</v>
      </c>
      <c r="AA89" s="78">
        <f t="shared" si="110"/>
        <v>0</v>
      </c>
      <c r="AB89" s="78">
        <f t="shared" si="111"/>
        <v>0</v>
      </c>
      <c r="AC89" s="78">
        <f t="shared" si="112"/>
        <v>19</v>
      </c>
      <c r="AD89" s="78">
        <f t="shared" si="113"/>
        <v>0.02</v>
      </c>
      <c r="AE89" s="78">
        <f t="shared" si="114"/>
        <v>1</v>
      </c>
      <c r="AF89" s="78">
        <f t="shared" si="115"/>
        <v>0.02</v>
      </c>
      <c r="AG89" s="75">
        <f t="shared" si="28"/>
        <v>0</v>
      </c>
      <c r="AH89" s="75">
        <f t="shared" si="10"/>
        <v>0</v>
      </c>
      <c r="AI89" s="75">
        <f t="shared" si="11"/>
        <v>0</v>
      </c>
      <c r="AJ89" s="73"/>
    </row>
    <row r="90" spans="1:36" x14ac:dyDescent="0.25">
      <c r="A90" s="73" t="s">
        <v>376</v>
      </c>
      <c r="B90" s="91" t="s">
        <v>62</v>
      </c>
      <c r="C90" s="92">
        <v>6.5</v>
      </c>
      <c r="D90" s="91" t="s">
        <v>62</v>
      </c>
      <c r="E90" s="92">
        <v>2.7</v>
      </c>
      <c r="F90" s="91" t="s">
        <v>62</v>
      </c>
      <c r="G90" s="92">
        <v>1.8</v>
      </c>
      <c r="H90" s="91" t="s">
        <v>62</v>
      </c>
      <c r="I90" s="92">
        <v>2.1</v>
      </c>
      <c r="J90" s="91" t="s">
        <v>62</v>
      </c>
      <c r="K90" s="92">
        <v>0.9</v>
      </c>
      <c r="L90" s="75" t="s">
        <v>62</v>
      </c>
      <c r="M90" s="92">
        <v>1</v>
      </c>
      <c r="N90" s="92" t="s">
        <v>64</v>
      </c>
      <c r="O90" s="92">
        <v>0.02</v>
      </c>
      <c r="P90" s="92" t="s">
        <v>67</v>
      </c>
      <c r="Q90" s="92">
        <v>0.2</v>
      </c>
      <c r="R90" s="92" t="s">
        <v>69</v>
      </c>
      <c r="S90" s="92">
        <v>0.02</v>
      </c>
      <c r="T90" s="93">
        <f>(VLOOKUP(J90,AL$4:AN$17,3)*K90)+(VLOOKUP(L90,AL$4:AN$17,3)*M90)+(VLOOKUP(N90,AL$4:AN$17,3)*O90)+(VLOOKUP(P90,AL$4:AN$17,3)*Q90)+(VLOOKUP(R90,AL$4:AN$17,3)*S90)</f>
        <v>31.349999999999998</v>
      </c>
      <c r="U90" s="88">
        <f t="shared" si="104"/>
        <v>195.1</v>
      </c>
      <c r="V90" s="78">
        <f t="shared" si="105"/>
        <v>0</v>
      </c>
      <c r="W90" s="78">
        <f t="shared" si="106"/>
        <v>0</v>
      </c>
      <c r="X90" s="78">
        <f t="shared" si="107"/>
        <v>0</v>
      </c>
      <c r="Y90" s="78">
        <f t="shared" si="108"/>
        <v>0</v>
      </c>
      <c r="Z90" s="78">
        <f t="shared" si="109"/>
        <v>0</v>
      </c>
      <c r="AA90" s="78">
        <f t="shared" si="110"/>
        <v>0</v>
      </c>
      <c r="AB90" s="78">
        <f t="shared" si="111"/>
        <v>0</v>
      </c>
      <c r="AC90" s="78">
        <f t="shared" si="112"/>
        <v>15</v>
      </c>
      <c r="AD90" s="78">
        <f t="shared" si="113"/>
        <v>0.02</v>
      </c>
      <c r="AE90" s="78">
        <f t="shared" si="114"/>
        <v>0.2</v>
      </c>
      <c r="AF90" s="78">
        <f t="shared" si="115"/>
        <v>0.02</v>
      </c>
      <c r="AG90" s="75">
        <f t="shared" si="28"/>
        <v>0</v>
      </c>
      <c r="AH90" s="75">
        <f t="shared" si="10"/>
        <v>0</v>
      </c>
      <c r="AI90" s="75">
        <f t="shared" si="11"/>
        <v>0</v>
      </c>
      <c r="AJ90" s="73"/>
    </row>
    <row r="91" spans="1:36" x14ac:dyDescent="0.25">
      <c r="A91" s="73" t="s">
        <v>377</v>
      </c>
      <c r="B91" s="91" t="s">
        <v>62</v>
      </c>
      <c r="C91" s="92">
        <v>6.5</v>
      </c>
      <c r="D91" s="91" t="s">
        <v>62</v>
      </c>
      <c r="E91" s="92">
        <v>2.4</v>
      </c>
      <c r="F91" s="91" t="s">
        <v>62</v>
      </c>
      <c r="G91" s="92">
        <v>1.9</v>
      </c>
      <c r="H91" s="91" t="s">
        <v>62</v>
      </c>
      <c r="I91" s="92">
        <v>2.1</v>
      </c>
      <c r="J91" s="91" t="s">
        <v>62</v>
      </c>
      <c r="K91" s="92">
        <v>0.9</v>
      </c>
      <c r="L91" s="75" t="s">
        <v>62</v>
      </c>
      <c r="M91" s="92">
        <v>1</v>
      </c>
      <c r="N91" s="92" t="s">
        <v>64</v>
      </c>
      <c r="O91" s="92">
        <v>0.02</v>
      </c>
      <c r="P91" s="92" t="s">
        <v>67</v>
      </c>
      <c r="Q91" s="92">
        <v>0.2</v>
      </c>
      <c r="R91" s="92" t="s">
        <v>69</v>
      </c>
      <c r="S91" s="92">
        <v>0.02</v>
      </c>
      <c r="T91" s="93">
        <f t="shared" si="103"/>
        <v>31.349999999999998</v>
      </c>
      <c r="U91" s="88">
        <f t="shared" si="104"/>
        <v>192.6</v>
      </c>
      <c r="V91" s="78">
        <f t="shared" si="105"/>
        <v>0</v>
      </c>
      <c r="W91" s="78">
        <f t="shared" si="106"/>
        <v>0</v>
      </c>
      <c r="X91" s="78">
        <f t="shared" si="107"/>
        <v>0</v>
      </c>
      <c r="Y91" s="78">
        <f t="shared" si="108"/>
        <v>0</v>
      </c>
      <c r="Z91" s="78">
        <f t="shared" si="109"/>
        <v>0</v>
      </c>
      <c r="AA91" s="78">
        <f t="shared" si="110"/>
        <v>0</v>
      </c>
      <c r="AB91" s="78">
        <f t="shared" si="111"/>
        <v>0</v>
      </c>
      <c r="AC91" s="78">
        <f t="shared" si="112"/>
        <v>14.8</v>
      </c>
      <c r="AD91" s="78">
        <f t="shared" si="113"/>
        <v>0.02</v>
      </c>
      <c r="AE91" s="78">
        <f t="shared" si="114"/>
        <v>0.2</v>
      </c>
      <c r="AF91" s="78">
        <f t="shared" si="115"/>
        <v>0.02</v>
      </c>
      <c r="AG91" s="75">
        <f t="shared" si="28"/>
        <v>0</v>
      </c>
      <c r="AH91" s="75">
        <f t="shared" si="10"/>
        <v>0</v>
      </c>
      <c r="AI91" s="75">
        <f t="shared" si="11"/>
        <v>0</v>
      </c>
      <c r="AJ91" s="73"/>
    </row>
    <row r="92" spans="1:36" x14ac:dyDescent="0.25">
      <c r="A92" s="73" t="s">
        <v>379</v>
      </c>
      <c r="B92" s="91" t="s">
        <v>62</v>
      </c>
      <c r="C92" s="92">
        <v>6.5</v>
      </c>
      <c r="D92" s="91" t="s">
        <v>62</v>
      </c>
      <c r="E92" s="92">
        <v>2.9</v>
      </c>
      <c r="F92" s="91" t="s">
        <v>62</v>
      </c>
      <c r="G92" s="92">
        <v>1.8</v>
      </c>
      <c r="H92" s="91" t="s">
        <v>62</v>
      </c>
      <c r="I92" s="92">
        <v>2.1</v>
      </c>
      <c r="J92" s="91" t="s">
        <v>62</v>
      </c>
      <c r="K92" s="92">
        <v>1.1000000000000001</v>
      </c>
      <c r="L92" s="75" t="s">
        <v>62</v>
      </c>
      <c r="M92" s="92">
        <v>1.2</v>
      </c>
      <c r="N92" s="92" t="s">
        <v>64</v>
      </c>
      <c r="O92" s="92">
        <v>0.02</v>
      </c>
      <c r="P92" s="92" t="s">
        <v>67</v>
      </c>
      <c r="Q92" s="92">
        <v>0.2</v>
      </c>
      <c r="R92" s="92" t="s">
        <v>69</v>
      </c>
      <c r="S92" s="92">
        <v>0.02</v>
      </c>
      <c r="T92" s="93">
        <f>(VLOOKUP(J92,AL$4:AN$17,3)*K92)+(VLOOKUP(L92,AL$4:AN$17,3)*M92)+(VLOOKUP(N92,AL$4:AN$17,3)*O92)+(VLOOKUP(P92,AL$4:AN$17,3)*Q92)+(VLOOKUP(R92,AL$4:AN$17,3)*S92)</f>
        <v>36.35</v>
      </c>
      <c r="U92" s="88">
        <f>(VLOOKUP(B92,AL$4:AN$16,3)*C92)+(VLOOKUP(D92,AL$4:AN$16,3)*E92)+(VLOOKUP(F92,AL$4:AN$16,3)*G92)+(VLOOKUP(H92,AL$4:AN$16,3)*I92)+(VLOOKUP(J92,AL$4:AN$17,3)*K92)+(VLOOKUP(L92,AL$4:AN$17,3)*M92)+(VLOOKUP(N92,AL$4:AN$17,3)*O92)+(VLOOKUP(P92,AL$4:AN$17,3)*Q92)+(VLOOKUP(R92,AL$4:AN$17,3)*S92)</f>
        <v>202.6</v>
      </c>
      <c r="V92" s="78">
        <f>IF(B92="A",C92,0)+IF(D92="A",E92,0)+IF(F92="A",G92,0)+IF(H92="A",I92,0)+IF(J92="A",K92,0)+IF(L92="A",M92,0)+IF(N92="A",O92,0)+IF(P92="A",Q92,0)+IF(R92="A",S92,0)</f>
        <v>0</v>
      </c>
      <c r="W92" s="78">
        <f>IF(B92="B",C92,0)+IF(D92="B",E92,0)+IF(F92="B",G92,0)+IF(H92="B",I92,0)+IF(J92="B",K92,0)+IF(L92="B",M92,0)+IF(N92="B",O92,0)+IF(P92="B",Q92,0)+IF(R92="B",S92,0)</f>
        <v>0</v>
      </c>
      <c r="X92" s="78">
        <f>IF(B92="C",C92,0)+IF(D92="C",E92,0)+IF(F92="C",G92,0)+IF(H92="C",I92,0)+IF(J92="C",K92,0)+IF(L92="C",M92,0)+IF(N92="C",O92,0)+IF(P92="C",Q92,0)+IF(R92="C",S92,0)</f>
        <v>0</v>
      </c>
      <c r="Y92" s="78">
        <f>IF(B92="D",C92,0)+IF(D92="D",E92,0)+IF(F92="D",G92,0)+IF(H92="D",I92,0)+IF(J92="D",K92,0)+IF(L92="D",M92,0)+IF(N92="D",O92,0)+IF(P92="D",Q92,0)+IF(R92="D",S92,0)</f>
        <v>0</v>
      </c>
      <c r="Z92" s="78">
        <f>IF(B92="E",C92,0)+IF(D92="E",E92,0)+IF(F92="E",G92,0)+IF(H92="E",I92,0)+IF(J92="E",K92,0)+IF(L92="E",M92,0)+IF(N92="E",O92,0)+IF(P92="E",Q92,0)+IF(R92="E",S92,0)</f>
        <v>0</v>
      </c>
      <c r="AA92" s="78">
        <f>IF(B92="F",C92,0)+IF(D92="F",E92,0)+IF(F92="F",G92,0)+IF(H92="F",I92,0)+IF(J92="F",K92,0)+IF(L92="F",M92,0)+IF(N92="F",O92,0)+IF(P92="F",Q92,0)+IF(R92="F",S92,0)</f>
        <v>0</v>
      </c>
      <c r="AB92" s="78">
        <f>IF(B92="G",C92,0)+IF(D92="G",E92,0)+IF(F92="G",G92,0)+IF(H92="G",I92,0)+IF(J92="G",K92,0)+IF(L92="G",M92,0)+IF(N92="G",O92,0)+IF(P92="G",Q92,0)+IF(R92="G",S92,0)</f>
        <v>0</v>
      </c>
      <c r="AC92" s="78">
        <f>IF(B92="H",C92,0)+IF(D92="H",E92,0)+IF(F92="H",G92,0)+IF(H92="H",I92,0)+IF(J92="H",K92,0)+IF(L92="H",M92,0)+IF(N92="H",O92,0)+IF(P92="H",Q92,0)+IF(R92="H",S92,0)</f>
        <v>15.6</v>
      </c>
      <c r="AD92" s="78">
        <f>IF(B92="I",C92,0)+IF(D92="I",E92,0)+IF(F92="I",G92,0)+IF(H92="I",I92,0)+IF(J92="I",K92,0)+IF(L92="I",M92,0)+IF(N92="I",O92,0)+IF(P92="I",Q92,0)+IF(R92="I",S92,0)</f>
        <v>0.02</v>
      </c>
      <c r="AE92" s="78">
        <f>IF(B92="J",C92,0)+IF(D92="J",E92,0)+IF(F92="J",G92,0)+IF(H92="J",I92,0)+IF(J92="J",K92,0)+IF(L92="J",M92,0)+IF(N92="J",O92,0)+IF(P92="J",Q92,0)+IF(R92="J",S92,0)</f>
        <v>0.2</v>
      </c>
      <c r="AF92" s="78">
        <f>IF(B92="K",C92,0)+IF(D92="K",E92,0)+IF(F92="K",G92,0)+IF(H92="K",I92,0)+IF(J92="K",K92,0)+IF(L92="K",M92,0)+IF(N92="K",O92,0)+IF(P92="K",Q92,0)+IF(R92="K",S92,0)</f>
        <v>0.02</v>
      </c>
      <c r="AG92" s="75">
        <f>IF(B92="L",C92,0)+IF(D92="L",E92,0)+IF(F92="L",G92,0)+IF(H92="L",I92,0)+IF(J92="L",K92,0)+IF(L92="L",M92,0)+IF(N92="L",O92,0)+IF(P92="L",Q92,0)+IF(R92="L",S92,0)</f>
        <v>0</v>
      </c>
      <c r="AH92" s="75">
        <f>IF(B92="M",C92,0)+IF(D92="M",E92,0)+IF(F92="M",G92,0)+IF(H92="M",I92,0)+IF(J92="M",K92,0)+IF(N92="M",O92,0)+IF(P92="M",Q92,0)+IF(R92="M",S92,0)</f>
        <v>0</v>
      </c>
      <c r="AI92" s="75">
        <f>IF(B92="N",C92,0)+IF(D92="N",E92,0)+IF(F92="N",G92,0)+IF(H92="N",I92,0)+IF(J92="N",K92,0)+IF(N92="N",O92,0)+IF(P92="N",Q92,0)+IF(R92="N",S92,0)</f>
        <v>0</v>
      </c>
      <c r="AJ92" s="73"/>
    </row>
    <row r="93" spans="1:36" x14ac:dyDescent="0.25">
      <c r="A93" s="73" t="s">
        <v>381</v>
      </c>
      <c r="B93" s="91" t="s">
        <v>62</v>
      </c>
      <c r="C93" s="92">
        <v>6.5</v>
      </c>
      <c r="D93" s="91" t="s">
        <v>62</v>
      </c>
      <c r="E93" s="92">
        <v>2.9</v>
      </c>
      <c r="F93" s="91" t="s">
        <v>62</v>
      </c>
      <c r="G93" s="92">
        <v>1.8</v>
      </c>
      <c r="H93" s="91" t="s">
        <v>62</v>
      </c>
      <c r="I93" s="92">
        <v>0</v>
      </c>
      <c r="J93" s="91" t="s">
        <v>62</v>
      </c>
      <c r="K93" s="92">
        <v>0.8</v>
      </c>
      <c r="L93" s="75" t="s">
        <v>62</v>
      </c>
      <c r="M93" s="92">
        <v>1.2</v>
      </c>
      <c r="N93" s="92" t="s">
        <v>64</v>
      </c>
      <c r="O93" s="92">
        <v>0.02</v>
      </c>
      <c r="P93" s="92" t="s">
        <v>67</v>
      </c>
      <c r="Q93" s="92">
        <v>0.2</v>
      </c>
      <c r="R93" s="92" t="s">
        <v>69</v>
      </c>
      <c r="S93" s="92">
        <v>0.02</v>
      </c>
      <c r="T93" s="93">
        <f t="shared" si="103"/>
        <v>32.6</v>
      </c>
      <c r="U93" s="88">
        <f t="shared" si="104"/>
        <v>172.6</v>
      </c>
      <c r="V93" s="78">
        <f t="shared" si="105"/>
        <v>0</v>
      </c>
      <c r="W93" s="78">
        <f t="shared" si="106"/>
        <v>0</v>
      </c>
      <c r="X93" s="78">
        <f t="shared" si="107"/>
        <v>0</v>
      </c>
      <c r="Y93" s="78">
        <f t="shared" si="108"/>
        <v>0</v>
      </c>
      <c r="Z93" s="78">
        <f t="shared" si="109"/>
        <v>0</v>
      </c>
      <c r="AA93" s="78">
        <f t="shared" si="110"/>
        <v>0</v>
      </c>
      <c r="AB93" s="78">
        <f t="shared" si="111"/>
        <v>0</v>
      </c>
      <c r="AC93" s="78">
        <f t="shared" si="112"/>
        <v>13.200000000000001</v>
      </c>
      <c r="AD93" s="78">
        <f t="shared" si="113"/>
        <v>0.02</v>
      </c>
      <c r="AE93" s="78">
        <f t="shared" si="114"/>
        <v>0.2</v>
      </c>
      <c r="AF93" s="78">
        <f t="shared" si="115"/>
        <v>0.02</v>
      </c>
      <c r="AG93" s="75">
        <f t="shared" si="28"/>
        <v>0</v>
      </c>
      <c r="AH93" s="75">
        <f t="shared" ref="AH93" si="116">IF(B93="M",C93,0)+IF(D93="M",E93,0)+IF(F93="M",G93,0)+IF(H93="M",I93,0)+IF(J93="M",K93,0)+IF(N93="M",O93,0)+IF(P93="M",Q93,0)+IF(R93="M",S93,0)</f>
        <v>0</v>
      </c>
      <c r="AI93" s="75">
        <f t="shared" ref="AI93" si="117">IF(B93="N",C93,0)+IF(D93="N",E93,0)+IF(F93="N",G93,0)+IF(H93="N",I93,0)+IF(J93="N",K93,0)+IF(N93="N",O93,0)+IF(P93="N",Q93,0)+IF(R93="N",S93,0)</f>
        <v>0</v>
      </c>
      <c r="AJ93" s="73"/>
    </row>
    <row r="94" spans="1:36" x14ac:dyDescent="0.25">
      <c r="A94" s="73" t="s">
        <v>383</v>
      </c>
      <c r="B94" s="91" t="s">
        <v>62</v>
      </c>
      <c r="C94" s="92">
        <v>6</v>
      </c>
      <c r="D94" s="91" t="s">
        <v>62</v>
      </c>
      <c r="E94" s="92">
        <v>2.9</v>
      </c>
      <c r="F94" s="91" t="s">
        <v>62</v>
      </c>
      <c r="G94" s="92">
        <v>1.9</v>
      </c>
      <c r="H94" s="91" t="s">
        <v>62</v>
      </c>
      <c r="I94" s="92">
        <v>2.8</v>
      </c>
      <c r="J94" s="91" t="s">
        <v>62</v>
      </c>
      <c r="K94" s="92">
        <v>1.8</v>
      </c>
      <c r="L94" s="75" t="s">
        <v>62</v>
      </c>
      <c r="M94" s="92">
        <v>2.4</v>
      </c>
      <c r="N94" s="92" t="s">
        <v>64</v>
      </c>
      <c r="O94" s="92">
        <v>0.02</v>
      </c>
      <c r="P94" s="92" t="s">
        <v>67</v>
      </c>
      <c r="Q94" s="92">
        <v>1</v>
      </c>
      <c r="R94" s="92" t="s">
        <v>69</v>
      </c>
      <c r="S94" s="92">
        <v>0.02</v>
      </c>
      <c r="T94" s="93">
        <f t="shared" si="103"/>
        <v>88.100000000000009</v>
      </c>
      <c r="U94" s="88">
        <f t="shared" si="104"/>
        <v>258.09999999999997</v>
      </c>
      <c r="V94" s="78">
        <f t="shared" si="105"/>
        <v>0</v>
      </c>
      <c r="W94" s="78">
        <f t="shared" si="106"/>
        <v>0</v>
      </c>
      <c r="X94" s="78">
        <f t="shared" si="107"/>
        <v>0</v>
      </c>
      <c r="Y94" s="78">
        <f t="shared" si="108"/>
        <v>0</v>
      </c>
      <c r="Z94" s="78">
        <f t="shared" si="109"/>
        <v>0</v>
      </c>
      <c r="AA94" s="78">
        <f t="shared" si="110"/>
        <v>0</v>
      </c>
      <c r="AB94" s="78">
        <f t="shared" si="111"/>
        <v>0</v>
      </c>
      <c r="AC94" s="78">
        <f t="shared" si="112"/>
        <v>17.8</v>
      </c>
      <c r="AD94" s="78">
        <f t="shared" si="113"/>
        <v>0.02</v>
      </c>
      <c r="AE94" s="78">
        <f t="shared" si="114"/>
        <v>1</v>
      </c>
      <c r="AF94" s="78">
        <f t="shared" si="115"/>
        <v>0.02</v>
      </c>
      <c r="AG94" s="75">
        <f t="shared" si="28"/>
        <v>0</v>
      </c>
      <c r="AH94" s="75">
        <f t="shared" si="10"/>
        <v>0</v>
      </c>
      <c r="AI94" s="75">
        <f t="shared" si="11"/>
        <v>0</v>
      </c>
      <c r="AJ94" s="73"/>
    </row>
    <row r="95" spans="1:36" x14ac:dyDescent="0.25">
      <c r="A95" s="73" t="s">
        <v>384</v>
      </c>
      <c r="B95" s="91" t="s">
        <v>62</v>
      </c>
      <c r="C95" s="92">
        <v>6.5</v>
      </c>
      <c r="D95" s="91" t="s">
        <v>62</v>
      </c>
      <c r="E95" s="92">
        <v>2.9</v>
      </c>
      <c r="F95" s="91" t="s">
        <v>62</v>
      </c>
      <c r="G95" s="92">
        <v>1.8</v>
      </c>
      <c r="H95" s="91" t="s">
        <v>62</v>
      </c>
      <c r="I95" s="92">
        <v>2.1</v>
      </c>
      <c r="J95" s="91" t="s">
        <v>62</v>
      </c>
      <c r="K95" s="92">
        <v>1.1000000000000001</v>
      </c>
      <c r="L95" s="91" t="s">
        <v>62</v>
      </c>
      <c r="M95" s="92">
        <v>1.2</v>
      </c>
      <c r="N95" s="92" t="s">
        <v>64</v>
      </c>
      <c r="O95" s="92">
        <v>0.02</v>
      </c>
      <c r="P95" s="92" t="s">
        <v>67</v>
      </c>
      <c r="Q95" s="92">
        <v>1</v>
      </c>
      <c r="R95" s="92" t="s">
        <v>69</v>
      </c>
      <c r="S95" s="92">
        <v>0.02</v>
      </c>
      <c r="T95" s="93">
        <f t="shared" si="103"/>
        <v>64.350000000000009</v>
      </c>
      <c r="U95" s="88">
        <f t="shared" si="104"/>
        <v>230.6</v>
      </c>
      <c r="V95" s="78">
        <f>IF(B95="A",C95,0)+IF(D95="A",E95,0)+IF(F95="A",G95,0)+IF(H95="A",I95,0)+IF(J95="A",K95,0)+IF(L95="A",M95,0)+IF(N95="A",O95,0)+IF(P95="A",Q95,0)+IF(R95="A",S95,0)</f>
        <v>0</v>
      </c>
      <c r="W95" s="78">
        <f>IF(B95="B",C95,0)+IF(D95="B",E95,0)+IF(F95="B",G95,0)+IF(H95="B",I95,0)+IF(J95="B",K95,0)+IF(L95="B",M95,0)+IF(N95="B",O95,0)+IF(P95="B",Q95,0)+IF(R95="B",S95,0)</f>
        <v>0</v>
      </c>
      <c r="X95" s="78">
        <f>IF(B95="C",C95,0)+IF(D95="C",E95,0)+IF(F95="C",G95,0)+IF(H95="C",I95,0)+IF(J95="C",K95,0)+IF(L95="C",M95,0)+IF(N95="C",O95,0)+IF(P95="C",Q95,0)+IF(R95="C",S95,0)</f>
        <v>0</v>
      </c>
      <c r="Y95" s="78">
        <f>IF(B95="D",C95,0)+IF(D95="D",E95,0)+IF(F95="D",G95,0)+IF(H95="D",I95,0)+IF(J95="D",K95,0)+IF(L95="D",M95,0)+IF(N95="D",O95,0)+IF(P95="D",Q95,0)+IF(R95="D",S95,0)</f>
        <v>0</v>
      </c>
      <c r="Z95" s="78">
        <f>IF(B95="E",C95,0)+IF(D95="E",E95,0)+IF(F95="E",G95,0)+IF(H95="E",I95,0)+IF(J95="E",K95,0)+IF(L95="E",M95,0)+IF(N95="E",O95,0)+IF(P95="E",Q95,0)+IF(R95="E",S95,0)</f>
        <v>0</v>
      </c>
      <c r="AA95" s="78">
        <f>IF(B95="F",C95,0)+IF(D95="F",E95,0)+IF(F95="F",G95,0)+IF(H95="F",I95,0)+IF(J95="F",K95,0)+IF(L95="F",M95,0)+IF(N95="F",O95,0)+IF(P95="F",Q95,0)+IF(R95="F",S95,0)</f>
        <v>0</v>
      </c>
      <c r="AB95" s="78">
        <f>IF(B95="G",C95,0)+IF(D95="G",E95,0)+IF(F95="G",G95,0)+IF(H95="G",I95,0)+IF(J95="G",K95,0)+IF(L95="G",M95,0)+IF(N95="G",O95,0)+IF(P95="G",Q95,0)+IF(R95="G",S95,0)</f>
        <v>0</v>
      </c>
      <c r="AC95" s="78">
        <f>IF(B95="H",C95,0)+IF(D95="H",E95,0)+IF(F95="H",G95,0)+IF(H95="H",I95,0)+IF(J95="H",K95,0)+IF(L95="H",M95,0)+IF(N95="H",O95,0)+IF(P95="H",Q95,0)+IF(R95="H",S95,0)</f>
        <v>15.6</v>
      </c>
      <c r="AD95" s="78">
        <f>IF(B95="I",C95,0)+IF(D95="I",E95,0)+IF(F95="I",G95,0)+IF(H95="I",I95,0)+IF(J95="I",K95,0)+IF(L95="I",M95,0)+IF(N95="I",O95,0)+IF(P95="I",Q95,0)+IF(R95="I",S95,0)</f>
        <v>0.02</v>
      </c>
      <c r="AE95" s="78">
        <f>IF(B95="J",C95,0)+IF(D95="J",E95,0)+IF(F95="J",G95,0)+IF(H95="J",I95,0)+IF(J95="J",K95,0)+IF(L95="J",M95,0)+IF(N95="J",O95,0)+IF(P95="J",Q95,0)+IF(R95="J",S95,0)</f>
        <v>1</v>
      </c>
      <c r="AF95" s="78">
        <f>IF(B95="K",C95,0)+IF(D95="K",E95,0)+IF(F95="K",G95,0)+IF(H95="K",I95,0)+IF(J95="K",K95,0)+IF(L95="K",M95,0)+IF(N95="K",O95,0)+IF(P95="K",Q95,0)+IF(R95="K",S95,0)</f>
        <v>0.02</v>
      </c>
      <c r="AG95" s="75">
        <f>IF(B95="L",C95,0)+IF(D95="L",E95,0)+IF(F95="L",G95,0)+IF(H95="L",I95,0)+IF(J95="L",K95,0)+IF(L95="L",M95,0)+IF(N95="L",O95,0)+IF(P95="L",Q95,0)+IF(R95="L",S95,0)</f>
        <v>0</v>
      </c>
      <c r="AH95" s="75">
        <f>IF(B95="M",C95,0)+IF(D95="M",E95,0)+IF(F95="M",G95,0)+IF(H95="M",I95,0)+IF(J95="M",K95,0)+IF(N95="M",O95,0)+IF(P95="M",Q95,0)+IF(R95="M",S95,0)</f>
        <v>0</v>
      </c>
      <c r="AI95" s="75">
        <f>IF(B95="N",C95,0)+IF(D95="N",E95,0)+IF(F95="N",G95,0)+IF(H95="N",I95,0)+IF(J95="N",K95,0)+IF(N95="N",O95,0)+IF(P95="N",Q95,0)+IF(R95="N",S95,0)</f>
        <v>0</v>
      </c>
      <c r="AJ95" s="73"/>
    </row>
    <row r="96" spans="1:36" x14ac:dyDescent="0.25">
      <c r="A96" s="73"/>
      <c r="B96" s="91" t="s">
        <v>62</v>
      </c>
      <c r="C96" s="92">
        <v>6.5</v>
      </c>
      <c r="D96" s="91" t="s">
        <v>62</v>
      </c>
      <c r="E96" s="92">
        <v>2.4</v>
      </c>
      <c r="F96" s="91" t="s">
        <v>62</v>
      </c>
      <c r="G96" s="92">
        <v>1.9</v>
      </c>
      <c r="H96" s="91" t="s">
        <v>62</v>
      </c>
      <c r="I96" s="92">
        <v>2.1</v>
      </c>
      <c r="J96" s="91" t="s">
        <v>62</v>
      </c>
      <c r="K96" s="92">
        <v>0.9</v>
      </c>
      <c r="L96" s="75" t="s">
        <v>62</v>
      </c>
      <c r="M96" s="92">
        <v>1</v>
      </c>
      <c r="N96" s="92" t="s">
        <v>64</v>
      </c>
      <c r="O96" s="92">
        <v>0.02</v>
      </c>
      <c r="P96" s="92" t="s">
        <v>67</v>
      </c>
      <c r="Q96" s="92">
        <v>0.2</v>
      </c>
      <c r="R96" s="92" t="s">
        <v>69</v>
      </c>
      <c r="S96" s="92">
        <v>0.02</v>
      </c>
      <c r="T96" s="93">
        <f t="shared" si="103"/>
        <v>31.349999999999998</v>
      </c>
      <c r="U96" s="88">
        <f t="shared" si="104"/>
        <v>192.6</v>
      </c>
      <c r="V96" s="78">
        <f t="shared" si="17"/>
        <v>0</v>
      </c>
      <c r="W96" s="78">
        <f t="shared" si="18"/>
        <v>0</v>
      </c>
      <c r="X96" s="78">
        <f t="shared" si="19"/>
        <v>0</v>
      </c>
      <c r="Y96" s="78">
        <f t="shared" si="20"/>
        <v>0</v>
      </c>
      <c r="Z96" s="78">
        <f t="shared" si="21"/>
        <v>0</v>
      </c>
      <c r="AA96" s="78">
        <f t="shared" si="22"/>
        <v>0</v>
      </c>
      <c r="AB96" s="78">
        <f t="shared" si="23"/>
        <v>0</v>
      </c>
      <c r="AC96" s="78">
        <f t="shared" si="24"/>
        <v>14.8</v>
      </c>
      <c r="AD96" s="78">
        <f t="shared" si="25"/>
        <v>0.02</v>
      </c>
      <c r="AE96" s="78">
        <f t="shared" si="26"/>
        <v>0.2</v>
      </c>
      <c r="AF96" s="78">
        <f t="shared" si="27"/>
        <v>0.02</v>
      </c>
      <c r="AG96" s="75">
        <f t="shared" si="28"/>
        <v>0</v>
      </c>
      <c r="AH96" s="75">
        <f t="shared" ref="AH96" si="118">IF(B96="M",C96,0)+IF(D96="M",E96,0)+IF(F96="M",G96,0)+IF(H96="M",I96,0)+IF(J96="M",K96,0)+IF(N96="M",O96,0)+IF(P96="M",Q96,0)+IF(R96="M",S96,0)</f>
        <v>0</v>
      </c>
      <c r="AI96" s="75">
        <f t="shared" si="11"/>
        <v>0</v>
      </c>
      <c r="AJ96" s="73"/>
    </row>
  </sheetData>
  <mergeCells count="30">
    <mergeCell ref="K80:M80"/>
    <mergeCell ref="AJ34:AJ35"/>
    <mergeCell ref="K13:M13"/>
    <mergeCell ref="K14:M14"/>
    <mergeCell ref="K15:M15"/>
    <mergeCell ref="K16:M16"/>
    <mergeCell ref="K18:M18"/>
    <mergeCell ref="K19:M19"/>
    <mergeCell ref="K12:M12"/>
    <mergeCell ref="L3:M3"/>
    <mergeCell ref="N3:O3"/>
    <mergeCell ref="P3:Q3"/>
    <mergeCell ref="R3:S3"/>
    <mergeCell ref="K5:M5"/>
    <mergeCell ref="K6:M6"/>
    <mergeCell ref="K7:M7"/>
    <mergeCell ref="K8:M8"/>
    <mergeCell ref="K9:M9"/>
    <mergeCell ref="K10:M10"/>
    <mergeCell ref="K11:M11"/>
    <mergeCell ref="B2:M2"/>
    <mergeCell ref="N2:S2"/>
    <mergeCell ref="T2:U2"/>
    <mergeCell ref="V2:AI2"/>
    <mergeCell ref="AL2:AP2"/>
    <mergeCell ref="B3:C3"/>
    <mergeCell ref="D3:E3"/>
    <mergeCell ref="F3:G3"/>
    <mergeCell ref="H3:I3"/>
    <mergeCell ref="J3:K3"/>
  </mergeCells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E632274-C1D1-4EEB-A945-B084D60D8166}">
  <sheetPr codeName="Hoja7"/>
  <dimension ref="A1:K150"/>
  <sheetViews>
    <sheetView zoomScale="70" zoomScaleNormal="70" zoomScaleSheetLayoutView="40" workbookViewId="0">
      <selection activeCell="F2" sqref="F2"/>
    </sheetView>
  </sheetViews>
  <sheetFormatPr baseColWidth="10" defaultColWidth="9.140625" defaultRowHeight="12.75" x14ac:dyDescent="0.2"/>
  <cols>
    <col min="1" max="1" width="3.42578125" style="137" customWidth="1"/>
    <col min="2" max="2" width="19.28515625" style="137" customWidth="1"/>
    <col min="3" max="3" width="14.85546875" style="137" customWidth="1"/>
    <col min="4" max="4" width="25.7109375" style="137" customWidth="1"/>
    <col min="5" max="5" width="25.7109375" style="137" bestFit="1" customWidth="1"/>
    <col min="6" max="6" width="25.7109375" style="137" customWidth="1"/>
    <col min="7" max="7" width="59.42578125" style="137" bestFit="1" customWidth="1"/>
    <col min="8" max="8" width="37.5703125" style="137" customWidth="1"/>
    <col min="9" max="9" width="32.7109375" style="137" customWidth="1"/>
    <col min="10" max="10" width="14.28515625" style="137" customWidth="1"/>
    <col min="11" max="11" width="24.140625" style="137" customWidth="1"/>
    <col min="12" max="258" width="9.140625" style="137"/>
    <col min="259" max="259" width="2.7109375" style="137" customWidth="1"/>
    <col min="260" max="260" width="19.28515625" style="137" customWidth="1"/>
    <col min="261" max="261" width="14.85546875" style="137" customWidth="1"/>
    <col min="262" max="262" width="25.7109375" style="137" bestFit="1" customWidth="1"/>
    <col min="263" max="263" width="59.42578125" style="137" bestFit="1" customWidth="1"/>
    <col min="264" max="264" width="37.5703125" style="137" customWidth="1"/>
    <col min="265" max="265" width="32.7109375" style="137" customWidth="1"/>
    <col min="266" max="266" width="14.28515625" style="137" customWidth="1"/>
    <col min="267" max="267" width="24.140625" style="137" customWidth="1"/>
    <col min="268" max="514" width="9.140625" style="137"/>
    <col min="515" max="515" width="2.7109375" style="137" customWidth="1"/>
    <col min="516" max="516" width="19.28515625" style="137" customWidth="1"/>
    <col min="517" max="517" width="14.85546875" style="137" customWidth="1"/>
    <col min="518" max="518" width="25.7109375" style="137" bestFit="1" customWidth="1"/>
    <col min="519" max="519" width="59.42578125" style="137" bestFit="1" customWidth="1"/>
    <col min="520" max="520" width="37.5703125" style="137" customWidth="1"/>
    <col min="521" max="521" width="32.7109375" style="137" customWidth="1"/>
    <col min="522" max="522" width="14.28515625" style="137" customWidth="1"/>
    <col min="523" max="523" width="24.140625" style="137" customWidth="1"/>
    <col min="524" max="770" width="9.140625" style="137"/>
    <col min="771" max="771" width="2.7109375" style="137" customWidth="1"/>
    <col min="772" max="772" width="19.28515625" style="137" customWidth="1"/>
    <col min="773" max="773" width="14.85546875" style="137" customWidth="1"/>
    <col min="774" max="774" width="25.7109375" style="137" bestFit="1" customWidth="1"/>
    <col min="775" max="775" width="59.42578125" style="137" bestFit="1" customWidth="1"/>
    <col min="776" max="776" width="37.5703125" style="137" customWidth="1"/>
    <col min="777" max="777" width="32.7109375" style="137" customWidth="1"/>
    <col min="778" max="778" width="14.28515625" style="137" customWidth="1"/>
    <col min="779" max="779" width="24.140625" style="137" customWidth="1"/>
    <col min="780" max="1026" width="9.140625" style="137"/>
    <col min="1027" max="1027" width="2.7109375" style="137" customWidth="1"/>
    <col min="1028" max="1028" width="19.28515625" style="137" customWidth="1"/>
    <col min="1029" max="1029" width="14.85546875" style="137" customWidth="1"/>
    <col min="1030" max="1030" width="25.7109375" style="137" bestFit="1" customWidth="1"/>
    <col min="1031" max="1031" width="59.42578125" style="137" bestFit="1" customWidth="1"/>
    <col min="1032" max="1032" width="37.5703125" style="137" customWidth="1"/>
    <col min="1033" max="1033" width="32.7109375" style="137" customWidth="1"/>
    <col min="1034" max="1034" width="14.28515625" style="137" customWidth="1"/>
    <col min="1035" max="1035" width="24.140625" style="137" customWidth="1"/>
    <col min="1036" max="1282" width="9.140625" style="137"/>
    <col min="1283" max="1283" width="2.7109375" style="137" customWidth="1"/>
    <col min="1284" max="1284" width="19.28515625" style="137" customWidth="1"/>
    <col min="1285" max="1285" width="14.85546875" style="137" customWidth="1"/>
    <col min="1286" max="1286" width="25.7109375" style="137" bestFit="1" customWidth="1"/>
    <col min="1287" max="1287" width="59.42578125" style="137" bestFit="1" customWidth="1"/>
    <col min="1288" max="1288" width="37.5703125" style="137" customWidth="1"/>
    <col min="1289" max="1289" width="32.7109375" style="137" customWidth="1"/>
    <col min="1290" max="1290" width="14.28515625" style="137" customWidth="1"/>
    <col min="1291" max="1291" width="24.140625" style="137" customWidth="1"/>
    <col min="1292" max="1538" width="9.140625" style="137"/>
    <col min="1539" max="1539" width="2.7109375" style="137" customWidth="1"/>
    <col min="1540" max="1540" width="19.28515625" style="137" customWidth="1"/>
    <col min="1541" max="1541" width="14.85546875" style="137" customWidth="1"/>
    <col min="1542" max="1542" width="25.7109375" style="137" bestFit="1" customWidth="1"/>
    <col min="1543" max="1543" width="59.42578125" style="137" bestFit="1" customWidth="1"/>
    <col min="1544" max="1544" width="37.5703125" style="137" customWidth="1"/>
    <col min="1545" max="1545" width="32.7109375" style="137" customWidth="1"/>
    <col min="1546" max="1546" width="14.28515625" style="137" customWidth="1"/>
    <col min="1547" max="1547" width="24.140625" style="137" customWidth="1"/>
    <col min="1548" max="1794" width="9.140625" style="137"/>
    <col min="1795" max="1795" width="2.7109375" style="137" customWidth="1"/>
    <col min="1796" max="1796" width="19.28515625" style="137" customWidth="1"/>
    <col min="1797" max="1797" width="14.85546875" style="137" customWidth="1"/>
    <col min="1798" max="1798" width="25.7109375" style="137" bestFit="1" customWidth="1"/>
    <col min="1799" max="1799" width="59.42578125" style="137" bestFit="1" customWidth="1"/>
    <col min="1800" max="1800" width="37.5703125" style="137" customWidth="1"/>
    <col min="1801" max="1801" width="32.7109375" style="137" customWidth="1"/>
    <col min="1802" max="1802" width="14.28515625" style="137" customWidth="1"/>
    <col min="1803" max="1803" width="24.140625" style="137" customWidth="1"/>
    <col min="1804" max="2050" width="9.140625" style="137"/>
    <col min="2051" max="2051" width="2.7109375" style="137" customWidth="1"/>
    <col min="2052" max="2052" width="19.28515625" style="137" customWidth="1"/>
    <col min="2053" max="2053" width="14.85546875" style="137" customWidth="1"/>
    <col min="2054" max="2054" width="25.7109375" style="137" bestFit="1" customWidth="1"/>
    <col min="2055" max="2055" width="59.42578125" style="137" bestFit="1" customWidth="1"/>
    <col min="2056" max="2056" width="37.5703125" style="137" customWidth="1"/>
    <col min="2057" max="2057" width="32.7109375" style="137" customWidth="1"/>
    <col min="2058" max="2058" width="14.28515625" style="137" customWidth="1"/>
    <col min="2059" max="2059" width="24.140625" style="137" customWidth="1"/>
    <col min="2060" max="2306" width="9.140625" style="137"/>
    <col min="2307" max="2307" width="2.7109375" style="137" customWidth="1"/>
    <col min="2308" max="2308" width="19.28515625" style="137" customWidth="1"/>
    <col min="2309" max="2309" width="14.85546875" style="137" customWidth="1"/>
    <col min="2310" max="2310" width="25.7109375" style="137" bestFit="1" customWidth="1"/>
    <col min="2311" max="2311" width="59.42578125" style="137" bestFit="1" customWidth="1"/>
    <col min="2312" max="2312" width="37.5703125" style="137" customWidth="1"/>
    <col min="2313" max="2313" width="32.7109375" style="137" customWidth="1"/>
    <col min="2314" max="2314" width="14.28515625" style="137" customWidth="1"/>
    <col min="2315" max="2315" width="24.140625" style="137" customWidth="1"/>
    <col min="2316" max="2562" width="9.140625" style="137"/>
    <col min="2563" max="2563" width="2.7109375" style="137" customWidth="1"/>
    <col min="2564" max="2564" width="19.28515625" style="137" customWidth="1"/>
    <col min="2565" max="2565" width="14.85546875" style="137" customWidth="1"/>
    <col min="2566" max="2566" width="25.7109375" style="137" bestFit="1" customWidth="1"/>
    <col min="2567" max="2567" width="59.42578125" style="137" bestFit="1" customWidth="1"/>
    <col min="2568" max="2568" width="37.5703125" style="137" customWidth="1"/>
    <col min="2569" max="2569" width="32.7109375" style="137" customWidth="1"/>
    <col min="2570" max="2570" width="14.28515625" style="137" customWidth="1"/>
    <col min="2571" max="2571" width="24.140625" style="137" customWidth="1"/>
    <col min="2572" max="2818" width="9.140625" style="137"/>
    <col min="2819" max="2819" width="2.7109375" style="137" customWidth="1"/>
    <col min="2820" max="2820" width="19.28515625" style="137" customWidth="1"/>
    <col min="2821" max="2821" width="14.85546875" style="137" customWidth="1"/>
    <col min="2822" max="2822" width="25.7109375" style="137" bestFit="1" customWidth="1"/>
    <col min="2823" max="2823" width="59.42578125" style="137" bestFit="1" customWidth="1"/>
    <col min="2824" max="2824" width="37.5703125" style="137" customWidth="1"/>
    <col min="2825" max="2825" width="32.7109375" style="137" customWidth="1"/>
    <col min="2826" max="2826" width="14.28515625" style="137" customWidth="1"/>
    <col min="2827" max="2827" width="24.140625" style="137" customWidth="1"/>
    <col min="2828" max="3074" width="9.140625" style="137"/>
    <col min="3075" max="3075" width="2.7109375" style="137" customWidth="1"/>
    <col min="3076" max="3076" width="19.28515625" style="137" customWidth="1"/>
    <col min="3077" max="3077" width="14.85546875" style="137" customWidth="1"/>
    <col min="3078" max="3078" width="25.7109375" style="137" bestFit="1" customWidth="1"/>
    <col min="3079" max="3079" width="59.42578125" style="137" bestFit="1" customWidth="1"/>
    <col min="3080" max="3080" width="37.5703125" style="137" customWidth="1"/>
    <col min="3081" max="3081" width="32.7109375" style="137" customWidth="1"/>
    <col min="3082" max="3082" width="14.28515625" style="137" customWidth="1"/>
    <col min="3083" max="3083" width="24.140625" style="137" customWidth="1"/>
    <col min="3084" max="3330" width="9.140625" style="137"/>
    <col min="3331" max="3331" width="2.7109375" style="137" customWidth="1"/>
    <col min="3332" max="3332" width="19.28515625" style="137" customWidth="1"/>
    <col min="3333" max="3333" width="14.85546875" style="137" customWidth="1"/>
    <col min="3334" max="3334" width="25.7109375" style="137" bestFit="1" customWidth="1"/>
    <col min="3335" max="3335" width="59.42578125" style="137" bestFit="1" customWidth="1"/>
    <col min="3336" max="3336" width="37.5703125" style="137" customWidth="1"/>
    <col min="3337" max="3337" width="32.7109375" style="137" customWidth="1"/>
    <col min="3338" max="3338" width="14.28515625" style="137" customWidth="1"/>
    <col min="3339" max="3339" width="24.140625" style="137" customWidth="1"/>
    <col min="3340" max="3586" width="9.140625" style="137"/>
    <col min="3587" max="3587" width="2.7109375" style="137" customWidth="1"/>
    <col min="3588" max="3588" width="19.28515625" style="137" customWidth="1"/>
    <col min="3589" max="3589" width="14.85546875" style="137" customWidth="1"/>
    <col min="3590" max="3590" width="25.7109375" style="137" bestFit="1" customWidth="1"/>
    <col min="3591" max="3591" width="59.42578125" style="137" bestFit="1" customWidth="1"/>
    <col min="3592" max="3592" width="37.5703125" style="137" customWidth="1"/>
    <col min="3593" max="3593" width="32.7109375" style="137" customWidth="1"/>
    <col min="3594" max="3594" width="14.28515625" style="137" customWidth="1"/>
    <col min="3595" max="3595" width="24.140625" style="137" customWidth="1"/>
    <col min="3596" max="3842" width="9.140625" style="137"/>
    <col min="3843" max="3843" width="2.7109375" style="137" customWidth="1"/>
    <col min="3844" max="3844" width="19.28515625" style="137" customWidth="1"/>
    <col min="3845" max="3845" width="14.85546875" style="137" customWidth="1"/>
    <col min="3846" max="3846" width="25.7109375" style="137" bestFit="1" customWidth="1"/>
    <col min="3847" max="3847" width="59.42578125" style="137" bestFit="1" customWidth="1"/>
    <col min="3848" max="3848" width="37.5703125" style="137" customWidth="1"/>
    <col min="3849" max="3849" width="32.7109375" style="137" customWidth="1"/>
    <col min="3850" max="3850" width="14.28515625" style="137" customWidth="1"/>
    <col min="3851" max="3851" width="24.140625" style="137" customWidth="1"/>
    <col min="3852" max="4098" width="9.140625" style="137"/>
    <col min="4099" max="4099" width="2.7109375" style="137" customWidth="1"/>
    <col min="4100" max="4100" width="19.28515625" style="137" customWidth="1"/>
    <col min="4101" max="4101" width="14.85546875" style="137" customWidth="1"/>
    <col min="4102" max="4102" width="25.7109375" style="137" bestFit="1" customWidth="1"/>
    <col min="4103" max="4103" width="59.42578125" style="137" bestFit="1" customWidth="1"/>
    <col min="4104" max="4104" width="37.5703125" style="137" customWidth="1"/>
    <col min="4105" max="4105" width="32.7109375" style="137" customWidth="1"/>
    <col min="4106" max="4106" width="14.28515625" style="137" customWidth="1"/>
    <col min="4107" max="4107" width="24.140625" style="137" customWidth="1"/>
    <col min="4108" max="4354" width="9.140625" style="137"/>
    <col min="4355" max="4355" width="2.7109375" style="137" customWidth="1"/>
    <col min="4356" max="4356" width="19.28515625" style="137" customWidth="1"/>
    <col min="4357" max="4357" width="14.85546875" style="137" customWidth="1"/>
    <col min="4358" max="4358" width="25.7109375" style="137" bestFit="1" customWidth="1"/>
    <col min="4359" max="4359" width="59.42578125" style="137" bestFit="1" customWidth="1"/>
    <col min="4360" max="4360" width="37.5703125" style="137" customWidth="1"/>
    <col min="4361" max="4361" width="32.7109375" style="137" customWidth="1"/>
    <col min="4362" max="4362" width="14.28515625" style="137" customWidth="1"/>
    <col min="4363" max="4363" width="24.140625" style="137" customWidth="1"/>
    <col min="4364" max="4610" width="9.140625" style="137"/>
    <col min="4611" max="4611" width="2.7109375" style="137" customWidth="1"/>
    <col min="4612" max="4612" width="19.28515625" style="137" customWidth="1"/>
    <col min="4613" max="4613" width="14.85546875" style="137" customWidth="1"/>
    <col min="4614" max="4614" width="25.7109375" style="137" bestFit="1" customWidth="1"/>
    <col min="4615" max="4615" width="59.42578125" style="137" bestFit="1" customWidth="1"/>
    <col min="4616" max="4616" width="37.5703125" style="137" customWidth="1"/>
    <col min="4617" max="4617" width="32.7109375" style="137" customWidth="1"/>
    <col min="4618" max="4618" width="14.28515625" style="137" customWidth="1"/>
    <col min="4619" max="4619" width="24.140625" style="137" customWidth="1"/>
    <col min="4620" max="4866" width="9.140625" style="137"/>
    <col min="4867" max="4867" width="2.7109375" style="137" customWidth="1"/>
    <col min="4868" max="4868" width="19.28515625" style="137" customWidth="1"/>
    <col min="4869" max="4869" width="14.85546875" style="137" customWidth="1"/>
    <col min="4870" max="4870" width="25.7109375" style="137" bestFit="1" customWidth="1"/>
    <col min="4871" max="4871" width="59.42578125" style="137" bestFit="1" customWidth="1"/>
    <col min="4872" max="4872" width="37.5703125" style="137" customWidth="1"/>
    <col min="4873" max="4873" width="32.7109375" style="137" customWidth="1"/>
    <col min="4874" max="4874" width="14.28515625" style="137" customWidth="1"/>
    <col min="4875" max="4875" width="24.140625" style="137" customWidth="1"/>
    <col min="4876" max="5122" width="9.140625" style="137"/>
    <col min="5123" max="5123" width="2.7109375" style="137" customWidth="1"/>
    <col min="5124" max="5124" width="19.28515625" style="137" customWidth="1"/>
    <col min="5125" max="5125" width="14.85546875" style="137" customWidth="1"/>
    <col min="5126" max="5126" width="25.7109375" style="137" bestFit="1" customWidth="1"/>
    <col min="5127" max="5127" width="59.42578125" style="137" bestFit="1" customWidth="1"/>
    <col min="5128" max="5128" width="37.5703125" style="137" customWidth="1"/>
    <col min="5129" max="5129" width="32.7109375" style="137" customWidth="1"/>
    <col min="5130" max="5130" width="14.28515625" style="137" customWidth="1"/>
    <col min="5131" max="5131" width="24.140625" style="137" customWidth="1"/>
    <col min="5132" max="5378" width="9.140625" style="137"/>
    <col min="5379" max="5379" width="2.7109375" style="137" customWidth="1"/>
    <col min="5380" max="5380" width="19.28515625" style="137" customWidth="1"/>
    <col min="5381" max="5381" width="14.85546875" style="137" customWidth="1"/>
    <col min="5382" max="5382" width="25.7109375" style="137" bestFit="1" customWidth="1"/>
    <col min="5383" max="5383" width="59.42578125" style="137" bestFit="1" customWidth="1"/>
    <col min="5384" max="5384" width="37.5703125" style="137" customWidth="1"/>
    <col min="5385" max="5385" width="32.7109375" style="137" customWidth="1"/>
    <col min="5386" max="5386" width="14.28515625" style="137" customWidth="1"/>
    <col min="5387" max="5387" width="24.140625" style="137" customWidth="1"/>
    <col min="5388" max="5634" width="9.140625" style="137"/>
    <col min="5635" max="5635" width="2.7109375" style="137" customWidth="1"/>
    <col min="5636" max="5636" width="19.28515625" style="137" customWidth="1"/>
    <col min="5637" max="5637" width="14.85546875" style="137" customWidth="1"/>
    <col min="5638" max="5638" width="25.7109375" style="137" bestFit="1" customWidth="1"/>
    <col min="5639" max="5639" width="59.42578125" style="137" bestFit="1" customWidth="1"/>
    <col min="5640" max="5640" width="37.5703125" style="137" customWidth="1"/>
    <col min="5641" max="5641" width="32.7109375" style="137" customWidth="1"/>
    <col min="5642" max="5642" width="14.28515625" style="137" customWidth="1"/>
    <col min="5643" max="5643" width="24.140625" style="137" customWidth="1"/>
    <col min="5644" max="5890" width="9.140625" style="137"/>
    <col min="5891" max="5891" width="2.7109375" style="137" customWidth="1"/>
    <col min="5892" max="5892" width="19.28515625" style="137" customWidth="1"/>
    <col min="5893" max="5893" width="14.85546875" style="137" customWidth="1"/>
    <col min="5894" max="5894" width="25.7109375" style="137" bestFit="1" customWidth="1"/>
    <col min="5895" max="5895" width="59.42578125" style="137" bestFit="1" customWidth="1"/>
    <col min="5896" max="5896" width="37.5703125" style="137" customWidth="1"/>
    <col min="5897" max="5897" width="32.7109375" style="137" customWidth="1"/>
    <col min="5898" max="5898" width="14.28515625" style="137" customWidth="1"/>
    <col min="5899" max="5899" width="24.140625" style="137" customWidth="1"/>
    <col min="5900" max="6146" width="9.140625" style="137"/>
    <col min="6147" max="6147" width="2.7109375" style="137" customWidth="1"/>
    <col min="6148" max="6148" width="19.28515625" style="137" customWidth="1"/>
    <col min="6149" max="6149" width="14.85546875" style="137" customWidth="1"/>
    <col min="6150" max="6150" width="25.7109375" style="137" bestFit="1" customWidth="1"/>
    <col min="6151" max="6151" width="59.42578125" style="137" bestFit="1" customWidth="1"/>
    <col min="6152" max="6152" width="37.5703125" style="137" customWidth="1"/>
    <col min="6153" max="6153" width="32.7109375" style="137" customWidth="1"/>
    <col min="6154" max="6154" width="14.28515625" style="137" customWidth="1"/>
    <col min="6155" max="6155" width="24.140625" style="137" customWidth="1"/>
    <col min="6156" max="6402" width="9.140625" style="137"/>
    <col min="6403" max="6403" width="2.7109375" style="137" customWidth="1"/>
    <col min="6404" max="6404" width="19.28515625" style="137" customWidth="1"/>
    <col min="6405" max="6405" width="14.85546875" style="137" customWidth="1"/>
    <col min="6406" max="6406" width="25.7109375" style="137" bestFit="1" customWidth="1"/>
    <col min="6407" max="6407" width="59.42578125" style="137" bestFit="1" customWidth="1"/>
    <col min="6408" max="6408" width="37.5703125" style="137" customWidth="1"/>
    <col min="6409" max="6409" width="32.7109375" style="137" customWidth="1"/>
    <col min="6410" max="6410" width="14.28515625" style="137" customWidth="1"/>
    <col min="6411" max="6411" width="24.140625" style="137" customWidth="1"/>
    <col min="6412" max="6658" width="9.140625" style="137"/>
    <col min="6659" max="6659" width="2.7109375" style="137" customWidth="1"/>
    <col min="6660" max="6660" width="19.28515625" style="137" customWidth="1"/>
    <col min="6661" max="6661" width="14.85546875" style="137" customWidth="1"/>
    <col min="6662" max="6662" width="25.7109375" style="137" bestFit="1" customWidth="1"/>
    <col min="6663" max="6663" width="59.42578125" style="137" bestFit="1" customWidth="1"/>
    <col min="6664" max="6664" width="37.5703125" style="137" customWidth="1"/>
    <col min="6665" max="6665" width="32.7109375" style="137" customWidth="1"/>
    <col min="6666" max="6666" width="14.28515625" style="137" customWidth="1"/>
    <col min="6667" max="6667" width="24.140625" style="137" customWidth="1"/>
    <col min="6668" max="6914" width="9.140625" style="137"/>
    <col min="6915" max="6915" width="2.7109375" style="137" customWidth="1"/>
    <col min="6916" max="6916" width="19.28515625" style="137" customWidth="1"/>
    <col min="6917" max="6917" width="14.85546875" style="137" customWidth="1"/>
    <col min="6918" max="6918" width="25.7109375" style="137" bestFit="1" customWidth="1"/>
    <col min="6919" max="6919" width="59.42578125" style="137" bestFit="1" customWidth="1"/>
    <col min="6920" max="6920" width="37.5703125" style="137" customWidth="1"/>
    <col min="6921" max="6921" width="32.7109375" style="137" customWidth="1"/>
    <col min="6922" max="6922" width="14.28515625" style="137" customWidth="1"/>
    <col min="6923" max="6923" width="24.140625" style="137" customWidth="1"/>
    <col min="6924" max="7170" width="9.140625" style="137"/>
    <col min="7171" max="7171" width="2.7109375" style="137" customWidth="1"/>
    <col min="7172" max="7172" width="19.28515625" style="137" customWidth="1"/>
    <col min="7173" max="7173" width="14.85546875" style="137" customWidth="1"/>
    <col min="7174" max="7174" width="25.7109375" style="137" bestFit="1" customWidth="1"/>
    <col min="7175" max="7175" width="59.42578125" style="137" bestFit="1" customWidth="1"/>
    <col min="7176" max="7176" width="37.5703125" style="137" customWidth="1"/>
    <col min="7177" max="7177" width="32.7109375" style="137" customWidth="1"/>
    <col min="7178" max="7178" width="14.28515625" style="137" customWidth="1"/>
    <col min="7179" max="7179" width="24.140625" style="137" customWidth="1"/>
    <col min="7180" max="7426" width="9.140625" style="137"/>
    <col min="7427" max="7427" width="2.7109375" style="137" customWidth="1"/>
    <col min="7428" max="7428" width="19.28515625" style="137" customWidth="1"/>
    <col min="7429" max="7429" width="14.85546875" style="137" customWidth="1"/>
    <col min="7430" max="7430" width="25.7109375" style="137" bestFit="1" customWidth="1"/>
    <col min="7431" max="7431" width="59.42578125" style="137" bestFit="1" customWidth="1"/>
    <col min="7432" max="7432" width="37.5703125" style="137" customWidth="1"/>
    <col min="7433" max="7433" width="32.7109375" style="137" customWidth="1"/>
    <col min="7434" max="7434" width="14.28515625" style="137" customWidth="1"/>
    <col min="7435" max="7435" width="24.140625" style="137" customWidth="1"/>
    <col min="7436" max="7682" width="9.140625" style="137"/>
    <col min="7683" max="7683" width="2.7109375" style="137" customWidth="1"/>
    <col min="7684" max="7684" width="19.28515625" style="137" customWidth="1"/>
    <col min="7685" max="7685" width="14.85546875" style="137" customWidth="1"/>
    <col min="7686" max="7686" width="25.7109375" style="137" bestFit="1" customWidth="1"/>
    <col min="7687" max="7687" width="59.42578125" style="137" bestFit="1" customWidth="1"/>
    <col min="7688" max="7688" width="37.5703125" style="137" customWidth="1"/>
    <col min="7689" max="7689" width="32.7109375" style="137" customWidth="1"/>
    <col min="7690" max="7690" width="14.28515625" style="137" customWidth="1"/>
    <col min="7691" max="7691" width="24.140625" style="137" customWidth="1"/>
    <col min="7692" max="7938" width="9.140625" style="137"/>
    <col min="7939" max="7939" width="2.7109375" style="137" customWidth="1"/>
    <col min="7940" max="7940" width="19.28515625" style="137" customWidth="1"/>
    <col min="7941" max="7941" width="14.85546875" style="137" customWidth="1"/>
    <col min="7942" max="7942" width="25.7109375" style="137" bestFit="1" customWidth="1"/>
    <col min="7943" max="7943" width="59.42578125" style="137" bestFit="1" customWidth="1"/>
    <col min="7944" max="7944" width="37.5703125" style="137" customWidth="1"/>
    <col min="7945" max="7945" width="32.7109375" style="137" customWidth="1"/>
    <col min="7946" max="7946" width="14.28515625" style="137" customWidth="1"/>
    <col min="7947" max="7947" width="24.140625" style="137" customWidth="1"/>
    <col min="7948" max="8194" width="9.140625" style="137"/>
    <col min="8195" max="8195" width="2.7109375" style="137" customWidth="1"/>
    <col min="8196" max="8196" width="19.28515625" style="137" customWidth="1"/>
    <col min="8197" max="8197" width="14.85546875" style="137" customWidth="1"/>
    <col min="8198" max="8198" width="25.7109375" style="137" bestFit="1" customWidth="1"/>
    <col min="8199" max="8199" width="59.42578125" style="137" bestFit="1" customWidth="1"/>
    <col min="8200" max="8200" width="37.5703125" style="137" customWidth="1"/>
    <col min="8201" max="8201" width="32.7109375" style="137" customWidth="1"/>
    <col min="8202" max="8202" width="14.28515625" style="137" customWidth="1"/>
    <col min="8203" max="8203" width="24.140625" style="137" customWidth="1"/>
    <col min="8204" max="8450" width="9.140625" style="137"/>
    <col min="8451" max="8451" width="2.7109375" style="137" customWidth="1"/>
    <col min="8452" max="8452" width="19.28515625" style="137" customWidth="1"/>
    <col min="8453" max="8453" width="14.85546875" style="137" customWidth="1"/>
    <col min="8454" max="8454" width="25.7109375" style="137" bestFit="1" customWidth="1"/>
    <col min="8455" max="8455" width="59.42578125" style="137" bestFit="1" customWidth="1"/>
    <col min="8456" max="8456" width="37.5703125" style="137" customWidth="1"/>
    <col min="8457" max="8457" width="32.7109375" style="137" customWidth="1"/>
    <col min="8458" max="8458" width="14.28515625" style="137" customWidth="1"/>
    <col min="8459" max="8459" width="24.140625" style="137" customWidth="1"/>
    <col min="8460" max="8706" width="9.140625" style="137"/>
    <col min="8707" max="8707" width="2.7109375" style="137" customWidth="1"/>
    <col min="8708" max="8708" width="19.28515625" style="137" customWidth="1"/>
    <col min="8709" max="8709" width="14.85546875" style="137" customWidth="1"/>
    <col min="8710" max="8710" width="25.7109375" style="137" bestFit="1" customWidth="1"/>
    <col min="8711" max="8711" width="59.42578125" style="137" bestFit="1" customWidth="1"/>
    <col min="8712" max="8712" width="37.5703125" style="137" customWidth="1"/>
    <col min="8713" max="8713" width="32.7109375" style="137" customWidth="1"/>
    <col min="8714" max="8714" width="14.28515625" style="137" customWidth="1"/>
    <col min="8715" max="8715" width="24.140625" style="137" customWidth="1"/>
    <col min="8716" max="8962" width="9.140625" style="137"/>
    <col min="8963" max="8963" width="2.7109375" style="137" customWidth="1"/>
    <col min="8964" max="8964" width="19.28515625" style="137" customWidth="1"/>
    <col min="8965" max="8965" width="14.85546875" style="137" customWidth="1"/>
    <col min="8966" max="8966" width="25.7109375" style="137" bestFit="1" customWidth="1"/>
    <col min="8967" max="8967" width="59.42578125" style="137" bestFit="1" customWidth="1"/>
    <col min="8968" max="8968" width="37.5703125" style="137" customWidth="1"/>
    <col min="8969" max="8969" width="32.7109375" style="137" customWidth="1"/>
    <col min="8970" max="8970" width="14.28515625" style="137" customWidth="1"/>
    <col min="8971" max="8971" width="24.140625" style="137" customWidth="1"/>
    <col min="8972" max="9218" width="9.140625" style="137"/>
    <col min="9219" max="9219" width="2.7109375" style="137" customWidth="1"/>
    <col min="9220" max="9220" width="19.28515625" style="137" customWidth="1"/>
    <col min="9221" max="9221" width="14.85546875" style="137" customWidth="1"/>
    <col min="9222" max="9222" width="25.7109375" style="137" bestFit="1" customWidth="1"/>
    <col min="9223" max="9223" width="59.42578125" style="137" bestFit="1" customWidth="1"/>
    <col min="9224" max="9224" width="37.5703125" style="137" customWidth="1"/>
    <col min="9225" max="9225" width="32.7109375" style="137" customWidth="1"/>
    <col min="9226" max="9226" width="14.28515625" style="137" customWidth="1"/>
    <col min="9227" max="9227" width="24.140625" style="137" customWidth="1"/>
    <col min="9228" max="9474" width="9.140625" style="137"/>
    <col min="9475" max="9475" width="2.7109375" style="137" customWidth="1"/>
    <col min="9476" max="9476" width="19.28515625" style="137" customWidth="1"/>
    <col min="9477" max="9477" width="14.85546875" style="137" customWidth="1"/>
    <col min="9478" max="9478" width="25.7109375" style="137" bestFit="1" customWidth="1"/>
    <col min="9479" max="9479" width="59.42578125" style="137" bestFit="1" customWidth="1"/>
    <col min="9480" max="9480" width="37.5703125" style="137" customWidth="1"/>
    <col min="9481" max="9481" width="32.7109375" style="137" customWidth="1"/>
    <col min="9482" max="9482" width="14.28515625" style="137" customWidth="1"/>
    <col min="9483" max="9483" width="24.140625" style="137" customWidth="1"/>
    <col min="9484" max="9730" width="9.140625" style="137"/>
    <col min="9731" max="9731" width="2.7109375" style="137" customWidth="1"/>
    <col min="9732" max="9732" width="19.28515625" style="137" customWidth="1"/>
    <col min="9733" max="9733" width="14.85546875" style="137" customWidth="1"/>
    <col min="9734" max="9734" width="25.7109375" style="137" bestFit="1" customWidth="1"/>
    <col min="9735" max="9735" width="59.42578125" style="137" bestFit="1" customWidth="1"/>
    <col min="9736" max="9736" width="37.5703125" style="137" customWidth="1"/>
    <col min="9737" max="9737" width="32.7109375" style="137" customWidth="1"/>
    <col min="9738" max="9738" width="14.28515625" style="137" customWidth="1"/>
    <col min="9739" max="9739" width="24.140625" style="137" customWidth="1"/>
    <col min="9740" max="9986" width="9.140625" style="137"/>
    <col min="9987" max="9987" width="2.7109375" style="137" customWidth="1"/>
    <col min="9988" max="9988" width="19.28515625" style="137" customWidth="1"/>
    <col min="9989" max="9989" width="14.85546875" style="137" customWidth="1"/>
    <col min="9990" max="9990" width="25.7109375" style="137" bestFit="1" customWidth="1"/>
    <col min="9991" max="9991" width="59.42578125" style="137" bestFit="1" customWidth="1"/>
    <col min="9992" max="9992" width="37.5703125" style="137" customWidth="1"/>
    <col min="9993" max="9993" width="32.7109375" style="137" customWidth="1"/>
    <col min="9994" max="9994" width="14.28515625" style="137" customWidth="1"/>
    <col min="9995" max="9995" width="24.140625" style="137" customWidth="1"/>
    <col min="9996" max="10242" width="9.140625" style="137"/>
    <col min="10243" max="10243" width="2.7109375" style="137" customWidth="1"/>
    <col min="10244" max="10244" width="19.28515625" style="137" customWidth="1"/>
    <col min="10245" max="10245" width="14.85546875" style="137" customWidth="1"/>
    <col min="10246" max="10246" width="25.7109375" style="137" bestFit="1" customWidth="1"/>
    <col min="10247" max="10247" width="59.42578125" style="137" bestFit="1" customWidth="1"/>
    <col min="10248" max="10248" width="37.5703125" style="137" customWidth="1"/>
    <col min="10249" max="10249" width="32.7109375" style="137" customWidth="1"/>
    <col min="10250" max="10250" width="14.28515625" style="137" customWidth="1"/>
    <col min="10251" max="10251" width="24.140625" style="137" customWidth="1"/>
    <col min="10252" max="10498" width="9.140625" style="137"/>
    <col min="10499" max="10499" width="2.7109375" style="137" customWidth="1"/>
    <col min="10500" max="10500" width="19.28515625" style="137" customWidth="1"/>
    <col min="10501" max="10501" width="14.85546875" style="137" customWidth="1"/>
    <col min="10502" max="10502" width="25.7109375" style="137" bestFit="1" customWidth="1"/>
    <col min="10503" max="10503" width="59.42578125" style="137" bestFit="1" customWidth="1"/>
    <col min="10504" max="10504" width="37.5703125" style="137" customWidth="1"/>
    <col min="10505" max="10505" width="32.7109375" style="137" customWidth="1"/>
    <col min="10506" max="10506" width="14.28515625" style="137" customWidth="1"/>
    <col min="10507" max="10507" width="24.140625" style="137" customWidth="1"/>
    <col min="10508" max="10754" width="9.140625" style="137"/>
    <col min="10755" max="10755" width="2.7109375" style="137" customWidth="1"/>
    <col min="10756" max="10756" width="19.28515625" style="137" customWidth="1"/>
    <col min="10757" max="10757" width="14.85546875" style="137" customWidth="1"/>
    <col min="10758" max="10758" width="25.7109375" style="137" bestFit="1" customWidth="1"/>
    <col min="10759" max="10759" width="59.42578125" style="137" bestFit="1" customWidth="1"/>
    <col min="10760" max="10760" width="37.5703125" style="137" customWidth="1"/>
    <col min="10761" max="10761" width="32.7109375" style="137" customWidth="1"/>
    <col min="10762" max="10762" width="14.28515625" style="137" customWidth="1"/>
    <col min="10763" max="10763" width="24.140625" style="137" customWidth="1"/>
    <col min="10764" max="11010" width="9.140625" style="137"/>
    <col min="11011" max="11011" width="2.7109375" style="137" customWidth="1"/>
    <col min="11012" max="11012" width="19.28515625" style="137" customWidth="1"/>
    <col min="11013" max="11013" width="14.85546875" style="137" customWidth="1"/>
    <col min="11014" max="11014" width="25.7109375" style="137" bestFit="1" customWidth="1"/>
    <col min="11015" max="11015" width="59.42578125" style="137" bestFit="1" customWidth="1"/>
    <col min="11016" max="11016" width="37.5703125" style="137" customWidth="1"/>
    <col min="11017" max="11017" width="32.7109375" style="137" customWidth="1"/>
    <col min="11018" max="11018" width="14.28515625" style="137" customWidth="1"/>
    <col min="11019" max="11019" width="24.140625" style="137" customWidth="1"/>
    <col min="11020" max="11266" width="9.140625" style="137"/>
    <col min="11267" max="11267" width="2.7109375" style="137" customWidth="1"/>
    <col min="11268" max="11268" width="19.28515625" style="137" customWidth="1"/>
    <col min="11269" max="11269" width="14.85546875" style="137" customWidth="1"/>
    <col min="11270" max="11270" width="25.7109375" style="137" bestFit="1" customWidth="1"/>
    <col min="11271" max="11271" width="59.42578125" style="137" bestFit="1" customWidth="1"/>
    <col min="11272" max="11272" width="37.5703125" style="137" customWidth="1"/>
    <col min="11273" max="11273" width="32.7109375" style="137" customWidth="1"/>
    <col min="11274" max="11274" width="14.28515625" style="137" customWidth="1"/>
    <col min="11275" max="11275" width="24.140625" style="137" customWidth="1"/>
    <col min="11276" max="11522" width="9.140625" style="137"/>
    <col min="11523" max="11523" width="2.7109375" style="137" customWidth="1"/>
    <col min="11524" max="11524" width="19.28515625" style="137" customWidth="1"/>
    <col min="11525" max="11525" width="14.85546875" style="137" customWidth="1"/>
    <col min="11526" max="11526" width="25.7109375" style="137" bestFit="1" customWidth="1"/>
    <col min="11527" max="11527" width="59.42578125" style="137" bestFit="1" customWidth="1"/>
    <col min="11528" max="11528" width="37.5703125" style="137" customWidth="1"/>
    <col min="11529" max="11529" width="32.7109375" style="137" customWidth="1"/>
    <col min="11530" max="11530" width="14.28515625" style="137" customWidth="1"/>
    <col min="11531" max="11531" width="24.140625" style="137" customWidth="1"/>
    <col min="11532" max="11778" width="9.140625" style="137"/>
    <col min="11779" max="11779" width="2.7109375" style="137" customWidth="1"/>
    <col min="11780" max="11780" width="19.28515625" style="137" customWidth="1"/>
    <col min="11781" max="11781" width="14.85546875" style="137" customWidth="1"/>
    <col min="11782" max="11782" width="25.7109375" style="137" bestFit="1" customWidth="1"/>
    <col min="11783" max="11783" width="59.42578125" style="137" bestFit="1" customWidth="1"/>
    <col min="11784" max="11784" width="37.5703125" style="137" customWidth="1"/>
    <col min="11785" max="11785" width="32.7109375" style="137" customWidth="1"/>
    <col min="11786" max="11786" width="14.28515625" style="137" customWidth="1"/>
    <col min="11787" max="11787" width="24.140625" style="137" customWidth="1"/>
    <col min="11788" max="12034" width="9.140625" style="137"/>
    <col min="12035" max="12035" width="2.7109375" style="137" customWidth="1"/>
    <col min="12036" max="12036" width="19.28515625" style="137" customWidth="1"/>
    <col min="12037" max="12037" width="14.85546875" style="137" customWidth="1"/>
    <col min="12038" max="12038" width="25.7109375" style="137" bestFit="1" customWidth="1"/>
    <col min="12039" max="12039" width="59.42578125" style="137" bestFit="1" customWidth="1"/>
    <col min="12040" max="12040" width="37.5703125" style="137" customWidth="1"/>
    <col min="12041" max="12041" width="32.7109375" style="137" customWidth="1"/>
    <col min="12042" max="12042" width="14.28515625" style="137" customWidth="1"/>
    <col min="12043" max="12043" width="24.140625" style="137" customWidth="1"/>
    <col min="12044" max="12290" width="9.140625" style="137"/>
    <col min="12291" max="12291" width="2.7109375" style="137" customWidth="1"/>
    <col min="12292" max="12292" width="19.28515625" style="137" customWidth="1"/>
    <col min="12293" max="12293" width="14.85546875" style="137" customWidth="1"/>
    <col min="12294" max="12294" width="25.7109375" style="137" bestFit="1" customWidth="1"/>
    <col min="12295" max="12295" width="59.42578125" style="137" bestFit="1" customWidth="1"/>
    <col min="12296" max="12296" width="37.5703125" style="137" customWidth="1"/>
    <col min="12297" max="12297" width="32.7109375" style="137" customWidth="1"/>
    <col min="12298" max="12298" width="14.28515625" style="137" customWidth="1"/>
    <col min="12299" max="12299" width="24.140625" style="137" customWidth="1"/>
    <col min="12300" max="12546" width="9.140625" style="137"/>
    <col min="12547" max="12547" width="2.7109375" style="137" customWidth="1"/>
    <col min="12548" max="12548" width="19.28515625" style="137" customWidth="1"/>
    <col min="12549" max="12549" width="14.85546875" style="137" customWidth="1"/>
    <col min="12550" max="12550" width="25.7109375" style="137" bestFit="1" customWidth="1"/>
    <col min="12551" max="12551" width="59.42578125" style="137" bestFit="1" customWidth="1"/>
    <col min="12552" max="12552" width="37.5703125" style="137" customWidth="1"/>
    <col min="12553" max="12553" width="32.7109375" style="137" customWidth="1"/>
    <col min="12554" max="12554" width="14.28515625" style="137" customWidth="1"/>
    <col min="12555" max="12555" width="24.140625" style="137" customWidth="1"/>
    <col min="12556" max="12802" width="9.140625" style="137"/>
    <col min="12803" max="12803" width="2.7109375" style="137" customWidth="1"/>
    <col min="12804" max="12804" width="19.28515625" style="137" customWidth="1"/>
    <col min="12805" max="12805" width="14.85546875" style="137" customWidth="1"/>
    <col min="12806" max="12806" width="25.7109375" style="137" bestFit="1" customWidth="1"/>
    <col min="12807" max="12807" width="59.42578125" style="137" bestFit="1" customWidth="1"/>
    <col min="12808" max="12808" width="37.5703125" style="137" customWidth="1"/>
    <col min="12809" max="12809" width="32.7109375" style="137" customWidth="1"/>
    <col min="12810" max="12810" width="14.28515625" style="137" customWidth="1"/>
    <col min="12811" max="12811" width="24.140625" style="137" customWidth="1"/>
    <col min="12812" max="13058" width="9.140625" style="137"/>
    <col min="13059" max="13059" width="2.7109375" style="137" customWidth="1"/>
    <col min="13060" max="13060" width="19.28515625" style="137" customWidth="1"/>
    <col min="13061" max="13061" width="14.85546875" style="137" customWidth="1"/>
    <col min="13062" max="13062" width="25.7109375" style="137" bestFit="1" customWidth="1"/>
    <col min="13063" max="13063" width="59.42578125" style="137" bestFit="1" customWidth="1"/>
    <col min="13064" max="13064" width="37.5703125" style="137" customWidth="1"/>
    <col min="13065" max="13065" width="32.7109375" style="137" customWidth="1"/>
    <col min="13066" max="13066" width="14.28515625" style="137" customWidth="1"/>
    <col min="13067" max="13067" width="24.140625" style="137" customWidth="1"/>
    <col min="13068" max="13314" width="9.140625" style="137"/>
    <col min="13315" max="13315" width="2.7109375" style="137" customWidth="1"/>
    <col min="13316" max="13316" width="19.28515625" style="137" customWidth="1"/>
    <col min="13317" max="13317" width="14.85546875" style="137" customWidth="1"/>
    <col min="13318" max="13318" width="25.7109375" style="137" bestFit="1" customWidth="1"/>
    <col min="13319" max="13319" width="59.42578125" style="137" bestFit="1" customWidth="1"/>
    <col min="13320" max="13320" width="37.5703125" style="137" customWidth="1"/>
    <col min="13321" max="13321" width="32.7109375" style="137" customWidth="1"/>
    <col min="13322" max="13322" width="14.28515625" style="137" customWidth="1"/>
    <col min="13323" max="13323" width="24.140625" style="137" customWidth="1"/>
    <col min="13324" max="13570" width="9.140625" style="137"/>
    <col min="13571" max="13571" width="2.7109375" style="137" customWidth="1"/>
    <col min="13572" max="13572" width="19.28515625" style="137" customWidth="1"/>
    <col min="13573" max="13573" width="14.85546875" style="137" customWidth="1"/>
    <col min="13574" max="13574" width="25.7109375" style="137" bestFit="1" customWidth="1"/>
    <col min="13575" max="13575" width="59.42578125" style="137" bestFit="1" customWidth="1"/>
    <col min="13576" max="13576" width="37.5703125" style="137" customWidth="1"/>
    <col min="13577" max="13577" width="32.7109375" style="137" customWidth="1"/>
    <col min="13578" max="13578" width="14.28515625" style="137" customWidth="1"/>
    <col min="13579" max="13579" width="24.140625" style="137" customWidth="1"/>
    <col min="13580" max="13826" width="9.140625" style="137"/>
    <col min="13827" max="13827" width="2.7109375" style="137" customWidth="1"/>
    <col min="13828" max="13828" width="19.28515625" style="137" customWidth="1"/>
    <col min="13829" max="13829" width="14.85546875" style="137" customWidth="1"/>
    <col min="13830" max="13830" width="25.7109375" style="137" bestFit="1" customWidth="1"/>
    <col min="13831" max="13831" width="59.42578125" style="137" bestFit="1" customWidth="1"/>
    <col min="13832" max="13832" width="37.5703125" style="137" customWidth="1"/>
    <col min="13833" max="13833" width="32.7109375" style="137" customWidth="1"/>
    <col min="13834" max="13834" width="14.28515625" style="137" customWidth="1"/>
    <col min="13835" max="13835" width="24.140625" style="137" customWidth="1"/>
    <col min="13836" max="14082" width="9.140625" style="137"/>
    <col min="14083" max="14083" width="2.7109375" style="137" customWidth="1"/>
    <col min="14084" max="14084" width="19.28515625" style="137" customWidth="1"/>
    <col min="14085" max="14085" width="14.85546875" style="137" customWidth="1"/>
    <col min="14086" max="14086" width="25.7109375" style="137" bestFit="1" customWidth="1"/>
    <col min="14087" max="14087" width="59.42578125" style="137" bestFit="1" customWidth="1"/>
    <col min="14088" max="14088" width="37.5703125" style="137" customWidth="1"/>
    <col min="14089" max="14089" width="32.7109375" style="137" customWidth="1"/>
    <col min="14090" max="14090" width="14.28515625" style="137" customWidth="1"/>
    <col min="14091" max="14091" width="24.140625" style="137" customWidth="1"/>
    <col min="14092" max="14338" width="9.140625" style="137"/>
    <col min="14339" max="14339" width="2.7109375" style="137" customWidth="1"/>
    <col min="14340" max="14340" width="19.28515625" style="137" customWidth="1"/>
    <col min="14341" max="14341" width="14.85546875" style="137" customWidth="1"/>
    <col min="14342" max="14342" width="25.7109375" style="137" bestFit="1" customWidth="1"/>
    <col min="14343" max="14343" width="59.42578125" style="137" bestFit="1" customWidth="1"/>
    <col min="14344" max="14344" width="37.5703125" style="137" customWidth="1"/>
    <col min="14345" max="14345" width="32.7109375" style="137" customWidth="1"/>
    <col min="14346" max="14346" width="14.28515625" style="137" customWidth="1"/>
    <col min="14347" max="14347" width="24.140625" style="137" customWidth="1"/>
    <col min="14348" max="14594" width="9.140625" style="137"/>
    <col min="14595" max="14595" width="2.7109375" style="137" customWidth="1"/>
    <col min="14596" max="14596" width="19.28515625" style="137" customWidth="1"/>
    <col min="14597" max="14597" width="14.85546875" style="137" customWidth="1"/>
    <col min="14598" max="14598" width="25.7109375" style="137" bestFit="1" customWidth="1"/>
    <col min="14599" max="14599" width="59.42578125" style="137" bestFit="1" customWidth="1"/>
    <col min="14600" max="14600" width="37.5703125" style="137" customWidth="1"/>
    <col min="14601" max="14601" width="32.7109375" style="137" customWidth="1"/>
    <col min="14602" max="14602" width="14.28515625" style="137" customWidth="1"/>
    <col min="14603" max="14603" width="24.140625" style="137" customWidth="1"/>
    <col min="14604" max="14850" width="9.140625" style="137"/>
    <col min="14851" max="14851" width="2.7109375" style="137" customWidth="1"/>
    <col min="14852" max="14852" width="19.28515625" style="137" customWidth="1"/>
    <col min="14853" max="14853" width="14.85546875" style="137" customWidth="1"/>
    <col min="14854" max="14854" width="25.7109375" style="137" bestFit="1" customWidth="1"/>
    <col min="14855" max="14855" width="59.42578125" style="137" bestFit="1" customWidth="1"/>
    <col min="14856" max="14856" width="37.5703125" style="137" customWidth="1"/>
    <col min="14857" max="14857" width="32.7109375" style="137" customWidth="1"/>
    <col min="14858" max="14858" width="14.28515625" style="137" customWidth="1"/>
    <col min="14859" max="14859" width="24.140625" style="137" customWidth="1"/>
    <col min="14860" max="15106" width="9.140625" style="137"/>
    <col min="15107" max="15107" width="2.7109375" style="137" customWidth="1"/>
    <col min="15108" max="15108" width="19.28515625" style="137" customWidth="1"/>
    <col min="15109" max="15109" width="14.85546875" style="137" customWidth="1"/>
    <col min="15110" max="15110" width="25.7109375" style="137" bestFit="1" customWidth="1"/>
    <col min="15111" max="15111" width="59.42578125" style="137" bestFit="1" customWidth="1"/>
    <col min="15112" max="15112" width="37.5703125" style="137" customWidth="1"/>
    <col min="15113" max="15113" width="32.7109375" style="137" customWidth="1"/>
    <col min="15114" max="15114" width="14.28515625" style="137" customWidth="1"/>
    <col min="15115" max="15115" width="24.140625" style="137" customWidth="1"/>
    <col min="15116" max="15362" width="9.140625" style="137"/>
    <col min="15363" max="15363" width="2.7109375" style="137" customWidth="1"/>
    <col min="15364" max="15364" width="19.28515625" style="137" customWidth="1"/>
    <col min="15365" max="15365" width="14.85546875" style="137" customWidth="1"/>
    <col min="15366" max="15366" width="25.7109375" style="137" bestFit="1" customWidth="1"/>
    <col min="15367" max="15367" width="59.42578125" style="137" bestFit="1" customWidth="1"/>
    <col min="15368" max="15368" width="37.5703125" style="137" customWidth="1"/>
    <col min="15369" max="15369" width="32.7109375" style="137" customWidth="1"/>
    <col min="15370" max="15370" width="14.28515625" style="137" customWidth="1"/>
    <col min="15371" max="15371" width="24.140625" style="137" customWidth="1"/>
    <col min="15372" max="15618" width="9.140625" style="137"/>
    <col min="15619" max="15619" width="2.7109375" style="137" customWidth="1"/>
    <col min="15620" max="15620" width="19.28515625" style="137" customWidth="1"/>
    <col min="15621" max="15621" width="14.85546875" style="137" customWidth="1"/>
    <col min="15622" max="15622" width="25.7109375" style="137" bestFit="1" customWidth="1"/>
    <col min="15623" max="15623" width="59.42578125" style="137" bestFit="1" customWidth="1"/>
    <col min="15624" max="15624" width="37.5703125" style="137" customWidth="1"/>
    <col min="15625" max="15625" width="32.7109375" style="137" customWidth="1"/>
    <col min="15626" max="15626" width="14.28515625" style="137" customWidth="1"/>
    <col min="15627" max="15627" width="24.140625" style="137" customWidth="1"/>
    <col min="15628" max="15874" width="9.140625" style="137"/>
    <col min="15875" max="15875" width="2.7109375" style="137" customWidth="1"/>
    <col min="15876" max="15876" width="19.28515625" style="137" customWidth="1"/>
    <col min="15877" max="15877" width="14.85546875" style="137" customWidth="1"/>
    <col min="15878" max="15878" width="25.7109375" style="137" bestFit="1" customWidth="1"/>
    <col min="15879" max="15879" width="59.42578125" style="137" bestFit="1" customWidth="1"/>
    <col min="15880" max="15880" width="37.5703125" style="137" customWidth="1"/>
    <col min="15881" max="15881" width="32.7109375" style="137" customWidth="1"/>
    <col min="15882" max="15882" width="14.28515625" style="137" customWidth="1"/>
    <col min="15883" max="15883" width="24.140625" style="137" customWidth="1"/>
    <col min="15884" max="16130" width="9.140625" style="137"/>
    <col min="16131" max="16131" width="2.7109375" style="137" customWidth="1"/>
    <col min="16132" max="16132" width="19.28515625" style="137" customWidth="1"/>
    <col min="16133" max="16133" width="14.85546875" style="137" customWidth="1"/>
    <col min="16134" max="16134" width="25.7109375" style="137" bestFit="1" customWidth="1"/>
    <col min="16135" max="16135" width="59.42578125" style="137" bestFit="1" customWidth="1"/>
    <col min="16136" max="16136" width="37.5703125" style="137" customWidth="1"/>
    <col min="16137" max="16137" width="32.7109375" style="137" customWidth="1"/>
    <col min="16138" max="16138" width="14.28515625" style="137" customWidth="1"/>
    <col min="16139" max="16139" width="24.140625" style="137" customWidth="1"/>
    <col min="16140" max="16384" width="9.140625" style="137"/>
  </cols>
  <sheetData>
    <row r="1" spans="1:11" ht="15" x14ac:dyDescent="0.2">
      <c r="A1" s="135"/>
      <c r="B1" s="136" t="s">
        <v>425</v>
      </c>
      <c r="C1" s="136" t="s">
        <v>426</v>
      </c>
      <c r="D1" s="136" t="s">
        <v>427</v>
      </c>
      <c r="E1" s="136" t="s">
        <v>428</v>
      </c>
      <c r="F1" s="136" t="s">
        <v>429</v>
      </c>
      <c r="G1" s="136" t="s">
        <v>430</v>
      </c>
      <c r="H1" s="136" t="s">
        <v>431</v>
      </c>
      <c r="I1" s="136" t="s">
        <v>432</v>
      </c>
      <c r="J1" s="136" t="s">
        <v>433</v>
      </c>
      <c r="K1" s="136" t="s">
        <v>434</v>
      </c>
    </row>
    <row r="2" spans="1:11" ht="99" customHeight="1" x14ac:dyDescent="0.2">
      <c r="A2" s="138"/>
      <c r="B2" s="139"/>
      <c r="C2" s="140" t="s">
        <v>435</v>
      </c>
      <c r="D2" s="140" t="s">
        <v>436</v>
      </c>
      <c r="E2" s="140" t="s">
        <v>437</v>
      </c>
      <c r="F2" s="140">
        <v>45</v>
      </c>
      <c r="G2" s="140" t="s">
        <v>438</v>
      </c>
      <c r="H2" s="141" t="s">
        <v>439</v>
      </c>
      <c r="I2" s="139"/>
      <c r="J2" s="139"/>
      <c r="K2" s="142" t="s">
        <v>440</v>
      </c>
    </row>
    <row r="3" spans="1:11" ht="99" customHeight="1" x14ac:dyDescent="0.2">
      <c r="A3" s="143"/>
      <c r="B3" s="139"/>
      <c r="C3" s="140" t="s">
        <v>441</v>
      </c>
      <c r="D3" s="140" t="s">
        <v>442</v>
      </c>
      <c r="E3" s="140" t="s">
        <v>207</v>
      </c>
      <c r="F3" s="140">
        <v>45</v>
      </c>
      <c r="G3" s="140" t="s">
        <v>443</v>
      </c>
      <c r="H3" s="141" t="s">
        <v>444</v>
      </c>
      <c r="I3" s="140"/>
      <c r="J3" s="140"/>
      <c r="K3" s="144" t="s">
        <v>445</v>
      </c>
    </row>
    <row r="4" spans="1:11" ht="99" customHeight="1" x14ac:dyDescent="0.2">
      <c r="A4" s="143"/>
      <c r="B4" s="139"/>
      <c r="C4" s="140" t="s">
        <v>446</v>
      </c>
      <c r="D4" s="139"/>
      <c r="E4" s="140" t="s">
        <v>447</v>
      </c>
      <c r="F4" s="140">
        <v>45</v>
      </c>
      <c r="G4" s="140" t="s">
        <v>448</v>
      </c>
      <c r="H4" s="141" t="s">
        <v>444</v>
      </c>
      <c r="I4" s="140"/>
      <c r="J4" s="140"/>
      <c r="K4" s="145"/>
    </row>
    <row r="5" spans="1:11" ht="99" customHeight="1" x14ac:dyDescent="0.2">
      <c r="A5" s="143"/>
      <c r="B5" s="139"/>
      <c r="C5" s="140" t="s">
        <v>449</v>
      </c>
      <c r="D5" s="140" t="s">
        <v>450</v>
      </c>
      <c r="E5" s="140" t="s">
        <v>451</v>
      </c>
      <c r="F5" s="140">
        <v>35</v>
      </c>
      <c r="G5" s="140" t="s">
        <v>452</v>
      </c>
      <c r="H5" s="141" t="s">
        <v>453</v>
      </c>
      <c r="I5" s="140"/>
      <c r="J5" s="140"/>
      <c r="K5" s="145"/>
    </row>
    <row r="6" spans="1:11" ht="99" customHeight="1" x14ac:dyDescent="0.2">
      <c r="A6" s="143"/>
      <c r="B6" s="139"/>
      <c r="C6" s="140" t="s">
        <v>454</v>
      </c>
      <c r="D6" s="140" t="s">
        <v>455</v>
      </c>
      <c r="E6" s="140" t="s">
        <v>456</v>
      </c>
      <c r="F6" s="140">
        <v>35</v>
      </c>
      <c r="G6" s="140" t="s">
        <v>457</v>
      </c>
      <c r="H6" s="141" t="s">
        <v>458</v>
      </c>
      <c r="I6" s="140"/>
      <c r="J6" s="140"/>
      <c r="K6" s="145"/>
    </row>
    <row r="7" spans="1:11" ht="99" customHeight="1" x14ac:dyDescent="0.2">
      <c r="A7" s="143"/>
      <c r="B7" s="139"/>
      <c r="C7" s="140"/>
      <c r="D7" s="140" t="s">
        <v>459</v>
      </c>
      <c r="E7" s="140" t="s">
        <v>460</v>
      </c>
      <c r="F7" s="140">
        <v>10</v>
      </c>
      <c r="G7" s="140" t="s">
        <v>461</v>
      </c>
      <c r="H7" s="141"/>
      <c r="I7" s="140"/>
      <c r="J7" s="140"/>
      <c r="K7" s="145"/>
    </row>
    <row r="8" spans="1:11" ht="99" customHeight="1" x14ac:dyDescent="0.2">
      <c r="A8" s="143"/>
      <c r="B8" s="139"/>
      <c r="C8" s="140"/>
      <c r="D8" s="140" t="s">
        <v>462</v>
      </c>
      <c r="E8" s="140" t="s">
        <v>463</v>
      </c>
      <c r="F8" s="140">
        <v>10</v>
      </c>
      <c r="G8" s="140" t="s">
        <v>461</v>
      </c>
      <c r="H8" s="141"/>
      <c r="I8" s="140"/>
      <c r="J8" s="140"/>
      <c r="K8" s="145"/>
    </row>
    <row r="9" spans="1:11" ht="99" customHeight="1" x14ac:dyDescent="0.2">
      <c r="A9" s="146"/>
      <c r="B9" s="139"/>
      <c r="C9" s="140" t="s">
        <v>464</v>
      </c>
      <c r="D9" s="140" t="s">
        <v>465</v>
      </c>
      <c r="E9" s="140" t="s">
        <v>466</v>
      </c>
      <c r="F9" s="140">
        <v>10</v>
      </c>
      <c r="G9" s="140" t="s">
        <v>467</v>
      </c>
      <c r="H9" s="141"/>
      <c r="I9" s="140"/>
      <c r="J9" s="140"/>
      <c r="K9" s="145"/>
    </row>
    <row r="10" spans="1:11" ht="99" customHeight="1" x14ac:dyDescent="0.2">
      <c r="A10" s="146"/>
      <c r="B10" s="139"/>
      <c r="C10" s="140" t="s">
        <v>464</v>
      </c>
      <c r="D10" s="140"/>
      <c r="E10" s="140" t="s">
        <v>468</v>
      </c>
      <c r="F10" s="140">
        <v>10</v>
      </c>
      <c r="G10" s="140" t="s">
        <v>469</v>
      </c>
      <c r="H10" s="141"/>
      <c r="I10" s="140"/>
      <c r="J10" s="140"/>
      <c r="K10" s="145"/>
    </row>
    <row r="11" spans="1:11" ht="99" customHeight="1" x14ac:dyDescent="0.2">
      <c r="A11" s="146"/>
      <c r="B11" s="139"/>
      <c r="C11" s="140" t="s">
        <v>470</v>
      </c>
      <c r="D11" s="140" t="s">
        <v>471</v>
      </c>
      <c r="E11" s="140" t="s">
        <v>472</v>
      </c>
      <c r="F11" s="140">
        <f>11.25*2</f>
        <v>22.5</v>
      </c>
      <c r="G11" s="140"/>
      <c r="H11" s="141"/>
      <c r="I11" s="140"/>
      <c r="J11" s="140"/>
      <c r="K11" s="145"/>
    </row>
    <row r="12" spans="1:11" ht="99" customHeight="1" x14ac:dyDescent="0.2">
      <c r="A12" s="293"/>
      <c r="B12" s="139"/>
      <c r="C12" s="140" t="s">
        <v>473</v>
      </c>
      <c r="D12" s="140" t="s">
        <v>474</v>
      </c>
      <c r="E12" s="140" t="s">
        <v>475</v>
      </c>
      <c r="F12" s="140">
        <v>18</v>
      </c>
      <c r="G12" s="140"/>
      <c r="H12" s="147" t="s">
        <v>476</v>
      </c>
      <c r="I12" s="140"/>
      <c r="J12" s="140"/>
      <c r="K12" s="145"/>
    </row>
    <row r="13" spans="1:11" ht="114" customHeight="1" x14ac:dyDescent="0.2">
      <c r="A13" s="293"/>
      <c r="B13" s="148"/>
      <c r="C13" s="139"/>
      <c r="D13" s="149" t="s">
        <v>477</v>
      </c>
      <c r="E13" s="149" t="s">
        <v>477</v>
      </c>
      <c r="F13" s="149" t="s">
        <v>478</v>
      </c>
      <c r="G13" s="150" t="s">
        <v>479</v>
      </c>
      <c r="H13" s="151" t="s">
        <v>480</v>
      </c>
      <c r="I13" s="139"/>
      <c r="J13" s="139"/>
      <c r="K13" s="152"/>
    </row>
    <row r="14" spans="1:11" ht="99" customHeight="1" x14ac:dyDescent="0.2">
      <c r="A14" s="293"/>
      <c r="B14" s="139"/>
      <c r="C14" s="140"/>
      <c r="D14" s="140"/>
      <c r="E14" s="140"/>
      <c r="F14" s="140"/>
      <c r="G14" s="140"/>
      <c r="H14" s="141"/>
      <c r="I14" s="140"/>
      <c r="J14" s="140"/>
      <c r="K14" s="144"/>
    </row>
    <row r="15" spans="1:11" ht="99" customHeight="1" x14ac:dyDescent="0.2">
      <c r="A15" s="293"/>
      <c r="B15" s="139"/>
      <c r="C15" s="140"/>
      <c r="D15" s="140"/>
      <c r="E15" s="140"/>
      <c r="F15" s="140"/>
      <c r="G15" s="140"/>
      <c r="H15" s="141"/>
      <c r="I15" s="140"/>
      <c r="J15" s="140"/>
      <c r="K15" s="145"/>
    </row>
    <row r="16" spans="1:11" ht="99" customHeight="1" x14ac:dyDescent="0.2">
      <c r="A16" s="293"/>
      <c r="B16" s="139"/>
      <c r="C16" s="140"/>
      <c r="D16" s="140"/>
      <c r="E16" s="140"/>
      <c r="F16" s="140"/>
      <c r="G16" s="140"/>
      <c r="H16" s="141"/>
      <c r="I16" s="140"/>
      <c r="J16" s="140"/>
      <c r="K16" s="145"/>
    </row>
    <row r="19" spans="1:11" ht="15.75" thickBot="1" x14ac:dyDescent="0.25">
      <c r="A19" s="153"/>
      <c r="B19" s="154" t="s">
        <v>425</v>
      </c>
      <c r="C19" s="154" t="s">
        <v>426</v>
      </c>
      <c r="D19" s="154" t="s">
        <v>428</v>
      </c>
      <c r="E19" s="154" t="s">
        <v>481</v>
      </c>
      <c r="F19" s="154" t="s">
        <v>428</v>
      </c>
      <c r="G19" s="154" t="s">
        <v>430</v>
      </c>
      <c r="H19" s="154" t="s">
        <v>431</v>
      </c>
      <c r="I19" s="154" t="s">
        <v>432</v>
      </c>
      <c r="J19" s="154" t="s">
        <v>433</v>
      </c>
      <c r="K19" s="154" t="s">
        <v>434</v>
      </c>
    </row>
    <row r="20" spans="1:11" ht="138.94999999999999" customHeight="1" thickBot="1" x14ac:dyDescent="0.25">
      <c r="A20" s="155"/>
      <c r="B20" s="156"/>
      <c r="C20" s="157"/>
      <c r="D20" s="157" t="s">
        <v>482</v>
      </c>
      <c r="E20" s="157" t="s">
        <v>483</v>
      </c>
      <c r="F20" s="157" t="s">
        <v>484</v>
      </c>
      <c r="G20" s="157" t="s">
        <v>485</v>
      </c>
      <c r="H20" s="158" t="s">
        <v>486</v>
      </c>
      <c r="I20" s="157"/>
      <c r="J20" s="157"/>
      <c r="K20" s="159"/>
    </row>
    <row r="21" spans="1:11" ht="138.94999999999999" customHeight="1" thickBot="1" x14ac:dyDescent="0.25">
      <c r="A21" s="155"/>
      <c r="B21" s="148"/>
      <c r="C21" s="140"/>
      <c r="D21" s="157" t="s">
        <v>482</v>
      </c>
      <c r="E21" s="140" t="s">
        <v>487</v>
      </c>
      <c r="F21" s="157" t="s">
        <v>484</v>
      </c>
      <c r="G21" s="140" t="s">
        <v>485</v>
      </c>
      <c r="H21" s="141" t="s">
        <v>486</v>
      </c>
      <c r="I21" s="140"/>
      <c r="J21" s="140"/>
      <c r="K21" s="160"/>
    </row>
    <row r="22" spans="1:11" ht="138.94999999999999" customHeight="1" thickBot="1" x14ac:dyDescent="0.25">
      <c r="A22" s="155"/>
      <c r="B22" s="148"/>
      <c r="C22" s="140"/>
      <c r="D22" s="157" t="s">
        <v>482</v>
      </c>
      <c r="E22" s="140" t="s">
        <v>488</v>
      </c>
      <c r="F22" s="157" t="s">
        <v>484</v>
      </c>
      <c r="G22" s="140" t="s">
        <v>485</v>
      </c>
      <c r="H22" s="141" t="s">
        <v>486</v>
      </c>
      <c r="I22" s="140"/>
      <c r="J22" s="140"/>
      <c r="K22" s="160"/>
    </row>
    <row r="23" spans="1:11" ht="138.94999999999999" customHeight="1" x14ac:dyDescent="0.2">
      <c r="A23" s="155"/>
      <c r="B23" s="148"/>
      <c r="C23" s="140"/>
      <c r="D23" s="157" t="s">
        <v>482</v>
      </c>
      <c r="E23" s="140" t="s">
        <v>489</v>
      </c>
      <c r="F23" s="157" t="s">
        <v>484</v>
      </c>
      <c r="G23" s="140" t="s">
        <v>485</v>
      </c>
      <c r="H23" s="141" t="s">
        <v>486</v>
      </c>
      <c r="I23" s="140"/>
      <c r="J23" s="140"/>
      <c r="K23" s="160"/>
    </row>
    <row r="24" spans="1:11" ht="138.94999999999999" customHeight="1" x14ac:dyDescent="0.2">
      <c r="A24" s="143"/>
      <c r="B24" s="148"/>
      <c r="C24" s="140" t="s">
        <v>490</v>
      </c>
      <c r="D24" s="140" t="s">
        <v>491</v>
      </c>
      <c r="E24" s="140" t="s">
        <v>492</v>
      </c>
      <c r="F24" s="140" t="s">
        <v>493</v>
      </c>
      <c r="G24" s="140" t="s">
        <v>494</v>
      </c>
      <c r="H24" s="141" t="s">
        <v>495</v>
      </c>
      <c r="I24" s="140"/>
      <c r="J24" s="140"/>
      <c r="K24" s="160"/>
    </row>
    <row r="25" spans="1:11" ht="138.94999999999999" customHeight="1" x14ac:dyDescent="0.2">
      <c r="A25" s="143"/>
      <c r="B25" s="148"/>
      <c r="C25" s="140" t="s">
        <v>490</v>
      </c>
      <c r="D25" s="140" t="s">
        <v>491</v>
      </c>
      <c r="E25" s="140" t="s">
        <v>496</v>
      </c>
      <c r="F25" s="140" t="s">
        <v>493</v>
      </c>
      <c r="G25" s="140" t="s">
        <v>497</v>
      </c>
      <c r="H25" s="141" t="s">
        <v>495</v>
      </c>
      <c r="I25" s="140"/>
      <c r="J25" s="140"/>
      <c r="K25" s="160"/>
    </row>
    <row r="26" spans="1:11" ht="138.94999999999999" customHeight="1" x14ac:dyDescent="0.2">
      <c r="A26" s="155"/>
      <c r="B26" s="148"/>
      <c r="C26" s="140" t="s">
        <v>498</v>
      </c>
      <c r="D26" s="140" t="s">
        <v>499</v>
      </c>
      <c r="E26" s="140" t="s">
        <v>500</v>
      </c>
      <c r="F26" s="140" t="s">
        <v>501</v>
      </c>
      <c r="G26" s="140" t="s">
        <v>502</v>
      </c>
      <c r="H26" s="141" t="s">
        <v>503</v>
      </c>
      <c r="I26" s="140"/>
      <c r="J26" s="140"/>
      <c r="K26" s="161" t="s">
        <v>504</v>
      </c>
    </row>
    <row r="27" spans="1:11" ht="138.94999999999999" customHeight="1" x14ac:dyDescent="0.2">
      <c r="A27" s="155"/>
      <c r="B27" s="148"/>
      <c r="C27" s="140"/>
      <c r="D27" s="140" t="s">
        <v>505</v>
      </c>
      <c r="E27" s="140" t="s">
        <v>297</v>
      </c>
      <c r="F27" s="140" t="s">
        <v>505</v>
      </c>
      <c r="G27" s="140" t="s">
        <v>506</v>
      </c>
      <c r="H27" s="141" t="s">
        <v>507</v>
      </c>
      <c r="I27" s="140"/>
      <c r="J27" s="140"/>
      <c r="K27" s="160"/>
    </row>
    <row r="28" spans="1:11" ht="138.94999999999999" customHeight="1" x14ac:dyDescent="0.2">
      <c r="A28" s="155"/>
      <c r="B28" s="148"/>
      <c r="C28" s="140"/>
      <c r="D28" s="140" t="s">
        <v>508</v>
      </c>
      <c r="E28" s="140" t="s">
        <v>43</v>
      </c>
      <c r="F28" s="140" t="s">
        <v>508</v>
      </c>
      <c r="G28" s="140" t="s">
        <v>506</v>
      </c>
      <c r="H28" s="141" t="s">
        <v>509</v>
      </c>
      <c r="I28" s="140"/>
      <c r="J28" s="140"/>
      <c r="K28" s="160"/>
    </row>
    <row r="29" spans="1:11" ht="138.94999999999999" customHeight="1" x14ac:dyDescent="0.2">
      <c r="B29" s="148"/>
      <c r="C29" s="150" t="s">
        <v>510</v>
      </c>
      <c r="D29" s="150" t="s">
        <v>511</v>
      </c>
      <c r="E29" s="149" t="s">
        <v>512</v>
      </c>
      <c r="F29" s="150" t="s">
        <v>511</v>
      </c>
      <c r="G29" s="149" t="s">
        <v>513</v>
      </c>
      <c r="H29" s="151" t="s">
        <v>514</v>
      </c>
      <c r="I29" s="139"/>
      <c r="J29" s="139"/>
      <c r="K29" s="152"/>
    </row>
    <row r="30" spans="1:11" ht="138.94999999999999" customHeight="1" x14ac:dyDescent="0.2">
      <c r="B30" s="148"/>
      <c r="C30" s="150" t="s">
        <v>510</v>
      </c>
      <c r="D30" s="150" t="s">
        <v>511</v>
      </c>
      <c r="E30" s="149" t="s">
        <v>515</v>
      </c>
      <c r="F30" s="150" t="s">
        <v>511</v>
      </c>
      <c r="G30" s="149" t="s">
        <v>516</v>
      </c>
      <c r="H30" s="151" t="s">
        <v>514</v>
      </c>
      <c r="I30" s="139"/>
      <c r="J30" s="139"/>
      <c r="K30" s="152"/>
    </row>
    <row r="31" spans="1:11" ht="138.94999999999999" customHeight="1" x14ac:dyDescent="0.2">
      <c r="B31" s="148"/>
      <c r="C31" s="150" t="s">
        <v>510</v>
      </c>
      <c r="D31" s="150" t="s">
        <v>511</v>
      </c>
      <c r="E31" s="149" t="s">
        <v>517</v>
      </c>
      <c r="F31" s="150" t="s">
        <v>511</v>
      </c>
      <c r="G31" s="149" t="s">
        <v>518</v>
      </c>
      <c r="H31" s="151" t="s">
        <v>514</v>
      </c>
      <c r="I31" s="139"/>
      <c r="J31" s="139"/>
      <c r="K31" s="152"/>
    </row>
    <row r="32" spans="1:11" ht="138.94999999999999" customHeight="1" x14ac:dyDescent="0.3">
      <c r="B32" s="148"/>
      <c r="C32" s="162" t="s">
        <v>519</v>
      </c>
      <c r="D32" s="150" t="s">
        <v>520</v>
      </c>
      <c r="E32" s="149" t="s">
        <v>521</v>
      </c>
      <c r="F32" s="150" t="s">
        <v>520</v>
      </c>
      <c r="G32" s="149" t="s">
        <v>522</v>
      </c>
      <c r="H32" s="151" t="s">
        <v>523</v>
      </c>
      <c r="I32" s="139"/>
      <c r="J32" s="139"/>
      <c r="K32" s="152"/>
    </row>
    <row r="33" spans="2:11" ht="138.94999999999999" customHeight="1" x14ac:dyDescent="0.2">
      <c r="B33" s="148"/>
      <c r="C33" s="150" t="s">
        <v>510</v>
      </c>
      <c r="D33" s="150" t="s">
        <v>511</v>
      </c>
      <c r="E33" s="149" t="s">
        <v>524</v>
      </c>
      <c r="F33" s="150" t="s">
        <v>511</v>
      </c>
      <c r="G33" s="149" t="s">
        <v>525</v>
      </c>
      <c r="H33" s="151" t="s">
        <v>514</v>
      </c>
      <c r="I33" s="139"/>
      <c r="J33" s="139"/>
      <c r="K33" s="152"/>
    </row>
    <row r="34" spans="2:11" ht="138.94999999999999" customHeight="1" x14ac:dyDescent="0.2">
      <c r="B34" s="148"/>
      <c r="C34" s="150" t="s">
        <v>526</v>
      </c>
      <c r="D34" s="150" t="s">
        <v>527</v>
      </c>
      <c r="E34" s="149" t="s">
        <v>528</v>
      </c>
      <c r="F34" s="150" t="s">
        <v>527</v>
      </c>
      <c r="G34" s="149" t="s">
        <v>529</v>
      </c>
      <c r="H34" s="151" t="s">
        <v>523</v>
      </c>
      <c r="I34" s="139"/>
      <c r="J34" s="139"/>
      <c r="K34" s="152"/>
    </row>
    <row r="35" spans="2:11" ht="138.94999999999999" customHeight="1" x14ac:dyDescent="0.2">
      <c r="B35" s="148"/>
      <c r="C35" s="150" t="s">
        <v>510</v>
      </c>
      <c r="D35" s="150" t="s">
        <v>511</v>
      </c>
      <c r="E35" s="149" t="s">
        <v>530</v>
      </c>
      <c r="F35" s="150" t="s">
        <v>511</v>
      </c>
      <c r="G35" s="149" t="s">
        <v>531</v>
      </c>
      <c r="H35" s="151" t="s">
        <v>514</v>
      </c>
      <c r="I35" s="139"/>
      <c r="J35" s="139"/>
      <c r="K35" s="152"/>
    </row>
    <row r="36" spans="2:11" ht="138.94999999999999" customHeight="1" x14ac:dyDescent="0.2">
      <c r="B36" s="148"/>
      <c r="C36" s="150" t="s">
        <v>526</v>
      </c>
      <c r="D36" s="150" t="s">
        <v>532</v>
      </c>
      <c r="E36" s="149" t="s">
        <v>533</v>
      </c>
      <c r="F36" s="150" t="s">
        <v>527</v>
      </c>
      <c r="G36" s="149" t="s">
        <v>534</v>
      </c>
      <c r="H36" s="151" t="s">
        <v>523</v>
      </c>
      <c r="I36" s="139"/>
      <c r="J36" s="139"/>
      <c r="K36" s="152"/>
    </row>
    <row r="37" spans="2:11" ht="138.94999999999999" customHeight="1" x14ac:dyDescent="0.2">
      <c r="B37" s="148"/>
      <c r="C37" s="150" t="s">
        <v>535</v>
      </c>
      <c r="D37" s="149" t="s">
        <v>536</v>
      </c>
      <c r="E37" s="149" t="s">
        <v>536</v>
      </c>
      <c r="F37" s="150" t="s">
        <v>537</v>
      </c>
      <c r="G37" s="150" t="s">
        <v>538</v>
      </c>
      <c r="H37" s="151" t="s">
        <v>480</v>
      </c>
      <c r="I37" s="139"/>
      <c r="J37" s="139"/>
      <c r="K37" s="152"/>
    </row>
    <row r="38" spans="2:11" ht="138.94999999999999" customHeight="1" thickBot="1" x14ac:dyDescent="0.25">
      <c r="B38" s="163"/>
      <c r="C38" s="164"/>
      <c r="D38" s="165" t="s">
        <v>539</v>
      </c>
      <c r="E38" s="165" t="s">
        <v>540</v>
      </c>
      <c r="F38" s="166" t="s">
        <v>541</v>
      </c>
      <c r="G38" s="166" t="s">
        <v>542</v>
      </c>
      <c r="H38" s="164"/>
      <c r="I38" s="164"/>
      <c r="J38" s="164"/>
      <c r="K38" s="167"/>
    </row>
    <row r="137" spans="2:2" x14ac:dyDescent="0.2">
      <c r="B137" s="137" t="s">
        <v>543</v>
      </c>
    </row>
    <row r="138" spans="2:2" x14ac:dyDescent="0.2">
      <c r="B138" s="137" t="s">
        <v>544</v>
      </c>
    </row>
    <row r="139" spans="2:2" x14ac:dyDescent="0.2">
      <c r="B139" s="137" t="s">
        <v>545</v>
      </c>
    </row>
    <row r="146" spans="2:5" x14ac:dyDescent="0.2">
      <c r="B146" s="137" t="s">
        <v>543</v>
      </c>
      <c r="C146" s="137" t="s">
        <v>546</v>
      </c>
      <c r="E146" s="137" t="s">
        <v>547</v>
      </c>
    </row>
    <row r="147" spans="2:5" x14ac:dyDescent="0.2">
      <c r="B147" s="137" t="s">
        <v>544</v>
      </c>
      <c r="C147" s="137" t="s">
        <v>398</v>
      </c>
      <c r="E147" s="137" t="s">
        <v>297</v>
      </c>
    </row>
    <row r="148" spans="2:5" x14ac:dyDescent="0.2">
      <c r="B148" s="137" t="s">
        <v>548</v>
      </c>
      <c r="C148" s="137" t="s">
        <v>399</v>
      </c>
      <c r="E148" s="137" t="s">
        <v>549</v>
      </c>
    </row>
    <row r="149" spans="2:5" x14ac:dyDescent="0.2">
      <c r="B149" s="137" t="s">
        <v>550</v>
      </c>
      <c r="C149" s="137" t="s">
        <v>551</v>
      </c>
      <c r="E149" s="137" t="s">
        <v>552</v>
      </c>
    </row>
    <row r="150" spans="2:5" x14ac:dyDescent="0.2">
      <c r="C150" s="137" t="s">
        <v>553</v>
      </c>
    </row>
  </sheetData>
  <mergeCells count="1">
    <mergeCell ref="A12:A16"/>
  </mergeCells>
  <pageMargins left="0.7" right="0.7" top="0.75" bottom="0.75" header="0.3" footer="0.3"/>
  <pageSetup paperSize="9" orientation="portrait" r:id="rId1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4954284-704B-4833-ACEC-3E85E374B942}">
  <sheetPr codeName="Hoja8"/>
  <dimension ref="A1:A12"/>
  <sheetViews>
    <sheetView workbookViewId="0">
      <selection activeCell="B9" sqref="B9"/>
    </sheetView>
  </sheetViews>
  <sheetFormatPr baseColWidth="10" defaultColWidth="10.7109375" defaultRowHeight="15" x14ac:dyDescent="0.25"/>
  <cols>
    <col min="1" max="1" width="13.140625" bestFit="1" customWidth="1"/>
  </cols>
  <sheetData>
    <row r="1" spans="1:1" x14ac:dyDescent="0.25">
      <c r="A1" s="106" t="s">
        <v>554</v>
      </c>
    </row>
    <row r="2" spans="1:1" x14ac:dyDescent="0.25">
      <c r="A2" t="s">
        <v>547</v>
      </c>
    </row>
    <row r="3" spans="1:1" x14ac:dyDescent="0.25">
      <c r="A3" t="s">
        <v>336</v>
      </c>
    </row>
    <row r="4" spans="1:1" x14ac:dyDescent="0.25">
      <c r="A4" t="s">
        <v>297</v>
      </c>
    </row>
    <row r="5" spans="1:1" x14ac:dyDescent="0.25">
      <c r="A5" t="s">
        <v>295</v>
      </c>
    </row>
    <row r="6" spans="1:1" x14ac:dyDescent="0.25">
      <c r="A6" t="s">
        <v>293</v>
      </c>
    </row>
    <row r="8" spans="1:1" x14ac:dyDescent="0.25">
      <c r="A8" s="106" t="s">
        <v>555</v>
      </c>
    </row>
    <row r="9" spans="1:1" x14ac:dyDescent="0.25">
      <c r="A9" t="s">
        <v>125</v>
      </c>
    </row>
    <row r="10" spans="1:1" x14ac:dyDescent="0.25">
      <c r="A10" t="s">
        <v>556</v>
      </c>
    </row>
    <row r="11" spans="1:1" x14ac:dyDescent="0.25">
      <c r="A11" t="s">
        <v>557</v>
      </c>
    </row>
    <row r="12" spans="1:1" x14ac:dyDescent="0.25">
      <c r="A12" t="s">
        <v>32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FDBEB96-15C6-42F1-83CF-B343E1AA4D51}">
  <dimension ref="A1:G81"/>
  <sheetViews>
    <sheetView topLeftCell="A40" workbookViewId="0">
      <selection activeCell="C66" sqref="C66"/>
    </sheetView>
  </sheetViews>
  <sheetFormatPr baseColWidth="10" defaultRowHeight="15" x14ac:dyDescent="0.25"/>
  <cols>
    <col min="1" max="1" width="40.5703125" bestFit="1" customWidth="1"/>
    <col min="2" max="2" width="11.42578125" customWidth="1"/>
    <col min="3" max="3" width="9" customWidth="1"/>
    <col min="4" max="4" width="2.140625" bestFit="1" customWidth="1"/>
  </cols>
  <sheetData>
    <row r="1" spans="1:4" x14ac:dyDescent="0.25">
      <c r="A1" t="s">
        <v>580</v>
      </c>
      <c r="B1" t="s">
        <v>581</v>
      </c>
    </row>
    <row r="2" spans="1:4" x14ac:dyDescent="0.25">
      <c r="A2" t="s">
        <v>582</v>
      </c>
      <c r="B2">
        <v>207.54</v>
      </c>
      <c r="C2">
        <f>B2/2</f>
        <v>103.77</v>
      </c>
      <c r="D2" t="s">
        <v>558</v>
      </c>
    </row>
    <row r="3" spans="1:4" x14ac:dyDescent="0.25">
      <c r="A3" t="s">
        <v>583</v>
      </c>
      <c r="B3">
        <v>339</v>
      </c>
      <c r="C3">
        <f t="shared" ref="C3:C66" si="0">B3/2</f>
        <v>169.5</v>
      </c>
      <c r="D3" t="s">
        <v>558</v>
      </c>
    </row>
    <row r="4" spans="1:4" x14ac:dyDescent="0.25">
      <c r="A4" t="s">
        <v>584</v>
      </c>
      <c r="B4">
        <v>59.59</v>
      </c>
      <c r="C4">
        <f t="shared" si="0"/>
        <v>29.795000000000002</v>
      </c>
      <c r="D4" t="s">
        <v>558</v>
      </c>
    </row>
    <row r="5" spans="1:4" x14ac:dyDescent="0.25">
      <c r="A5" t="s">
        <v>585</v>
      </c>
      <c r="B5">
        <v>25.87</v>
      </c>
      <c r="C5">
        <f t="shared" si="0"/>
        <v>12.935</v>
      </c>
      <c r="D5" t="s">
        <v>558</v>
      </c>
    </row>
    <row r="6" spans="1:4" x14ac:dyDescent="0.25">
      <c r="A6" t="s">
        <v>586</v>
      </c>
      <c r="B6">
        <v>23.79</v>
      </c>
      <c r="C6">
        <f t="shared" si="0"/>
        <v>11.895</v>
      </c>
      <c r="D6" t="s">
        <v>558</v>
      </c>
    </row>
    <row r="7" spans="1:4" x14ac:dyDescent="0.25">
      <c r="A7" t="s">
        <v>587</v>
      </c>
      <c r="B7">
        <v>56.18</v>
      </c>
      <c r="C7">
        <f t="shared" si="0"/>
        <v>28.09</v>
      </c>
      <c r="D7" t="s">
        <v>558</v>
      </c>
    </row>
    <row r="8" spans="1:4" x14ac:dyDescent="0.25">
      <c r="A8" t="s">
        <v>588</v>
      </c>
      <c r="B8">
        <v>8</v>
      </c>
      <c r="C8">
        <f t="shared" si="0"/>
        <v>4</v>
      </c>
      <c r="D8" t="s">
        <v>558</v>
      </c>
    </row>
    <row r="9" spans="1:4" x14ac:dyDescent="0.25">
      <c r="A9" t="s">
        <v>589</v>
      </c>
      <c r="B9">
        <v>9.23</v>
      </c>
      <c r="C9">
        <f t="shared" si="0"/>
        <v>4.6150000000000002</v>
      </c>
      <c r="D9" t="s">
        <v>558</v>
      </c>
    </row>
    <row r="10" spans="1:4" x14ac:dyDescent="0.25">
      <c r="A10" t="s">
        <v>590</v>
      </c>
      <c r="B10">
        <v>28.23</v>
      </c>
      <c r="C10">
        <f t="shared" si="0"/>
        <v>14.115</v>
      </c>
      <c r="D10" t="s">
        <v>558</v>
      </c>
    </row>
    <row r="11" spans="1:4" x14ac:dyDescent="0.25">
      <c r="A11" t="s">
        <v>591</v>
      </c>
      <c r="B11">
        <v>151.32</v>
      </c>
      <c r="C11">
        <f t="shared" si="0"/>
        <v>75.66</v>
      </c>
      <c r="D11" t="s">
        <v>558</v>
      </c>
    </row>
    <row r="12" spans="1:4" x14ac:dyDescent="0.25">
      <c r="A12" t="s">
        <v>592</v>
      </c>
      <c r="B12">
        <v>0</v>
      </c>
      <c r="C12">
        <f t="shared" si="0"/>
        <v>0</v>
      </c>
      <c r="D12" t="s">
        <v>558</v>
      </c>
    </row>
    <row r="13" spans="1:4" x14ac:dyDescent="0.25">
      <c r="A13" t="s">
        <v>593</v>
      </c>
      <c r="B13">
        <v>213.51</v>
      </c>
      <c r="C13">
        <f t="shared" si="0"/>
        <v>106.755</v>
      </c>
      <c r="D13" t="s">
        <v>558</v>
      </c>
    </row>
    <row r="14" spans="1:4" x14ac:dyDescent="0.25">
      <c r="A14" t="s">
        <v>594</v>
      </c>
      <c r="B14">
        <v>22.28</v>
      </c>
      <c r="C14">
        <f t="shared" si="0"/>
        <v>11.14</v>
      </c>
      <c r="D14" t="s">
        <v>558</v>
      </c>
    </row>
    <row r="15" spans="1:4" x14ac:dyDescent="0.25">
      <c r="A15" s="223" t="s">
        <v>595</v>
      </c>
      <c r="B15" s="223">
        <v>86.55</v>
      </c>
      <c r="C15">
        <f t="shared" si="0"/>
        <v>43.274999999999999</v>
      </c>
    </row>
    <row r="16" spans="1:4" x14ac:dyDescent="0.25">
      <c r="A16" t="s">
        <v>596</v>
      </c>
      <c r="B16">
        <v>14.72</v>
      </c>
      <c r="C16">
        <f t="shared" si="0"/>
        <v>7.36</v>
      </c>
      <c r="D16" t="s">
        <v>558</v>
      </c>
    </row>
    <row r="17" spans="1:4" x14ac:dyDescent="0.25">
      <c r="A17" t="s">
        <v>597</v>
      </c>
      <c r="B17">
        <v>37.520000000000003</v>
      </c>
      <c r="C17">
        <f t="shared" si="0"/>
        <v>18.760000000000002</v>
      </c>
      <c r="D17" t="s">
        <v>558</v>
      </c>
    </row>
    <row r="18" spans="1:4" x14ac:dyDescent="0.25">
      <c r="A18" t="s">
        <v>598</v>
      </c>
      <c r="B18">
        <v>37.869999999999997</v>
      </c>
      <c r="C18">
        <f t="shared" si="0"/>
        <v>18.934999999999999</v>
      </c>
      <c r="D18" t="s">
        <v>558</v>
      </c>
    </row>
    <row r="19" spans="1:4" x14ac:dyDescent="0.25">
      <c r="A19" t="s">
        <v>599</v>
      </c>
      <c r="B19">
        <v>29.96</v>
      </c>
      <c r="C19">
        <f t="shared" si="0"/>
        <v>14.98</v>
      </c>
      <c r="D19" t="s">
        <v>558</v>
      </c>
    </row>
    <row r="20" spans="1:4" x14ac:dyDescent="0.25">
      <c r="A20" t="s">
        <v>600</v>
      </c>
      <c r="B20">
        <v>68.180000000000007</v>
      </c>
      <c r="C20">
        <f t="shared" si="0"/>
        <v>34.090000000000003</v>
      </c>
      <c r="D20" t="s">
        <v>558</v>
      </c>
    </row>
    <row r="21" spans="1:4" x14ac:dyDescent="0.25">
      <c r="A21" t="s">
        <v>601</v>
      </c>
      <c r="B21">
        <v>77.89</v>
      </c>
      <c r="C21">
        <f t="shared" si="0"/>
        <v>38.945</v>
      </c>
      <c r="D21" t="s">
        <v>558</v>
      </c>
    </row>
    <row r="22" spans="1:4" x14ac:dyDescent="0.25">
      <c r="A22" t="s">
        <v>600</v>
      </c>
      <c r="B22">
        <v>24.48</v>
      </c>
      <c r="C22">
        <f t="shared" si="0"/>
        <v>12.24</v>
      </c>
      <c r="D22" t="s">
        <v>558</v>
      </c>
    </row>
    <row r="23" spans="1:4" x14ac:dyDescent="0.25">
      <c r="A23" t="s">
        <v>602</v>
      </c>
      <c r="B23">
        <v>42.82</v>
      </c>
      <c r="C23">
        <f t="shared" si="0"/>
        <v>21.41</v>
      </c>
      <c r="D23" t="s">
        <v>558</v>
      </c>
    </row>
    <row r="24" spans="1:4" x14ac:dyDescent="0.25">
      <c r="A24" t="s">
        <v>603</v>
      </c>
      <c r="B24">
        <v>8</v>
      </c>
      <c r="C24">
        <f t="shared" si="0"/>
        <v>4</v>
      </c>
      <c r="D24" t="s">
        <v>558</v>
      </c>
    </row>
    <row r="25" spans="1:4" x14ac:dyDescent="0.25">
      <c r="A25" t="s">
        <v>604</v>
      </c>
      <c r="B25">
        <v>7.28</v>
      </c>
      <c r="C25">
        <f t="shared" si="0"/>
        <v>3.64</v>
      </c>
      <c r="D25" t="s">
        <v>558</v>
      </c>
    </row>
    <row r="26" spans="1:4" x14ac:dyDescent="0.25">
      <c r="A26" t="s">
        <v>605</v>
      </c>
      <c r="B26">
        <v>2</v>
      </c>
      <c r="C26">
        <f t="shared" si="0"/>
        <v>1</v>
      </c>
      <c r="D26" t="s">
        <v>558</v>
      </c>
    </row>
    <row r="27" spans="1:4" x14ac:dyDescent="0.25">
      <c r="A27" t="s">
        <v>600</v>
      </c>
      <c r="B27">
        <v>63.88</v>
      </c>
      <c r="C27">
        <f t="shared" si="0"/>
        <v>31.94</v>
      </c>
      <c r="D27" t="s">
        <v>558</v>
      </c>
    </row>
    <row r="28" spans="1:4" x14ac:dyDescent="0.25">
      <c r="A28" s="223" t="s">
        <v>606</v>
      </c>
      <c r="B28" s="223">
        <v>99.63</v>
      </c>
      <c r="C28">
        <f t="shared" si="0"/>
        <v>49.814999999999998</v>
      </c>
    </row>
    <row r="29" spans="1:4" x14ac:dyDescent="0.25">
      <c r="A29" s="223" t="s">
        <v>607</v>
      </c>
      <c r="B29" s="223">
        <v>54.86</v>
      </c>
      <c r="C29">
        <f t="shared" si="0"/>
        <v>27.43</v>
      </c>
    </row>
    <row r="30" spans="1:4" x14ac:dyDescent="0.25">
      <c r="A30" t="s">
        <v>608</v>
      </c>
      <c r="B30">
        <v>9.3000000000000007</v>
      </c>
      <c r="C30">
        <f t="shared" si="0"/>
        <v>4.6500000000000004</v>
      </c>
      <c r="D30" t="s">
        <v>558</v>
      </c>
    </row>
    <row r="31" spans="1:4" x14ac:dyDescent="0.25">
      <c r="A31" t="s">
        <v>609</v>
      </c>
      <c r="B31">
        <v>63.46</v>
      </c>
      <c r="C31">
        <f t="shared" si="0"/>
        <v>31.73</v>
      </c>
      <c r="D31" t="s">
        <v>558</v>
      </c>
    </row>
    <row r="32" spans="1:4" x14ac:dyDescent="0.25">
      <c r="A32" t="s">
        <v>610</v>
      </c>
      <c r="B32">
        <v>11.8</v>
      </c>
      <c r="C32">
        <f t="shared" si="0"/>
        <v>5.9</v>
      </c>
      <c r="D32" t="s">
        <v>558</v>
      </c>
    </row>
    <row r="33" spans="1:7" x14ac:dyDescent="0.25">
      <c r="A33" t="s">
        <v>611</v>
      </c>
      <c r="B33">
        <v>18.010000000000002</v>
      </c>
      <c r="C33">
        <f t="shared" si="0"/>
        <v>9.0050000000000008</v>
      </c>
      <c r="D33" t="s">
        <v>558</v>
      </c>
      <c r="G33" s="224"/>
    </row>
    <row r="34" spans="1:7" x14ac:dyDescent="0.25">
      <c r="A34" t="s">
        <v>612</v>
      </c>
      <c r="B34">
        <v>80</v>
      </c>
      <c r="C34">
        <f t="shared" si="0"/>
        <v>40</v>
      </c>
      <c r="D34" t="s">
        <v>558</v>
      </c>
    </row>
    <row r="35" spans="1:7" x14ac:dyDescent="0.25">
      <c r="A35" t="s">
        <v>610</v>
      </c>
      <c r="B35">
        <v>9.2100000000000009</v>
      </c>
      <c r="C35">
        <f t="shared" si="0"/>
        <v>4.6050000000000004</v>
      </c>
      <c r="D35" t="s">
        <v>558</v>
      </c>
    </row>
    <row r="36" spans="1:7" x14ac:dyDescent="0.25">
      <c r="A36" s="223" t="s">
        <v>613</v>
      </c>
      <c r="B36" s="223">
        <v>179.22</v>
      </c>
      <c r="C36">
        <f t="shared" si="0"/>
        <v>89.61</v>
      </c>
    </row>
    <row r="37" spans="1:7" x14ac:dyDescent="0.25">
      <c r="A37" t="s">
        <v>614</v>
      </c>
      <c r="B37">
        <v>0</v>
      </c>
      <c r="C37">
        <f t="shared" si="0"/>
        <v>0</v>
      </c>
      <c r="D37" t="s">
        <v>558</v>
      </c>
    </row>
    <row r="38" spans="1:7" x14ac:dyDescent="0.25">
      <c r="A38" t="s">
        <v>615</v>
      </c>
      <c r="B38">
        <v>8.7200000000000006</v>
      </c>
      <c r="C38">
        <f t="shared" si="0"/>
        <v>4.3600000000000003</v>
      </c>
      <c r="D38" t="s">
        <v>558</v>
      </c>
    </row>
    <row r="39" spans="1:7" x14ac:dyDescent="0.25">
      <c r="A39" s="223" t="s">
        <v>616</v>
      </c>
      <c r="B39" s="223">
        <v>73.739999999999995</v>
      </c>
      <c r="C39">
        <f t="shared" si="0"/>
        <v>36.869999999999997</v>
      </c>
    </row>
    <row r="40" spans="1:7" x14ac:dyDescent="0.25">
      <c r="A40" t="s">
        <v>617</v>
      </c>
      <c r="B40">
        <v>0</v>
      </c>
      <c r="C40">
        <f t="shared" si="0"/>
        <v>0</v>
      </c>
      <c r="D40" t="s">
        <v>558</v>
      </c>
    </row>
    <row r="41" spans="1:7" x14ac:dyDescent="0.25">
      <c r="A41" t="s">
        <v>618</v>
      </c>
      <c r="B41">
        <v>0</v>
      </c>
      <c r="C41">
        <f t="shared" si="0"/>
        <v>0</v>
      </c>
      <c r="D41" t="s">
        <v>558</v>
      </c>
    </row>
    <row r="42" spans="1:7" x14ac:dyDescent="0.25">
      <c r="A42" t="s">
        <v>619</v>
      </c>
      <c r="B42">
        <v>0</v>
      </c>
      <c r="C42">
        <f t="shared" si="0"/>
        <v>0</v>
      </c>
      <c r="D42" t="s">
        <v>558</v>
      </c>
    </row>
    <row r="43" spans="1:7" x14ac:dyDescent="0.25">
      <c r="A43" t="s">
        <v>620</v>
      </c>
      <c r="B43">
        <v>35</v>
      </c>
      <c r="C43">
        <f t="shared" si="0"/>
        <v>17.5</v>
      </c>
      <c r="D43" t="s">
        <v>558</v>
      </c>
    </row>
    <row r="44" spans="1:7" x14ac:dyDescent="0.25">
      <c r="A44" t="s">
        <v>621</v>
      </c>
      <c r="B44">
        <v>12.99</v>
      </c>
      <c r="C44">
        <f t="shared" si="0"/>
        <v>6.4950000000000001</v>
      </c>
      <c r="D44" t="s">
        <v>558</v>
      </c>
    </row>
    <row r="45" spans="1:7" x14ac:dyDescent="0.25">
      <c r="A45" t="s">
        <v>622</v>
      </c>
      <c r="B45">
        <v>3.99</v>
      </c>
      <c r="C45">
        <f t="shared" si="0"/>
        <v>1.9950000000000001</v>
      </c>
      <c r="D45" t="s">
        <v>558</v>
      </c>
    </row>
    <row r="46" spans="1:7" x14ac:dyDescent="0.25">
      <c r="A46" t="s">
        <v>623</v>
      </c>
      <c r="B46">
        <v>0</v>
      </c>
      <c r="C46">
        <f t="shared" si="0"/>
        <v>0</v>
      </c>
      <c r="D46" t="s">
        <v>558</v>
      </c>
    </row>
    <row r="47" spans="1:7" x14ac:dyDescent="0.25">
      <c r="A47" t="s">
        <v>624</v>
      </c>
      <c r="B47">
        <v>0</v>
      </c>
      <c r="C47">
        <f t="shared" si="0"/>
        <v>0</v>
      </c>
      <c r="D47" t="s">
        <v>558</v>
      </c>
    </row>
    <row r="48" spans="1:7" x14ac:dyDescent="0.25">
      <c r="A48" t="s">
        <v>625</v>
      </c>
      <c r="B48">
        <v>35</v>
      </c>
      <c r="C48">
        <f t="shared" si="0"/>
        <v>17.5</v>
      </c>
      <c r="D48" t="s">
        <v>558</v>
      </c>
    </row>
    <row r="49" spans="1:4" x14ac:dyDescent="0.25">
      <c r="A49" t="s">
        <v>626</v>
      </c>
      <c r="B49">
        <v>23.9</v>
      </c>
      <c r="C49">
        <f t="shared" si="0"/>
        <v>11.95</v>
      </c>
      <c r="D49" t="s">
        <v>558</v>
      </c>
    </row>
    <row r="50" spans="1:4" x14ac:dyDescent="0.25">
      <c r="A50" t="s">
        <v>627</v>
      </c>
      <c r="B50">
        <v>0</v>
      </c>
      <c r="C50">
        <f t="shared" si="0"/>
        <v>0</v>
      </c>
      <c r="D50" t="s">
        <v>558</v>
      </c>
    </row>
    <row r="51" spans="1:4" x14ac:dyDescent="0.25">
      <c r="A51" t="s">
        <v>628</v>
      </c>
      <c r="B51">
        <v>0</v>
      </c>
      <c r="C51">
        <f t="shared" si="0"/>
        <v>0</v>
      </c>
      <c r="D51" t="s">
        <v>558</v>
      </c>
    </row>
    <row r="52" spans="1:4" x14ac:dyDescent="0.25">
      <c r="A52" t="s">
        <v>629</v>
      </c>
      <c r="B52">
        <v>0</v>
      </c>
      <c r="C52">
        <f t="shared" si="0"/>
        <v>0</v>
      </c>
      <c r="D52" t="s">
        <v>558</v>
      </c>
    </row>
    <row r="53" spans="1:4" x14ac:dyDescent="0.25">
      <c r="A53" t="s">
        <v>630</v>
      </c>
      <c r="B53">
        <v>30</v>
      </c>
      <c r="C53">
        <f t="shared" si="0"/>
        <v>15</v>
      </c>
      <c r="D53" t="s">
        <v>558</v>
      </c>
    </row>
    <row r="54" spans="1:4" x14ac:dyDescent="0.25">
      <c r="A54" t="s">
        <v>631</v>
      </c>
      <c r="B54">
        <v>0</v>
      </c>
      <c r="C54">
        <f t="shared" si="0"/>
        <v>0</v>
      </c>
      <c r="D54" t="s">
        <v>558</v>
      </c>
    </row>
    <row r="55" spans="1:4" x14ac:dyDescent="0.25">
      <c r="A55" t="s">
        <v>632</v>
      </c>
      <c r="B55">
        <v>0</v>
      </c>
      <c r="C55">
        <f t="shared" si="0"/>
        <v>0</v>
      </c>
      <c r="D55" t="s">
        <v>558</v>
      </c>
    </row>
    <row r="56" spans="1:4" x14ac:dyDescent="0.25">
      <c r="A56" t="s">
        <v>633</v>
      </c>
      <c r="B56">
        <v>0</v>
      </c>
      <c r="C56">
        <f t="shared" si="0"/>
        <v>0</v>
      </c>
      <c r="D56" t="s">
        <v>558</v>
      </c>
    </row>
    <row r="57" spans="1:4" x14ac:dyDescent="0.25">
      <c r="A57" t="s">
        <v>634</v>
      </c>
      <c r="B57">
        <v>0</v>
      </c>
      <c r="C57">
        <f t="shared" si="0"/>
        <v>0</v>
      </c>
      <c r="D57" t="s">
        <v>558</v>
      </c>
    </row>
    <row r="58" spans="1:4" x14ac:dyDescent="0.25">
      <c r="A58" t="s">
        <v>635</v>
      </c>
      <c r="B58">
        <v>0</v>
      </c>
      <c r="C58">
        <f t="shared" si="0"/>
        <v>0</v>
      </c>
      <c r="D58" t="s">
        <v>558</v>
      </c>
    </row>
    <row r="59" spans="1:4" x14ac:dyDescent="0.25">
      <c r="A59" t="s">
        <v>636</v>
      </c>
      <c r="B59">
        <v>0</v>
      </c>
      <c r="C59">
        <f t="shared" si="0"/>
        <v>0</v>
      </c>
      <c r="D59" t="s">
        <v>558</v>
      </c>
    </row>
    <row r="60" spans="1:4" x14ac:dyDescent="0.25">
      <c r="A60" t="s">
        <v>637</v>
      </c>
      <c r="B60">
        <v>0</v>
      </c>
      <c r="C60">
        <f t="shared" si="0"/>
        <v>0</v>
      </c>
      <c r="D60" t="s">
        <v>558</v>
      </c>
    </row>
    <row r="61" spans="1:4" x14ac:dyDescent="0.25">
      <c r="A61" t="s">
        <v>638</v>
      </c>
      <c r="B61">
        <v>0</v>
      </c>
      <c r="C61">
        <f t="shared" si="0"/>
        <v>0</v>
      </c>
      <c r="D61" t="s">
        <v>558</v>
      </c>
    </row>
    <row r="62" spans="1:4" x14ac:dyDescent="0.25">
      <c r="A62" t="s">
        <v>639</v>
      </c>
      <c r="B62">
        <v>0</v>
      </c>
      <c r="C62">
        <f t="shared" si="0"/>
        <v>0</v>
      </c>
      <c r="D62" t="s">
        <v>558</v>
      </c>
    </row>
    <row r="63" spans="1:4" x14ac:dyDescent="0.25">
      <c r="A63" t="s">
        <v>640</v>
      </c>
      <c r="B63">
        <v>0</v>
      </c>
      <c r="C63">
        <f t="shared" si="0"/>
        <v>0</v>
      </c>
      <c r="D63" t="s">
        <v>558</v>
      </c>
    </row>
    <row r="64" spans="1:4" x14ac:dyDescent="0.25">
      <c r="A64" t="s">
        <v>641</v>
      </c>
      <c r="B64">
        <v>0</v>
      </c>
      <c r="C64">
        <f t="shared" si="0"/>
        <v>0</v>
      </c>
      <c r="D64" t="s">
        <v>558</v>
      </c>
    </row>
    <row r="65" spans="1:4" x14ac:dyDescent="0.25">
      <c r="A65" t="s">
        <v>642</v>
      </c>
      <c r="B65">
        <v>425</v>
      </c>
      <c r="C65">
        <f t="shared" si="0"/>
        <v>212.5</v>
      </c>
      <c r="D65" t="s">
        <v>558</v>
      </c>
    </row>
    <row r="66" spans="1:4" x14ac:dyDescent="0.25">
      <c r="A66" t="s">
        <v>643</v>
      </c>
      <c r="B66">
        <v>100</v>
      </c>
      <c r="C66">
        <f t="shared" si="0"/>
        <v>50</v>
      </c>
      <c r="D66" t="s">
        <v>558</v>
      </c>
    </row>
    <row r="67" spans="1:4" x14ac:dyDescent="0.25">
      <c r="B67">
        <f>SUM(B2:B66)</f>
        <v>2919.5199999999991</v>
      </c>
    </row>
    <row r="68" spans="1:4" x14ac:dyDescent="0.25">
      <c r="B68">
        <f>SUMIFS(B2:B66,D2:D66,"x")</f>
        <v>2425.5200000000004</v>
      </c>
    </row>
    <row r="69" spans="1:4" x14ac:dyDescent="0.25">
      <c r="B69">
        <f>B68/2</f>
        <v>1212.7600000000002</v>
      </c>
    </row>
    <row r="79" spans="1:4" x14ac:dyDescent="0.25">
      <c r="A79" t="s">
        <v>644</v>
      </c>
      <c r="B79" s="105">
        <v>1212.76</v>
      </c>
    </row>
    <row r="80" spans="1:4" x14ac:dyDescent="0.25">
      <c r="A80" t="s">
        <v>645</v>
      </c>
      <c r="B80" s="105">
        <v>1750</v>
      </c>
    </row>
    <row r="81" spans="1:2" x14ac:dyDescent="0.25">
      <c r="A81" t="s">
        <v>15</v>
      </c>
      <c r="B81" s="105">
        <f>B79+B80</f>
        <v>2962.76</v>
      </c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lcf76f155ced4ddcb4097134ff3c332f xmlns="ea0d0afa-57bf-41fe-b3de-d9c0393eaef9">
      <Terms xmlns="http://schemas.microsoft.com/office/infopath/2007/PartnerControls"/>
    </lcf76f155ced4ddcb4097134ff3c332f>
    <TaxCatchAll xmlns="b6cd3e2f-1c89-4fcc-b46a-b4c31df5e42c" xsi:nil="true"/>
  </documentManagement>
</p:properti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o" ma:contentTypeID="0x0101007217898A62696A45B25D27E2467C5042" ma:contentTypeVersion="15" ma:contentTypeDescription="Crear nuevo documento." ma:contentTypeScope="" ma:versionID="bb974a1b45c97873b27518afaca2e305">
  <xsd:schema xmlns:xsd="http://www.w3.org/2001/XMLSchema" xmlns:xs="http://www.w3.org/2001/XMLSchema" xmlns:p="http://schemas.microsoft.com/office/2006/metadata/properties" xmlns:ns2="ea0d0afa-57bf-41fe-b3de-d9c0393eaef9" xmlns:ns3="b6cd3e2f-1c89-4fcc-b46a-b4c31df5e42c" targetNamespace="http://schemas.microsoft.com/office/2006/metadata/properties" ma:root="true" ma:fieldsID="703bba044af214ba5d4393ac86a45c5f" ns2:_="" ns3:_="">
    <xsd:import namespace="ea0d0afa-57bf-41fe-b3de-d9c0393eaef9"/>
    <xsd:import namespace="b6cd3e2f-1c89-4fcc-b46a-b4c31df5e42c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ObjectDetectorVersions" minOccurs="0"/>
                <xsd:element ref="ns2:MediaServiceGenerationTime" minOccurs="0"/>
                <xsd:element ref="ns2:MediaServiceEventHashCode" minOccurs="0"/>
                <xsd:element ref="ns2:MediaLengthInSeconds" minOccurs="0"/>
                <xsd:element ref="ns2:MediaServiceDateTaken" minOccurs="0"/>
                <xsd:element ref="ns2:lcf76f155ced4ddcb4097134ff3c332f" minOccurs="0"/>
                <xsd:element ref="ns3:TaxCatchAll" minOccurs="0"/>
                <xsd:element ref="ns2:MediaServiceOCR" minOccurs="0"/>
                <xsd:element ref="ns3:SharedWithUsers" minOccurs="0"/>
                <xsd:element ref="ns3:SharedWithDetails" minOccurs="0"/>
                <xsd:element ref="ns2:MediaServiceLocation" minOccurs="0"/>
                <xsd:element ref="ns2:MediaServiceSearchPropertie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ea0d0afa-57bf-41fe-b3de-d9c0393eaef9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ObjectDetectorVersions" ma:index="10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GenerationTime" ma:index="11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2" nillable="true" ma:displayName="MediaServiceEventHashCode" ma:hidden="true" ma:internalName="MediaServiceEventHashCode" ma:readOnly="true">
      <xsd:simpleType>
        <xsd:restriction base="dms:Text"/>
      </xsd:simpleType>
    </xsd:element>
    <xsd:element name="MediaLengthInSeconds" ma:index="13" nillable="true" ma:displayName="MediaLengthInSeconds" ma:hidden="true" ma:internalName="MediaLengthInSeconds" ma:readOnly="true">
      <xsd:simpleType>
        <xsd:restriction base="dms:Unknown"/>
      </xsd:simpleType>
    </xsd:element>
    <xsd:element name="MediaServiceDateTaken" ma:index="14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lcf76f155ced4ddcb4097134ff3c332f" ma:index="16" nillable="true" ma:taxonomy="true" ma:internalName="lcf76f155ced4ddcb4097134ff3c332f" ma:taxonomyFieldName="MediaServiceImageTags" ma:displayName="Etiquetas de imagen" ma:readOnly="false" ma:fieldId="{5cf76f15-5ced-4ddc-b409-7134ff3c332f}" ma:taxonomyMulti="true" ma:sspId="a2232a4d-d1d9-40d8-813d-22bf4827ebcb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CR" ma:index="18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Location" ma:index="21" nillable="true" ma:displayName="Location" ma:indexed="true" ma:internalName="MediaServiceLocation" ma:readOnly="true">
      <xsd:simpleType>
        <xsd:restriction base="dms:Text"/>
      </xsd:simpleType>
    </xsd:element>
    <xsd:element name="MediaServiceSearchProperties" ma:index="22" nillable="true" ma:displayName="MediaServiceSearchProperties" ma:hidden="true" ma:internalName="MediaServiceSearchProperties" ma:readOnly="true">
      <xsd:simpleType>
        <xsd:restriction base="dms:Not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b6cd3e2f-1c89-4fcc-b46a-b4c31df5e42c" elementFormDefault="qualified">
    <xsd:import namespace="http://schemas.microsoft.com/office/2006/documentManagement/types"/>
    <xsd:import namespace="http://schemas.microsoft.com/office/infopath/2007/PartnerControls"/>
    <xsd:element name="TaxCatchAll" ma:index="17" nillable="true" ma:displayName="Taxonomy Catch All Column" ma:hidden="true" ma:list="{fd2213b8-036f-4b0b-927a-32f2e7a77d31}" ma:internalName="TaxCatchAll" ma:showField="CatchAllData" ma:web="b6cd3e2f-1c89-4fcc-b46a-b4c31df5e42c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  <xsd:element name="SharedWithUsers" ma:index="19" nillable="true" ma:displayName="Compartido con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20" nillable="true" ma:displayName="Detalles de uso compartido" ma:internalName="SharedWithDetails" ma:readOnly="true">
      <xsd:simpleType>
        <xsd:restriction base="dms:Note">
          <xsd:maxLength value="255"/>
        </xsd:restriction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ipo de contenido"/>
        <xsd:element ref="dc:title" minOccurs="0" maxOccurs="1" ma:index="4" ma:displayName="Título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BA0DBB68-27AA-4B9F-94EC-954BDB699E7D}">
  <ds:schemaRefs>
    <ds:schemaRef ds:uri="http://schemas.microsoft.com/office/2006/documentManagement/types"/>
    <ds:schemaRef ds:uri="http://www.w3.org/XML/1998/namespace"/>
    <ds:schemaRef ds:uri="http://purl.org/dc/elements/1.1/"/>
    <ds:schemaRef ds:uri="http://purl.org/dc/dcmitype/"/>
    <ds:schemaRef ds:uri="http://schemas.microsoft.com/office/infopath/2007/PartnerControls"/>
    <ds:schemaRef ds:uri="http://purl.org/dc/terms/"/>
    <ds:schemaRef ds:uri="http://schemas.openxmlformats.org/package/2006/metadata/core-properties"/>
    <ds:schemaRef ds:uri="b6cd3e2f-1c89-4fcc-b46a-b4c31df5e42c"/>
    <ds:schemaRef ds:uri="ea0d0afa-57bf-41fe-b3de-d9c0393eaef9"/>
    <ds:schemaRef ds:uri="http://schemas.microsoft.com/office/2006/metadata/properties"/>
  </ds:schemaRefs>
</ds:datastoreItem>
</file>

<file path=customXml/itemProps2.xml><?xml version="1.0" encoding="utf-8"?>
<ds:datastoreItem xmlns:ds="http://schemas.openxmlformats.org/officeDocument/2006/customXml" ds:itemID="{4483D49C-4FB8-4093-8716-74E27D994797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ea0d0afa-57bf-41fe-b3de-d9c0393eaef9"/>
    <ds:schemaRef ds:uri="b6cd3e2f-1c89-4fcc-b46a-b4c31df5e42c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F778208C-4114-4522-8521-388DE8D15DA7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9</vt:i4>
      </vt:variant>
    </vt:vector>
  </HeadingPairs>
  <TitlesOfParts>
    <vt:vector size="9" baseType="lpstr">
      <vt:lpstr>Calculos</vt:lpstr>
      <vt:lpstr>Desglose</vt:lpstr>
      <vt:lpstr>Desglose 2</vt:lpstr>
      <vt:lpstr>Clientes</vt:lpstr>
      <vt:lpstr>Datos Robots</vt:lpstr>
      <vt:lpstr>Datos Aceites</vt:lpstr>
      <vt:lpstr>Datos Baterias</vt:lpstr>
      <vt:lpstr>Constantes</vt:lpstr>
      <vt:lpstr>Hoja2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Gerard Esteve Cases</dc:creator>
  <cp:keywords/>
  <dc:description/>
  <cp:lastModifiedBy>Daniel Puigbo Ballut</cp:lastModifiedBy>
  <cp:revision/>
  <cp:lastPrinted>2025-11-02T22:02:51Z</cp:lastPrinted>
  <dcterms:created xsi:type="dcterms:W3CDTF">2025-06-03T15:50:00Z</dcterms:created>
  <dcterms:modified xsi:type="dcterms:W3CDTF">2026-02-03T22:01:06Z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0x0101007217898A62696A45B25D27E2467C5042</vt:lpwstr>
  </property>
  <property fmtid="{D5CDD505-2E9C-101B-9397-08002B2CF9AE}" pid="3" name="MediaServiceImageTags">
    <vt:lpwstr/>
  </property>
</Properties>
</file>