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kinak\Desktop\Covid-2020\models\"/>
    </mc:Choice>
  </mc:AlternateContent>
  <xr:revisionPtr revIDLastSave="0" documentId="13_ncr:1_{856E6903-2C7A-4836-BDBF-DF8D8D7A3E67}" xr6:coauthVersionLast="46" xr6:coauthVersionMax="46" xr10:uidLastSave="{00000000-0000-0000-0000-000000000000}"/>
  <bookViews>
    <workbookView xWindow="-120" yWindow="-120" windowWidth="29040" windowHeight="15840" activeTab="1" xr2:uid="{38DF353F-64B6-4357-9301-8F5F6192670E}"/>
  </bookViews>
  <sheets>
    <sheet name="Stats" sheetId="6" r:id="rId1"/>
    <sheet name="Data" sheetId="1" r:id="rId2"/>
    <sheet name="Benford" sheetId="15" r:id="rId3"/>
    <sheet name="SARS" sheetId="13" r:id="rId4"/>
    <sheet name="Models" sheetId="2" r:id="rId5"/>
    <sheet name="Daily Cases" sheetId="4" r:id="rId6"/>
    <sheet name="Daily Death" sheetId="11" r:id="rId7"/>
    <sheet name="Behavior" sheetId="5" r:id="rId8"/>
    <sheet name="Rates - Monthly" sheetId="10" r:id="rId9"/>
    <sheet name="Rates - Daily" sheetId="3" r:id="rId10"/>
    <sheet name="R0" sheetId="7" r:id="rId11"/>
    <sheet name="CFR" sheetId="8" r:id="rId12"/>
    <sheet name="Incubation" sheetId="9" r:id="rId13"/>
    <sheet name="LAC_Hospital" sheetId="14" r:id="rId14"/>
  </sheets>
  <definedNames>
    <definedName name="_xlnm._FilterDatabase" localSheetId="13" hidden="1">LAC_Hospital!$B$1:$F$120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18" i="1" l="1"/>
  <c r="F317" i="1"/>
  <c r="F316" i="1"/>
  <c r="F315" i="1"/>
  <c r="F314" i="1"/>
  <c r="F313" i="1"/>
  <c r="F312" i="1"/>
  <c r="F311" i="1"/>
  <c r="F310" i="1"/>
  <c r="L318" i="1"/>
  <c r="L317" i="1"/>
  <c r="L316" i="1"/>
  <c r="L315" i="1"/>
  <c r="L314" i="1"/>
  <c r="L313" i="1"/>
  <c r="L312" i="1"/>
  <c r="L311" i="1"/>
  <c r="L310" i="1"/>
  <c r="K318" i="1"/>
  <c r="K317" i="1"/>
  <c r="K316" i="1"/>
  <c r="K315" i="1"/>
  <c r="K314" i="1"/>
  <c r="K313" i="1"/>
  <c r="K312" i="1"/>
  <c r="K311" i="1"/>
  <c r="K310" i="1"/>
  <c r="AO308" i="1"/>
  <c r="AN308" i="1"/>
  <c r="AM308" i="1"/>
  <c r="AL308" i="1"/>
  <c r="AO307" i="1"/>
  <c r="AN307" i="1"/>
  <c r="AM307" i="1"/>
  <c r="AL307" i="1"/>
  <c r="AO306" i="1"/>
  <c r="AN306" i="1"/>
  <c r="AM306" i="1"/>
  <c r="AL306" i="1"/>
  <c r="AO305" i="1"/>
  <c r="AN305" i="1"/>
  <c r="AM305" i="1"/>
  <c r="AL305" i="1"/>
  <c r="AO304" i="1"/>
  <c r="AN304" i="1"/>
  <c r="AM304" i="1"/>
  <c r="AL304" i="1"/>
  <c r="AO303" i="1"/>
  <c r="AN303" i="1"/>
  <c r="AM303" i="1"/>
  <c r="AL303" i="1"/>
  <c r="AO302" i="1"/>
  <c r="AN302" i="1"/>
  <c r="AM302" i="1"/>
  <c r="AL302" i="1"/>
  <c r="AO301" i="1"/>
  <c r="AN301" i="1"/>
  <c r="AM301" i="1"/>
  <c r="AL301" i="1"/>
  <c r="AO300" i="1"/>
  <c r="AN300" i="1"/>
  <c r="AM300" i="1"/>
  <c r="AL300" i="1"/>
  <c r="AO299" i="1"/>
  <c r="AN299" i="1"/>
  <c r="AM299" i="1"/>
  <c r="AL299" i="1"/>
  <c r="AO298" i="1"/>
  <c r="AN298" i="1"/>
  <c r="AM298" i="1"/>
  <c r="AL298" i="1"/>
  <c r="AO297" i="1"/>
  <c r="AN297" i="1"/>
  <c r="AM297" i="1"/>
  <c r="AL297" i="1"/>
  <c r="AO296" i="1"/>
  <c r="AN296" i="1"/>
  <c r="AM296" i="1"/>
  <c r="AL296" i="1"/>
  <c r="AO295" i="1"/>
  <c r="AN295" i="1"/>
  <c r="AM295" i="1"/>
  <c r="AL295" i="1"/>
  <c r="AO294" i="1"/>
  <c r="AN294" i="1"/>
  <c r="AM294" i="1"/>
  <c r="AL294" i="1"/>
  <c r="AO293" i="1"/>
  <c r="AN293" i="1"/>
  <c r="AM293" i="1"/>
  <c r="AL293" i="1"/>
  <c r="AO292" i="1"/>
  <c r="AN292" i="1"/>
  <c r="AM292" i="1"/>
  <c r="AL292" i="1"/>
  <c r="AO291" i="1"/>
  <c r="AN291" i="1"/>
  <c r="AM291" i="1"/>
  <c r="AL291" i="1"/>
  <c r="AO290" i="1"/>
  <c r="AN290" i="1"/>
  <c r="AM290" i="1"/>
  <c r="AL290" i="1"/>
  <c r="AO289" i="1"/>
  <c r="AN289" i="1"/>
  <c r="AM289" i="1"/>
  <c r="AL289" i="1"/>
  <c r="AO288" i="1"/>
  <c r="AN288" i="1"/>
  <c r="AM288" i="1"/>
  <c r="AL288" i="1"/>
  <c r="AO287" i="1"/>
  <c r="AN287" i="1"/>
  <c r="AM287" i="1"/>
  <c r="AL287" i="1"/>
  <c r="AO286" i="1"/>
  <c r="AN286" i="1"/>
  <c r="AM286" i="1"/>
  <c r="AL286" i="1"/>
  <c r="AO285" i="1"/>
  <c r="AN285" i="1"/>
  <c r="AM285" i="1"/>
  <c r="AL285" i="1"/>
  <c r="AO284" i="1"/>
  <c r="AN284" i="1"/>
  <c r="AM284" i="1"/>
  <c r="AL284" i="1"/>
  <c r="AO283" i="1"/>
  <c r="AN283" i="1"/>
  <c r="AM283" i="1"/>
  <c r="AL283" i="1"/>
  <c r="AO282" i="1"/>
  <c r="AN282" i="1"/>
  <c r="AM282" i="1"/>
  <c r="AL282" i="1"/>
  <c r="AO281" i="1"/>
  <c r="AN281" i="1"/>
  <c r="AM281" i="1"/>
  <c r="AL281" i="1"/>
  <c r="AO280" i="1"/>
  <c r="AN280" i="1"/>
  <c r="AM280" i="1"/>
  <c r="AL280" i="1"/>
  <c r="AO279" i="1"/>
  <c r="AN279" i="1"/>
  <c r="AM279" i="1"/>
  <c r="AL279" i="1"/>
  <c r="AO278" i="1"/>
  <c r="AN278" i="1"/>
  <c r="AM278" i="1"/>
  <c r="AL278" i="1"/>
  <c r="AO277" i="1"/>
  <c r="AN277" i="1"/>
  <c r="AM277" i="1"/>
  <c r="AL277" i="1"/>
  <c r="AO276" i="1"/>
  <c r="AN276" i="1"/>
  <c r="AM276" i="1"/>
  <c r="AL276" i="1"/>
  <c r="AO275" i="1"/>
  <c r="AN275" i="1"/>
  <c r="AM275" i="1"/>
  <c r="AL275" i="1"/>
  <c r="AO274" i="1"/>
  <c r="AN274" i="1"/>
  <c r="AM274" i="1"/>
  <c r="AL274" i="1"/>
  <c r="AO273" i="1"/>
  <c r="AN273" i="1"/>
  <c r="AM273" i="1"/>
  <c r="AL273" i="1"/>
  <c r="AO272" i="1"/>
  <c r="AN272" i="1"/>
  <c r="AM272" i="1"/>
  <c r="AL272" i="1"/>
  <c r="AO271" i="1"/>
  <c r="AN271" i="1"/>
  <c r="AM271" i="1"/>
  <c r="AL271" i="1"/>
  <c r="AO270" i="1"/>
  <c r="AN270" i="1"/>
  <c r="AM270" i="1"/>
  <c r="AL270" i="1"/>
  <c r="AO269" i="1"/>
  <c r="AN269" i="1"/>
  <c r="AM269" i="1"/>
  <c r="AL269" i="1"/>
  <c r="AO268" i="1"/>
  <c r="AN268" i="1"/>
  <c r="AM268" i="1"/>
  <c r="AL268" i="1"/>
  <c r="AO267" i="1"/>
  <c r="AN267" i="1"/>
  <c r="AM267" i="1"/>
  <c r="AL267" i="1"/>
  <c r="AO266" i="1"/>
  <c r="AN266" i="1"/>
  <c r="AM266" i="1"/>
  <c r="AL266" i="1"/>
  <c r="AO265" i="1"/>
  <c r="AN265" i="1"/>
  <c r="AM265" i="1"/>
  <c r="AL265" i="1"/>
  <c r="AO264" i="1"/>
  <c r="AN264" i="1"/>
  <c r="AM264" i="1"/>
  <c r="AL264" i="1"/>
  <c r="AO263" i="1"/>
  <c r="AN263" i="1"/>
  <c r="AM263" i="1"/>
  <c r="AL263" i="1"/>
  <c r="AO262" i="1"/>
  <c r="AN262" i="1"/>
  <c r="AM262" i="1"/>
  <c r="AL262" i="1"/>
  <c r="AO261" i="1"/>
  <c r="AN261" i="1"/>
  <c r="AM261" i="1"/>
  <c r="AL261" i="1"/>
  <c r="AO260" i="1"/>
  <c r="AN260" i="1"/>
  <c r="AM260" i="1"/>
  <c r="AL260" i="1"/>
  <c r="AO259" i="1"/>
  <c r="AN259" i="1"/>
  <c r="AM259" i="1"/>
  <c r="AL259" i="1"/>
  <c r="AO258" i="1"/>
  <c r="AN258" i="1"/>
  <c r="AM258" i="1"/>
  <c r="AL258" i="1"/>
  <c r="AO257" i="1"/>
  <c r="AN257" i="1"/>
  <c r="AM257" i="1"/>
  <c r="AL257" i="1"/>
  <c r="AO256" i="1"/>
  <c r="AN256" i="1"/>
  <c r="AM256" i="1"/>
  <c r="AL256" i="1"/>
  <c r="AO255" i="1"/>
  <c r="AN255" i="1"/>
  <c r="AM255" i="1"/>
  <c r="AL255" i="1"/>
  <c r="AO254" i="1"/>
  <c r="AN254" i="1"/>
  <c r="AM254" i="1"/>
  <c r="AL254" i="1"/>
  <c r="AO253" i="1"/>
  <c r="AN253" i="1"/>
  <c r="AM253" i="1"/>
  <c r="AL253" i="1"/>
  <c r="AO252" i="1"/>
  <c r="AN252" i="1"/>
  <c r="AM252" i="1"/>
  <c r="AL252" i="1"/>
  <c r="AO251" i="1"/>
  <c r="AN251" i="1"/>
  <c r="AM251" i="1"/>
  <c r="AL251" i="1"/>
  <c r="AO250" i="1"/>
  <c r="AN250" i="1"/>
  <c r="AM250" i="1"/>
  <c r="AL250" i="1"/>
  <c r="AO249" i="1"/>
  <c r="AN249" i="1"/>
  <c r="AM249" i="1"/>
  <c r="AL249" i="1"/>
  <c r="AO248" i="1"/>
  <c r="AN248" i="1"/>
  <c r="AM248" i="1"/>
  <c r="AL248" i="1"/>
  <c r="AO247" i="1"/>
  <c r="AN247" i="1"/>
  <c r="AM247" i="1"/>
  <c r="AL247" i="1"/>
  <c r="AO246" i="1"/>
  <c r="AN246" i="1"/>
  <c r="AM246" i="1"/>
  <c r="AL246" i="1"/>
  <c r="AO245" i="1"/>
  <c r="AN245" i="1"/>
  <c r="AM245" i="1"/>
  <c r="AL245" i="1"/>
  <c r="AO244" i="1"/>
  <c r="AN244" i="1"/>
  <c r="AM244" i="1"/>
  <c r="AL244" i="1"/>
  <c r="AO243" i="1"/>
  <c r="AN243" i="1"/>
  <c r="AM243" i="1"/>
  <c r="AL243" i="1"/>
  <c r="AO242" i="1"/>
  <c r="AN242" i="1"/>
  <c r="AM242" i="1"/>
  <c r="AL242" i="1"/>
  <c r="AO241" i="1"/>
  <c r="AN241" i="1"/>
  <c r="AM241" i="1"/>
  <c r="AL241" i="1"/>
  <c r="AO240" i="1"/>
  <c r="AN240" i="1"/>
  <c r="AM240" i="1"/>
  <c r="AL240" i="1"/>
  <c r="AO239" i="1"/>
  <c r="AN239" i="1"/>
  <c r="AM239" i="1"/>
  <c r="AL239" i="1"/>
  <c r="AO238" i="1"/>
  <c r="AN238" i="1"/>
  <c r="AM238" i="1"/>
  <c r="AL238" i="1"/>
  <c r="AO237" i="1"/>
  <c r="AN237" i="1"/>
  <c r="AM237" i="1"/>
  <c r="AL237" i="1"/>
  <c r="AO236" i="1"/>
  <c r="AN236" i="1"/>
  <c r="AM236" i="1"/>
  <c r="AL236" i="1"/>
  <c r="AO235" i="1"/>
  <c r="AN235" i="1"/>
  <c r="AM235" i="1"/>
  <c r="AL235" i="1"/>
  <c r="AO234" i="1"/>
  <c r="AN234" i="1"/>
  <c r="AM234" i="1"/>
  <c r="AL234" i="1"/>
  <c r="AO233" i="1"/>
  <c r="AN233" i="1"/>
  <c r="AM233" i="1"/>
  <c r="AL233" i="1"/>
  <c r="AO232" i="1"/>
  <c r="AN232" i="1"/>
  <c r="AM232" i="1"/>
  <c r="AL232" i="1"/>
  <c r="AO231" i="1"/>
  <c r="AN231" i="1"/>
  <c r="AM231" i="1"/>
  <c r="AL231" i="1"/>
  <c r="AO230" i="1"/>
  <c r="AN230" i="1"/>
  <c r="AM230" i="1"/>
  <c r="AL230" i="1"/>
  <c r="AO229" i="1"/>
  <c r="AN229" i="1"/>
  <c r="AM229" i="1"/>
  <c r="AL229" i="1"/>
  <c r="AO228" i="1"/>
  <c r="AN228" i="1"/>
  <c r="AM228" i="1"/>
  <c r="AL228" i="1"/>
  <c r="AO227" i="1"/>
  <c r="AN227" i="1"/>
  <c r="AM227" i="1"/>
  <c r="AL227" i="1"/>
  <c r="AO226" i="1"/>
  <c r="AN226" i="1"/>
  <c r="AM226" i="1"/>
  <c r="AL226" i="1"/>
  <c r="AO225" i="1"/>
  <c r="AN225" i="1"/>
  <c r="AM225" i="1"/>
  <c r="AL225" i="1"/>
  <c r="AO224" i="1"/>
  <c r="AN224" i="1"/>
  <c r="AM224" i="1"/>
  <c r="AL224" i="1"/>
  <c r="AO223" i="1"/>
  <c r="AN223" i="1"/>
  <c r="AM223" i="1"/>
  <c r="AL223" i="1"/>
  <c r="AO222" i="1"/>
  <c r="AN222" i="1"/>
  <c r="AM222" i="1"/>
  <c r="AL222" i="1"/>
  <c r="AO221" i="1"/>
  <c r="AN221" i="1"/>
  <c r="AM221" i="1"/>
  <c r="AL221" i="1"/>
  <c r="AO220" i="1"/>
  <c r="AN220" i="1"/>
  <c r="AM220" i="1"/>
  <c r="AL220" i="1"/>
  <c r="AO219" i="1"/>
  <c r="AN219" i="1"/>
  <c r="AM219" i="1"/>
  <c r="AL219" i="1"/>
  <c r="AO218" i="1"/>
  <c r="AN218" i="1"/>
  <c r="AM218" i="1"/>
  <c r="AL218" i="1"/>
  <c r="AO217" i="1"/>
  <c r="AN217" i="1"/>
  <c r="AM217" i="1"/>
  <c r="AL217" i="1"/>
  <c r="AO216" i="1"/>
  <c r="AN216" i="1"/>
  <c r="AM216" i="1"/>
  <c r="AL216" i="1"/>
  <c r="AO215" i="1"/>
  <c r="AN215" i="1"/>
  <c r="AM215" i="1"/>
  <c r="AL215" i="1"/>
  <c r="AO214" i="1"/>
  <c r="AN214" i="1"/>
  <c r="AM214" i="1"/>
  <c r="AL214" i="1"/>
  <c r="AO213" i="1"/>
  <c r="AN213" i="1"/>
  <c r="AM213" i="1"/>
  <c r="AL213" i="1"/>
  <c r="AO212" i="1"/>
  <c r="AN212" i="1"/>
  <c r="AM212" i="1"/>
  <c r="AL212" i="1"/>
  <c r="AO211" i="1"/>
  <c r="AN211" i="1"/>
  <c r="AM211" i="1"/>
  <c r="AL211" i="1"/>
  <c r="AO210" i="1"/>
  <c r="AN210" i="1"/>
  <c r="AM210" i="1"/>
  <c r="AL210" i="1"/>
  <c r="AO209" i="1"/>
  <c r="AN209" i="1"/>
  <c r="AM209" i="1"/>
  <c r="AL209" i="1"/>
  <c r="AO208" i="1"/>
  <c r="AN208" i="1"/>
  <c r="AM208" i="1"/>
  <c r="AL208" i="1"/>
  <c r="AO207" i="1"/>
  <c r="AN207" i="1"/>
  <c r="AM207" i="1"/>
  <c r="AL207" i="1"/>
  <c r="AO206" i="1"/>
  <c r="AN206" i="1"/>
  <c r="AM206" i="1"/>
  <c r="AL206" i="1"/>
  <c r="AO205" i="1"/>
  <c r="AN205" i="1"/>
  <c r="AM205" i="1"/>
  <c r="AL205" i="1"/>
  <c r="AO204" i="1"/>
  <c r="AN204" i="1"/>
  <c r="AM204" i="1"/>
  <c r="AL204" i="1"/>
  <c r="AO203" i="1"/>
  <c r="AN203" i="1"/>
  <c r="AM203" i="1"/>
  <c r="AL203" i="1"/>
  <c r="AO202" i="1"/>
  <c r="AN202" i="1"/>
  <c r="AM202" i="1"/>
  <c r="AL202" i="1"/>
  <c r="AO201" i="1"/>
  <c r="AN201" i="1"/>
  <c r="AM201" i="1"/>
  <c r="AL201" i="1"/>
  <c r="AO200" i="1"/>
  <c r="AN200" i="1"/>
  <c r="AM200" i="1"/>
  <c r="AL200" i="1"/>
  <c r="AO199" i="1"/>
  <c r="AN199" i="1"/>
  <c r="AM199" i="1"/>
  <c r="AL199" i="1"/>
  <c r="AO198" i="1"/>
  <c r="AN198" i="1"/>
  <c r="AM198" i="1"/>
  <c r="AL198" i="1"/>
  <c r="AO197" i="1"/>
  <c r="AN197" i="1"/>
  <c r="AM197" i="1"/>
  <c r="AL197" i="1"/>
  <c r="AO196" i="1"/>
  <c r="AN196" i="1"/>
  <c r="AM196" i="1"/>
  <c r="AL196" i="1"/>
  <c r="AO195" i="1"/>
  <c r="AN195" i="1"/>
  <c r="AM195" i="1"/>
  <c r="AL195" i="1"/>
  <c r="AO194" i="1"/>
  <c r="AN194" i="1"/>
  <c r="AM194" i="1"/>
  <c r="AL194" i="1"/>
  <c r="AO193" i="1"/>
  <c r="AN193" i="1"/>
  <c r="AM193" i="1"/>
  <c r="AL193" i="1"/>
  <c r="AO192" i="1"/>
  <c r="AN192" i="1"/>
  <c r="AM192" i="1"/>
  <c r="AL192" i="1"/>
  <c r="AO191" i="1"/>
  <c r="AN191" i="1"/>
  <c r="AM191" i="1"/>
  <c r="AL191" i="1"/>
  <c r="AO190" i="1"/>
  <c r="AN190" i="1"/>
  <c r="AM190" i="1"/>
  <c r="AL190" i="1"/>
  <c r="AO189" i="1"/>
  <c r="AN189" i="1"/>
  <c r="AM189" i="1"/>
  <c r="AL189" i="1"/>
  <c r="AO188" i="1"/>
  <c r="AN188" i="1"/>
  <c r="AM188" i="1"/>
  <c r="AL188" i="1"/>
  <c r="AO187" i="1"/>
  <c r="AN187" i="1"/>
  <c r="AM187" i="1"/>
  <c r="AL187" i="1"/>
  <c r="AO186" i="1"/>
  <c r="AN186" i="1"/>
  <c r="AM186" i="1"/>
  <c r="AL186" i="1"/>
  <c r="AO185" i="1"/>
  <c r="AN185" i="1"/>
  <c r="AM185" i="1"/>
  <c r="AL185" i="1"/>
  <c r="AO184" i="1"/>
  <c r="AN184" i="1"/>
  <c r="AM184" i="1"/>
  <c r="AL184" i="1"/>
  <c r="AO183" i="1"/>
  <c r="AN183" i="1"/>
  <c r="AM183" i="1"/>
  <c r="AL183" i="1"/>
  <c r="AO182" i="1"/>
  <c r="AN182" i="1"/>
  <c r="AM182" i="1"/>
  <c r="AL182" i="1"/>
  <c r="AO181" i="1"/>
  <c r="AN181" i="1"/>
  <c r="AM181" i="1"/>
  <c r="AL181" i="1"/>
  <c r="AO180" i="1"/>
  <c r="AN180" i="1"/>
  <c r="AM180" i="1"/>
  <c r="AL180" i="1"/>
  <c r="AO179" i="1"/>
  <c r="AN179" i="1"/>
  <c r="AM179" i="1"/>
  <c r="AL179" i="1"/>
  <c r="AO178" i="1"/>
  <c r="AN178" i="1"/>
  <c r="AM178" i="1"/>
  <c r="AL178" i="1"/>
  <c r="AO177" i="1"/>
  <c r="AN177" i="1"/>
  <c r="AM177" i="1"/>
  <c r="AL177" i="1"/>
  <c r="AO176" i="1"/>
  <c r="AN176" i="1"/>
  <c r="AM176" i="1"/>
  <c r="AL176" i="1"/>
  <c r="AO175" i="1"/>
  <c r="AN175" i="1"/>
  <c r="AM175" i="1"/>
  <c r="AL175" i="1"/>
  <c r="AO174" i="1"/>
  <c r="AN174" i="1"/>
  <c r="AM174" i="1"/>
  <c r="AL174" i="1"/>
  <c r="AO173" i="1"/>
  <c r="AN173" i="1"/>
  <c r="AM173" i="1"/>
  <c r="AL173" i="1"/>
  <c r="AO172" i="1"/>
  <c r="AN172" i="1"/>
  <c r="AM172" i="1"/>
  <c r="AL172" i="1"/>
  <c r="AO171" i="1"/>
  <c r="AN171" i="1"/>
  <c r="AM171" i="1"/>
  <c r="AL171" i="1"/>
  <c r="AO170" i="1"/>
  <c r="AN170" i="1"/>
  <c r="AM170" i="1"/>
  <c r="AL170" i="1"/>
  <c r="AO169" i="1"/>
  <c r="AN169" i="1"/>
  <c r="AM169" i="1"/>
  <c r="AL169" i="1"/>
  <c r="AO168" i="1"/>
  <c r="AN168" i="1"/>
  <c r="AM168" i="1"/>
  <c r="AL168" i="1"/>
  <c r="AO167" i="1"/>
  <c r="AN167" i="1"/>
  <c r="AM167" i="1"/>
  <c r="AL167" i="1"/>
  <c r="AO166" i="1"/>
  <c r="AN166" i="1"/>
  <c r="AM166" i="1"/>
  <c r="AL166" i="1"/>
  <c r="AO165" i="1"/>
  <c r="AN165" i="1"/>
  <c r="AM165" i="1"/>
  <c r="AL165" i="1"/>
  <c r="AO164" i="1"/>
  <c r="AN164" i="1"/>
  <c r="AM164" i="1"/>
  <c r="AL164" i="1"/>
  <c r="AO163" i="1"/>
  <c r="AN163" i="1"/>
  <c r="AM163" i="1"/>
  <c r="AL163" i="1"/>
  <c r="AO162" i="1"/>
  <c r="AN162" i="1"/>
  <c r="AM162" i="1"/>
  <c r="AL162" i="1"/>
  <c r="AO161" i="1"/>
  <c r="AN161" i="1"/>
  <c r="AM161" i="1"/>
  <c r="AL161" i="1"/>
  <c r="AO160" i="1"/>
  <c r="AN160" i="1"/>
  <c r="AM160" i="1"/>
  <c r="AL160" i="1"/>
  <c r="AO159" i="1"/>
  <c r="AN159" i="1"/>
  <c r="AM159" i="1"/>
  <c r="AL159" i="1"/>
  <c r="AO158" i="1"/>
  <c r="AN158" i="1"/>
  <c r="AM158" i="1"/>
  <c r="AL158" i="1"/>
  <c r="AO157" i="1"/>
  <c r="AN157" i="1"/>
  <c r="AM157" i="1"/>
  <c r="AL157" i="1"/>
  <c r="AO156" i="1"/>
  <c r="AN156" i="1"/>
  <c r="AM156" i="1"/>
  <c r="AL156" i="1"/>
  <c r="AO155" i="1"/>
  <c r="AN155" i="1"/>
  <c r="AM155" i="1"/>
  <c r="AL155" i="1"/>
  <c r="AO154" i="1"/>
  <c r="AN154" i="1"/>
  <c r="AM154" i="1"/>
  <c r="AL154" i="1"/>
  <c r="AO153" i="1"/>
  <c r="AN153" i="1"/>
  <c r="AM153" i="1"/>
  <c r="AL153" i="1"/>
  <c r="AO152" i="1"/>
  <c r="AN152" i="1"/>
  <c r="AM152" i="1"/>
  <c r="AL152" i="1"/>
  <c r="AO151" i="1"/>
  <c r="AN151" i="1"/>
  <c r="AM151" i="1"/>
  <c r="AL151" i="1"/>
  <c r="AO150" i="1"/>
  <c r="AN150" i="1"/>
  <c r="AM150" i="1"/>
  <c r="AL150" i="1"/>
  <c r="AO149" i="1"/>
  <c r="AN149" i="1"/>
  <c r="AM149" i="1"/>
  <c r="AL149" i="1"/>
  <c r="AO148" i="1"/>
  <c r="AN148" i="1"/>
  <c r="AM148" i="1"/>
  <c r="AL148" i="1"/>
  <c r="AO147" i="1"/>
  <c r="AN147" i="1"/>
  <c r="AM147" i="1"/>
  <c r="AL147" i="1"/>
  <c r="AO146" i="1"/>
  <c r="AN146" i="1"/>
  <c r="AM146" i="1"/>
  <c r="AL146" i="1"/>
  <c r="AO145" i="1"/>
  <c r="AN145" i="1"/>
  <c r="AM145" i="1"/>
  <c r="AL145" i="1"/>
  <c r="AO144" i="1"/>
  <c r="AN144" i="1"/>
  <c r="AM144" i="1"/>
  <c r="AL144" i="1"/>
  <c r="AO143" i="1"/>
  <c r="AN143" i="1"/>
  <c r="AM143" i="1"/>
  <c r="AL143" i="1"/>
  <c r="AO142" i="1"/>
  <c r="AN142" i="1"/>
  <c r="AM142" i="1"/>
  <c r="AL142" i="1"/>
  <c r="AO141" i="1"/>
  <c r="AN141" i="1"/>
  <c r="AM141" i="1"/>
  <c r="AL141" i="1"/>
  <c r="AO140" i="1"/>
  <c r="AN140" i="1"/>
  <c r="AM140" i="1"/>
  <c r="AL140" i="1"/>
  <c r="AO139" i="1"/>
  <c r="AN139" i="1"/>
  <c r="AM139" i="1"/>
  <c r="AL139" i="1"/>
  <c r="AO138" i="1"/>
  <c r="AN138" i="1"/>
  <c r="AM138" i="1"/>
  <c r="AL138" i="1"/>
  <c r="AO137" i="1"/>
  <c r="AN137" i="1"/>
  <c r="AM137" i="1"/>
  <c r="AL137" i="1"/>
  <c r="AO136" i="1"/>
  <c r="AN136" i="1"/>
  <c r="AM136" i="1"/>
  <c r="AL136" i="1"/>
  <c r="AO135" i="1"/>
  <c r="AN135" i="1"/>
  <c r="AM135" i="1"/>
  <c r="AL135" i="1"/>
  <c r="AO134" i="1"/>
  <c r="AN134" i="1"/>
  <c r="AM134" i="1"/>
  <c r="AL134" i="1"/>
  <c r="AO133" i="1"/>
  <c r="AN133" i="1"/>
  <c r="AM133" i="1"/>
  <c r="AL133" i="1"/>
  <c r="AO132" i="1"/>
  <c r="AN132" i="1"/>
  <c r="AM132" i="1"/>
  <c r="AL132" i="1"/>
  <c r="AO131" i="1"/>
  <c r="AN131" i="1"/>
  <c r="AM131" i="1"/>
  <c r="AL131" i="1"/>
  <c r="AO130" i="1"/>
  <c r="AN130" i="1"/>
  <c r="AM130" i="1"/>
  <c r="AL130" i="1"/>
  <c r="AO129" i="1"/>
  <c r="AN129" i="1"/>
  <c r="AM129" i="1"/>
  <c r="AL129" i="1"/>
  <c r="AO128" i="1"/>
  <c r="AN128" i="1"/>
  <c r="AM128" i="1"/>
  <c r="AL128" i="1"/>
  <c r="AO127" i="1"/>
  <c r="AN127" i="1"/>
  <c r="AM127" i="1"/>
  <c r="AL127" i="1"/>
  <c r="AO126" i="1"/>
  <c r="AN126" i="1"/>
  <c r="AM126" i="1"/>
  <c r="AL126" i="1"/>
  <c r="AO125" i="1"/>
  <c r="AN125" i="1"/>
  <c r="AM125" i="1"/>
  <c r="AL125" i="1"/>
  <c r="AO124" i="1"/>
  <c r="AN124" i="1"/>
  <c r="AM124" i="1"/>
  <c r="AL124" i="1"/>
  <c r="AO123" i="1"/>
  <c r="AN123" i="1"/>
  <c r="AM123" i="1"/>
  <c r="AL123" i="1"/>
  <c r="AO122" i="1"/>
  <c r="AN122" i="1"/>
  <c r="AM122" i="1"/>
  <c r="AL122" i="1"/>
  <c r="AO121" i="1"/>
  <c r="AN121" i="1"/>
  <c r="AM121" i="1"/>
  <c r="AL121" i="1"/>
  <c r="AO120" i="1"/>
  <c r="AN120" i="1"/>
  <c r="AM120" i="1"/>
  <c r="AL120" i="1"/>
  <c r="AO119" i="1"/>
  <c r="AN119" i="1"/>
  <c r="AM119" i="1"/>
  <c r="AL119" i="1"/>
  <c r="AO118" i="1"/>
  <c r="AN118" i="1"/>
  <c r="AM118" i="1"/>
  <c r="AL118" i="1"/>
  <c r="AO117" i="1"/>
  <c r="AN117" i="1"/>
  <c r="AM117" i="1"/>
  <c r="AL117" i="1"/>
  <c r="AO116" i="1"/>
  <c r="AN116" i="1"/>
  <c r="AM116" i="1"/>
  <c r="AL116" i="1"/>
  <c r="AO115" i="1"/>
  <c r="AN115" i="1"/>
  <c r="AM115" i="1"/>
  <c r="AL115" i="1"/>
  <c r="AO114" i="1"/>
  <c r="AN114" i="1"/>
  <c r="AM114" i="1"/>
  <c r="AL114" i="1"/>
  <c r="AO113" i="1"/>
  <c r="AN113" i="1"/>
  <c r="AM113" i="1"/>
  <c r="AL113" i="1"/>
  <c r="AO112" i="1"/>
  <c r="AN112" i="1"/>
  <c r="AM112" i="1"/>
  <c r="AL112" i="1"/>
  <c r="AO111" i="1"/>
  <c r="AN111" i="1"/>
  <c r="AM111" i="1"/>
  <c r="AL111" i="1"/>
  <c r="AO110" i="1"/>
  <c r="AN110" i="1"/>
  <c r="AM110" i="1"/>
  <c r="AL110" i="1"/>
  <c r="AO109" i="1"/>
  <c r="AN109" i="1"/>
  <c r="AM109" i="1"/>
  <c r="AL109" i="1"/>
  <c r="AO108" i="1"/>
  <c r="AN108" i="1"/>
  <c r="AM108" i="1"/>
  <c r="AL108" i="1"/>
  <c r="AO107" i="1"/>
  <c r="AN107" i="1"/>
  <c r="AM107" i="1"/>
  <c r="AL107" i="1"/>
  <c r="AO106" i="1"/>
  <c r="AN106" i="1"/>
  <c r="AM106" i="1"/>
  <c r="AL106" i="1"/>
  <c r="AO105" i="1"/>
  <c r="AN105" i="1"/>
  <c r="AM105" i="1"/>
  <c r="AL105" i="1"/>
  <c r="AO104" i="1"/>
  <c r="AN104" i="1"/>
  <c r="AM104" i="1"/>
  <c r="AL104" i="1"/>
  <c r="AO103" i="1"/>
  <c r="AN103" i="1"/>
  <c r="AM103" i="1"/>
  <c r="AL103" i="1"/>
  <c r="AO102" i="1"/>
  <c r="AN102" i="1"/>
  <c r="AM102" i="1"/>
  <c r="AL102" i="1"/>
  <c r="AO101" i="1"/>
  <c r="AN101" i="1"/>
  <c r="AM101" i="1"/>
  <c r="AL101" i="1"/>
  <c r="AO100" i="1"/>
  <c r="AN100" i="1"/>
  <c r="AM100" i="1"/>
  <c r="AL100" i="1"/>
  <c r="AO99" i="1"/>
  <c r="AN99" i="1"/>
  <c r="AM99" i="1"/>
  <c r="AL99" i="1"/>
  <c r="AO98" i="1"/>
  <c r="AN98" i="1"/>
  <c r="AM98" i="1"/>
  <c r="AL98" i="1"/>
  <c r="AO97" i="1"/>
  <c r="AN97" i="1"/>
  <c r="AM97" i="1"/>
  <c r="AL97" i="1"/>
  <c r="AO96" i="1"/>
  <c r="AN96" i="1"/>
  <c r="AM96" i="1"/>
  <c r="AL96" i="1"/>
  <c r="AO95" i="1"/>
  <c r="AN95" i="1"/>
  <c r="AM95" i="1"/>
  <c r="AL95" i="1"/>
  <c r="AO94" i="1"/>
  <c r="AN94" i="1"/>
  <c r="AM94" i="1"/>
  <c r="AL94" i="1"/>
  <c r="AO93" i="1"/>
  <c r="AN93" i="1"/>
  <c r="AM93" i="1"/>
  <c r="AL93" i="1"/>
  <c r="AO92" i="1"/>
  <c r="AN92" i="1"/>
  <c r="AM92" i="1"/>
  <c r="AL92" i="1"/>
  <c r="AO91" i="1"/>
  <c r="AN91" i="1"/>
  <c r="AM91" i="1"/>
  <c r="AL91" i="1"/>
  <c r="AO90" i="1"/>
  <c r="AN90" i="1"/>
  <c r="AM90" i="1"/>
  <c r="AL90" i="1"/>
  <c r="AO89" i="1"/>
  <c r="AN89" i="1"/>
  <c r="AM89" i="1"/>
  <c r="AL89" i="1"/>
  <c r="AO88" i="1"/>
  <c r="AN88" i="1"/>
  <c r="AM88" i="1"/>
  <c r="AL88" i="1"/>
  <c r="AO87" i="1"/>
  <c r="AN87" i="1"/>
  <c r="AM87" i="1"/>
  <c r="AL87" i="1"/>
  <c r="AO86" i="1"/>
  <c r="AN86" i="1"/>
  <c r="AM86" i="1"/>
  <c r="AL86" i="1"/>
  <c r="AO85" i="1"/>
  <c r="AN85" i="1"/>
  <c r="AM85" i="1"/>
  <c r="AL85" i="1"/>
  <c r="AO84" i="1"/>
  <c r="AN84" i="1"/>
  <c r="AM84" i="1"/>
  <c r="AL84" i="1"/>
  <c r="AO83" i="1"/>
  <c r="AN83" i="1"/>
  <c r="AM83" i="1"/>
  <c r="AL83" i="1"/>
  <c r="AO82" i="1"/>
  <c r="AN82" i="1"/>
  <c r="AM82" i="1"/>
  <c r="AL82" i="1"/>
  <c r="AO81" i="1"/>
  <c r="AN81" i="1"/>
  <c r="AM81" i="1"/>
  <c r="AL81" i="1"/>
  <c r="AO80" i="1"/>
  <c r="AN80" i="1"/>
  <c r="AM80" i="1"/>
  <c r="AL80" i="1"/>
  <c r="AO79" i="1"/>
  <c r="AN79" i="1"/>
  <c r="AM79" i="1"/>
  <c r="AL79" i="1"/>
  <c r="AO78" i="1"/>
  <c r="K15" i="15" s="1"/>
  <c r="AN78" i="1"/>
  <c r="E7" i="15" s="1"/>
  <c r="AM78" i="1"/>
  <c r="AL78" i="1"/>
  <c r="AO77" i="1"/>
  <c r="K6" i="15" s="1"/>
  <c r="AN77" i="1"/>
  <c r="E15" i="15" s="1"/>
  <c r="AM77" i="1"/>
  <c r="AL77" i="1"/>
  <c r="AO76" i="1"/>
  <c r="K8" i="15" s="1"/>
  <c r="AN76" i="1"/>
  <c r="E8" i="15" s="1"/>
  <c r="AM76" i="1"/>
  <c r="AL76" i="1"/>
  <c r="K11" i="15"/>
  <c r="K10" i="15"/>
  <c r="K9" i="15"/>
  <c r="K7" i="15"/>
  <c r="E9" i="15" l="1"/>
  <c r="E10" i="15"/>
  <c r="E11" i="15"/>
  <c r="E12" i="15"/>
  <c r="K14" i="15"/>
  <c r="K12" i="15"/>
  <c r="K13" i="15"/>
  <c r="E13" i="15"/>
  <c r="E6" i="15"/>
  <c r="E14" i="15"/>
  <c r="I15" i="15"/>
  <c r="I14" i="15"/>
  <c r="I13" i="15"/>
  <c r="I12" i="15"/>
  <c r="I11" i="15"/>
  <c r="I10" i="15"/>
  <c r="I9" i="15"/>
  <c r="I8" i="15"/>
  <c r="I7" i="15"/>
  <c r="C15" i="15"/>
  <c r="C14" i="15"/>
  <c r="C13" i="15"/>
  <c r="C12" i="15"/>
  <c r="C11" i="15"/>
  <c r="C10" i="15"/>
  <c r="C9" i="15"/>
  <c r="C8" i="15"/>
  <c r="C7" i="15"/>
  <c r="H15" i="15" l="1"/>
  <c r="H14" i="15"/>
  <c r="H13" i="15"/>
  <c r="H12" i="15"/>
  <c r="H11" i="15"/>
  <c r="H10" i="15"/>
  <c r="H9" i="15"/>
  <c r="H8" i="15"/>
  <c r="H7" i="15"/>
  <c r="B15" i="15"/>
  <c r="B14" i="15"/>
  <c r="B13" i="15"/>
  <c r="B12" i="15"/>
  <c r="B11" i="15"/>
  <c r="B10" i="15"/>
  <c r="B9" i="15"/>
  <c r="B8" i="15"/>
  <c r="B7" i="15"/>
  <c r="L308" i="1"/>
  <c r="K308" i="1"/>
  <c r="J308" i="1"/>
  <c r="I308" i="1"/>
  <c r="L307" i="1"/>
  <c r="K307" i="1"/>
  <c r="J307" i="1"/>
  <c r="I307" i="1"/>
  <c r="L306" i="1"/>
  <c r="K306" i="1"/>
  <c r="J306" i="1"/>
  <c r="I306" i="1"/>
  <c r="L305" i="1"/>
  <c r="K305" i="1"/>
  <c r="J305" i="1"/>
  <c r="I305" i="1"/>
  <c r="L304" i="1"/>
  <c r="K304" i="1"/>
  <c r="J304" i="1"/>
  <c r="I304" i="1"/>
  <c r="L303" i="1"/>
  <c r="K303" i="1"/>
  <c r="J303" i="1"/>
  <c r="I303" i="1"/>
  <c r="L302" i="1"/>
  <c r="K302" i="1"/>
  <c r="J302" i="1"/>
  <c r="I302" i="1"/>
  <c r="L301" i="1"/>
  <c r="K301" i="1"/>
  <c r="J301" i="1"/>
  <c r="I301" i="1"/>
  <c r="L300" i="1"/>
  <c r="K300" i="1"/>
  <c r="J300" i="1"/>
  <c r="I300" i="1"/>
  <c r="L299" i="1"/>
  <c r="K299" i="1"/>
  <c r="J299" i="1"/>
  <c r="I299" i="1"/>
  <c r="L298" i="1"/>
  <c r="K298" i="1"/>
  <c r="J298" i="1"/>
  <c r="I298" i="1"/>
  <c r="F308" i="1"/>
  <c r="D308" i="1"/>
  <c r="C308" i="1"/>
  <c r="E308" i="1" s="1"/>
  <c r="F307" i="1"/>
  <c r="D307" i="1"/>
  <c r="C307" i="1"/>
  <c r="G307" i="1" s="1"/>
  <c r="F306" i="1"/>
  <c r="D306" i="1"/>
  <c r="C306" i="1"/>
  <c r="E306" i="1" s="1"/>
  <c r="F305" i="1"/>
  <c r="D305" i="1"/>
  <c r="C305" i="1"/>
  <c r="G305" i="1" s="1"/>
  <c r="F304" i="1"/>
  <c r="D304" i="1"/>
  <c r="C304" i="1"/>
  <c r="G304" i="1" s="1"/>
  <c r="F303" i="1"/>
  <c r="D303" i="1"/>
  <c r="C303" i="1"/>
  <c r="E303" i="1" s="1"/>
  <c r="F302" i="1"/>
  <c r="D302" i="1"/>
  <c r="C302" i="1"/>
  <c r="G302" i="1" s="1"/>
  <c r="F301" i="1"/>
  <c r="D301" i="1"/>
  <c r="C301" i="1"/>
  <c r="E301" i="1" s="1"/>
  <c r="F300" i="1"/>
  <c r="D300" i="1"/>
  <c r="C300" i="1"/>
  <c r="G300" i="1" s="1"/>
  <c r="F299" i="1"/>
  <c r="D299" i="1"/>
  <c r="C299" i="1"/>
  <c r="G299" i="1" s="1"/>
  <c r="F298" i="1"/>
  <c r="D298" i="1"/>
  <c r="C298" i="1"/>
  <c r="E298" i="1" s="1"/>
  <c r="B16" i="15" l="1"/>
  <c r="H16" i="15"/>
  <c r="G308" i="1"/>
  <c r="E300" i="1"/>
  <c r="E305" i="1"/>
  <c r="G298" i="1"/>
  <c r="G301" i="1"/>
  <c r="G306" i="1"/>
  <c r="G303" i="1"/>
  <c r="E302" i="1"/>
  <c r="E299" i="1"/>
  <c r="E307" i="1"/>
  <c r="E304" i="1"/>
  <c r="L297" i="1"/>
  <c r="K297" i="1"/>
  <c r="J297" i="1"/>
  <c r="I297" i="1"/>
  <c r="L296" i="1"/>
  <c r="K296" i="1"/>
  <c r="J296" i="1"/>
  <c r="I296" i="1"/>
  <c r="L295" i="1"/>
  <c r="K295" i="1"/>
  <c r="J295" i="1"/>
  <c r="I295" i="1"/>
  <c r="F297" i="1"/>
  <c r="D297" i="1"/>
  <c r="C297" i="1"/>
  <c r="E297" i="1" s="1"/>
  <c r="F296" i="1"/>
  <c r="D296" i="1"/>
  <c r="C296" i="1"/>
  <c r="G296" i="1" s="1"/>
  <c r="F295" i="1"/>
  <c r="D295" i="1"/>
  <c r="C295" i="1"/>
  <c r="G295" i="1" s="1"/>
  <c r="M10" i="15" l="1"/>
  <c r="M15" i="15"/>
  <c r="M11" i="15"/>
  <c r="M12" i="15"/>
  <c r="M13" i="15"/>
  <c r="M8" i="15"/>
  <c r="M6" i="15"/>
  <c r="M9" i="15"/>
  <c r="M7" i="15"/>
  <c r="M14" i="15"/>
  <c r="J9" i="15"/>
  <c r="D13" i="15"/>
  <c r="G10" i="15"/>
  <c r="G9" i="15"/>
  <c r="G8" i="15"/>
  <c r="G6" i="15"/>
  <c r="G11" i="15"/>
  <c r="G14" i="15"/>
  <c r="G15" i="15"/>
  <c r="G13" i="15"/>
  <c r="G12" i="15"/>
  <c r="G7" i="15"/>
  <c r="J14" i="15"/>
  <c r="J11" i="15"/>
  <c r="D10" i="15"/>
  <c r="D7" i="15"/>
  <c r="D12" i="15"/>
  <c r="D15" i="15"/>
  <c r="D9" i="15"/>
  <c r="D14" i="15"/>
  <c r="D8" i="15"/>
  <c r="J13" i="15"/>
  <c r="J10" i="15"/>
  <c r="D11" i="15"/>
  <c r="J15" i="15"/>
  <c r="J12" i="15"/>
  <c r="J8" i="15"/>
  <c r="J7" i="15"/>
  <c r="G297" i="1"/>
  <c r="E296" i="1"/>
  <c r="E295" i="1"/>
  <c r="L294" i="1"/>
  <c r="K294" i="1"/>
  <c r="J294" i="1"/>
  <c r="I294" i="1"/>
  <c r="L293" i="1"/>
  <c r="K293" i="1"/>
  <c r="J293" i="1"/>
  <c r="I293" i="1"/>
  <c r="L292" i="1"/>
  <c r="K292" i="1"/>
  <c r="J292" i="1"/>
  <c r="I292" i="1"/>
  <c r="L291" i="1"/>
  <c r="K291" i="1"/>
  <c r="J291" i="1"/>
  <c r="I291" i="1"/>
  <c r="L290" i="1"/>
  <c r="K290" i="1"/>
  <c r="J290" i="1"/>
  <c r="I290" i="1"/>
  <c r="L289" i="1"/>
  <c r="K289" i="1"/>
  <c r="J289" i="1"/>
  <c r="I289" i="1"/>
  <c r="L288" i="1"/>
  <c r="K288" i="1"/>
  <c r="J288" i="1"/>
  <c r="I288" i="1"/>
  <c r="L287" i="1"/>
  <c r="K287" i="1"/>
  <c r="J287" i="1"/>
  <c r="I287" i="1"/>
  <c r="L286" i="1"/>
  <c r="K286" i="1"/>
  <c r="J286" i="1"/>
  <c r="I286" i="1"/>
  <c r="L285" i="1"/>
  <c r="K285" i="1"/>
  <c r="J285" i="1"/>
  <c r="I285" i="1"/>
  <c r="L284" i="1"/>
  <c r="K284" i="1"/>
  <c r="J284" i="1"/>
  <c r="I284" i="1"/>
  <c r="L283" i="1"/>
  <c r="K283" i="1"/>
  <c r="J283" i="1"/>
  <c r="I283" i="1"/>
  <c r="L282" i="1"/>
  <c r="K282" i="1"/>
  <c r="J282" i="1"/>
  <c r="I282" i="1"/>
  <c r="L281" i="1"/>
  <c r="K281" i="1"/>
  <c r="J281" i="1"/>
  <c r="I281" i="1"/>
  <c r="L280" i="1"/>
  <c r="K280" i="1"/>
  <c r="J280" i="1"/>
  <c r="I280" i="1"/>
  <c r="L279" i="1"/>
  <c r="K279" i="1"/>
  <c r="J279" i="1"/>
  <c r="I279" i="1"/>
  <c r="F294" i="1"/>
  <c r="D294" i="1"/>
  <c r="C294" i="1"/>
  <c r="G294" i="1" s="1"/>
  <c r="F293" i="1"/>
  <c r="D293" i="1"/>
  <c r="C293" i="1"/>
  <c r="G293" i="1" s="1"/>
  <c r="F292" i="1"/>
  <c r="D292" i="1"/>
  <c r="C292" i="1"/>
  <c r="G292" i="1" s="1"/>
  <c r="F291" i="1"/>
  <c r="D291" i="1"/>
  <c r="C291" i="1"/>
  <c r="E291" i="1" s="1"/>
  <c r="F290" i="1"/>
  <c r="D290" i="1"/>
  <c r="C290" i="1"/>
  <c r="G290" i="1" s="1"/>
  <c r="F289" i="1"/>
  <c r="D289" i="1"/>
  <c r="C289" i="1"/>
  <c r="E289" i="1" s="1"/>
  <c r="F288" i="1"/>
  <c r="D288" i="1"/>
  <c r="C288" i="1"/>
  <c r="E288" i="1" s="1"/>
  <c r="F287" i="1"/>
  <c r="D287" i="1"/>
  <c r="C287" i="1"/>
  <c r="G287" i="1" s="1"/>
  <c r="F286" i="1"/>
  <c r="D286" i="1"/>
  <c r="C286" i="1"/>
  <c r="G286" i="1" s="1"/>
  <c r="F285" i="1"/>
  <c r="D285" i="1"/>
  <c r="C285" i="1"/>
  <c r="G285" i="1" s="1"/>
  <c r="F284" i="1"/>
  <c r="D284" i="1"/>
  <c r="C284" i="1"/>
  <c r="G284" i="1" s="1"/>
  <c r="F283" i="1"/>
  <c r="D283" i="1"/>
  <c r="C283" i="1"/>
  <c r="E283" i="1" s="1"/>
  <c r="F282" i="1"/>
  <c r="D282" i="1"/>
  <c r="C282" i="1"/>
  <c r="G282" i="1" s="1"/>
  <c r="F281" i="1"/>
  <c r="D281" i="1"/>
  <c r="C281" i="1"/>
  <c r="E281" i="1" s="1"/>
  <c r="F280" i="1"/>
  <c r="D280" i="1"/>
  <c r="C280" i="1"/>
  <c r="E280" i="1" s="1"/>
  <c r="F279" i="1"/>
  <c r="D279" i="1"/>
  <c r="C279" i="1"/>
  <c r="G279" i="1" s="1"/>
  <c r="C3" i="15" l="1"/>
  <c r="B3" i="15"/>
  <c r="C2" i="15"/>
  <c r="B2" i="15"/>
  <c r="E293" i="1"/>
  <c r="G291" i="1"/>
  <c r="G289" i="1"/>
  <c r="E290" i="1"/>
  <c r="G283" i="1"/>
  <c r="G288" i="1"/>
  <c r="G281" i="1"/>
  <c r="E286" i="1"/>
  <c r="G280" i="1"/>
  <c r="E282" i="1"/>
  <c r="E285" i="1"/>
  <c r="E287" i="1"/>
  <c r="E279" i="1"/>
  <c r="E284" i="1"/>
  <c r="E292" i="1"/>
  <c r="E294" i="1"/>
  <c r="L278" i="1"/>
  <c r="K278" i="1"/>
  <c r="J278" i="1"/>
  <c r="I278" i="1"/>
  <c r="L277" i="1"/>
  <c r="K277" i="1"/>
  <c r="J277" i="1"/>
  <c r="I277" i="1"/>
  <c r="F278" i="1"/>
  <c r="D278" i="1"/>
  <c r="C278" i="1"/>
  <c r="E278" i="1" s="1"/>
  <c r="F277" i="1"/>
  <c r="D277" i="1"/>
  <c r="C277" i="1"/>
  <c r="G277" i="1" s="1"/>
  <c r="G278" i="1" l="1"/>
  <c r="E277" i="1"/>
  <c r="L276" i="1"/>
  <c r="K276" i="1"/>
  <c r="J276" i="1"/>
  <c r="I276" i="1"/>
  <c r="F276" i="1"/>
  <c r="D276" i="1"/>
  <c r="C276" i="1"/>
  <c r="G276" i="1" s="1"/>
  <c r="E276" i="1" l="1"/>
  <c r="L275" i="1"/>
  <c r="K275" i="1"/>
  <c r="J275" i="1"/>
  <c r="I275" i="1"/>
  <c r="L274" i="1"/>
  <c r="K274" i="1"/>
  <c r="J274" i="1"/>
  <c r="I274" i="1"/>
  <c r="L273" i="1"/>
  <c r="K273" i="1"/>
  <c r="J273" i="1"/>
  <c r="I273" i="1"/>
  <c r="L272" i="1"/>
  <c r="K272" i="1"/>
  <c r="J272" i="1"/>
  <c r="I272" i="1"/>
  <c r="L271" i="1"/>
  <c r="K271" i="1"/>
  <c r="J271" i="1"/>
  <c r="I271" i="1"/>
  <c r="L270" i="1"/>
  <c r="K270" i="1"/>
  <c r="J270" i="1"/>
  <c r="I270" i="1"/>
  <c r="F275" i="1"/>
  <c r="D275" i="1"/>
  <c r="C275" i="1"/>
  <c r="E275" i="1" s="1"/>
  <c r="F274" i="1"/>
  <c r="D274" i="1"/>
  <c r="C274" i="1"/>
  <c r="G274" i="1" s="1"/>
  <c r="F273" i="1"/>
  <c r="D273" i="1"/>
  <c r="C273" i="1"/>
  <c r="G273" i="1" s="1"/>
  <c r="F272" i="1"/>
  <c r="D272" i="1"/>
  <c r="C272" i="1"/>
  <c r="E272" i="1" s="1"/>
  <c r="F271" i="1"/>
  <c r="D271" i="1"/>
  <c r="C271" i="1"/>
  <c r="G271" i="1" s="1"/>
  <c r="F270" i="1"/>
  <c r="D270" i="1"/>
  <c r="C270" i="1"/>
  <c r="G270" i="1" s="1"/>
  <c r="G275" i="1" l="1"/>
  <c r="G272" i="1"/>
  <c r="E274" i="1"/>
  <c r="E273" i="1"/>
  <c r="E270" i="1"/>
  <c r="E271" i="1"/>
  <c r="L269" i="1"/>
  <c r="K269" i="1"/>
  <c r="J269" i="1"/>
  <c r="I269" i="1"/>
  <c r="L268" i="1"/>
  <c r="K268" i="1"/>
  <c r="J268" i="1"/>
  <c r="I268" i="1"/>
  <c r="L267" i="1"/>
  <c r="K267" i="1"/>
  <c r="J267" i="1"/>
  <c r="I267" i="1"/>
  <c r="F269" i="1"/>
  <c r="D269" i="1"/>
  <c r="C269" i="1"/>
  <c r="G269" i="1" s="1"/>
  <c r="F268" i="1"/>
  <c r="D268" i="1"/>
  <c r="C268" i="1"/>
  <c r="G268" i="1" s="1"/>
  <c r="F267" i="1"/>
  <c r="D267" i="1"/>
  <c r="C267" i="1"/>
  <c r="G267" i="1" s="1"/>
  <c r="E268" i="1" l="1"/>
  <c r="E267" i="1"/>
  <c r="E269" i="1"/>
  <c r="L266" i="1"/>
  <c r="K266" i="1"/>
  <c r="J266" i="1"/>
  <c r="I266" i="1"/>
  <c r="L265" i="1"/>
  <c r="K265" i="1"/>
  <c r="J265" i="1"/>
  <c r="I265" i="1"/>
  <c r="L264" i="1"/>
  <c r="K264" i="1"/>
  <c r="J264" i="1"/>
  <c r="I264" i="1"/>
  <c r="L263" i="1"/>
  <c r="K263" i="1"/>
  <c r="J263" i="1"/>
  <c r="I263" i="1"/>
  <c r="F266" i="1"/>
  <c r="D266" i="1"/>
  <c r="C266" i="1"/>
  <c r="E266" i="1" s="1"/>
  <c r="F265" i="1"/>
  <c r="D265" i="1"/>
  <c r="C265" i="1"/>
  <c r="E265" i="1" s="1"/>
  <c r="F264" i="1"/>
  <c r="D264" i="1"/>
  <c r="C264" i="1"/>
  <c r="G264" i="1" s="1"/>
  <c r="F263" i="1"/>
  <c r="D263" i="1"/>
  <c r="C263" i="1"/>
  <c r="E263" i="1" s="1"/>
  <c r="G263" i="1" l="1"/>
  <c r="G266" i="1"/>
  <c r="G265" i="1"/>
  <c r="E264" i="1"/>
  <c r="L262" i="1"/>
  <c r="K262" i="1"/>
  <c r="J262" i="1"/>
  <c r="I262" i="1"/>
  <c r="L261" i="1"/>
  <c r="K261" i="1"/>
  <c r="J261" i="1"/>
  <c r="I261" i="1"/>
  <c r="F262" i="1"/>
  <c r="D262" i="1"/>
  <c r="C262" i="1"/>
  <c r="G262" i="1" s="1"/>
  <c r="F261" i="1"/>
  <c r="D261" i="1"/>
  <c r="C261" i="1"/>
  <c r="E261" i="1" s="1"/>
  <c r="G261" i="1" l="1"/>
  <c r="E262" i="1"/>
  <c r="L260" i="1"/>
  <c r="K260" i="1"/>
  <c r="J260" i="1"/>
  <c r="I260" i="1"/>
  <c r="L259" i="1"/>
  <c r="K259" i="1"/>
  <c r="J259" i="1"/>
  <c r="I259" i="1"/>
  <c r="F260" i="1"/>
  <c r="D260" i="1"/>
  <c r="C260" i="1"/>
  <c r="E260" i="1" s="1"/>
  <c r="F259" i="1"/>
  <c r="D259" i="1"/>
  <c r="C259" i="1"/>
  <c r="G259" i="1" s="1"/>
  <c r="G260" i="1" l="1"/>
  <c r="E259" i="1"/>
  <c r="L258" i="1"/>
  <c r="K258" i="1"/>
  <c r="J258" i="1"/>
  <c r="I258" i="1"/>
  <c r="L257" i="1"/>
  <c r="K257" i="1"/>
  <c r="J257" i="1"/>
  <c r="I257" i="1"/>
  <c r="L256" i="1"/>
  <c r="K256" i="1"/>
  <c r="J256" i="1"/>
  <c r="I256" i="1"/>
  <c r="L255" i="1"/>
  <c r="K255" i="1"/>
  <c r="J255" i="1"/>
  <c r="I255" i="1"/>
  <c r="L254" i="1"/>
  <c r="K254" i="1"/>
  <c r="J254" i="1"/>
  <c r="I254" i="1"/>
  <c r="L253" i="1"/>
  <c r="K253" i="1"/>
  <c r="J253" i="1"/>
  <c r="I253" i="1"/>
  <c r="L252" i="1"/>
  <c r="K252" i="1"/>
  <c r="J252" i="1"/>
  <c r="I252" i="1"/>
  <c r="F258" i="1"/>
  <c r="D258" i="1"/>
  <c r="C258" i="1"/>
  <c r="E258" i="1" s="1"/>
  <c r="F257" i="1"/>
  <c r="D257" i="1"/>
  <c r="C257" i="1"/>
  <c r="G257" i="1" s="1"/>
  <c r="F256" i="1"/>
  <c r="D256" i="1"/>
  <c r="C256" i="1"/>
  <c r="G256" i="1" s="1"/>
  <c r="F255" i="1"/>
  <c r="D255" i="1"/>
  <c r="C255" i="1"/>
  <c r="E255" i="1" s="1"/>
  <c r="F254" i="1"/>
  <c r="D254" i="1"/>
  <c r="C254" i="1"/>
  <c r="G254" i="1" s="1"/>
  <c r="F253" i="1"/>
  <c r="D253" i="1"/>
  <c r="C253" i="1"/>
  <c r="G253" i="1" s="1"/>
  <c r="F252" i="1"/>
  <c r="D252" i="1"/>
  <c r="C252" i="1"/>
  <c r="G252" i="1" s="1"/>
  <c r="G258" i="1" l="1"/>
  <c r="E252" i="1"/>
  <c r="E256" i="1"/>
  <c r="E257" i="1"/>
  <c r="E253" i="1"/>
  <c r="G255" i="1"/>
  <c r="E254" i="1"/>
  <c r="L251" i="1"/>
  <c r="K251" i="1"/>
  <c r="J251" i="1"/>
  <c r="I251" i="1"/>
  <c r="L250" i="1"/>
  <c r="K250" i="1"/>
  <c r="J250" i="1"/>
  <c r="I250" i="1"/>
  <c r="L249" i="1"/>
  <c r="K249" i="1"/>
  <c r="J249" i="1"/>
  <c r="I249" i="1"/>
  <c r="F251" i="1"/>
  <c r="D251" i="1"/>
  <c r="C251" i="1"/>
  <c r="G251" i="1" s="1"/>
  <c r="F250" i="1"/>
  <c r="D250" i="1"/>
  <c r="C250" i="1"/>
  <c r="E250" i="1" s="1"/>
  <c r="F249" i="1"/>
  <c r="D249" i="1"/>
  <c r="C249" i="1"/>
  <c r="G249" i="1" s="1"/>
  <c r="G250" i="1" l="1"/>
  <c r="E249" i="1"/>
  <c r="E251" i="1"/>
  <c r="L248" i="1"/>
  <c r="K248" i="1"/>
  <c r="J248" i="1"/>
  <c r="I248" i="1"/>
  <c r="L247" i="1"/>
  <c r="K247" i="1"/>
  <c r="J247" i="1"/>
  <c r="I247" i="1"/>
  <c r="F248" i="1"/>
  <c r="D248" i="1"/>
  <c r="C248" i="1"/>
  <c r="G248" i="1" s="1"/>
  <c r="F247" i="1"/>
  <c r="D247" i="1"/>
  <c r="C247" i="1"/>
  <c r="G247" i="1" s="1"/>
  <c r="E247" i="1" l="1"/>
  <c r="E248" i="1"/>
  <c r="L246" i="1"/>
  <c r="K246" i="1"/>
  <c r="J246" i="1"/>
  <c r="I246" i="1"/>
  <c r="L245" i="1"/>
  <c r="K245" i="1"/>
  <c r="J245" i="1"/>
  <c r="I245" i="1"/>
  <c r="L244" i="1"/>
  <c r="K244" i="1"/>
  <c r="J244" i="1"/>
  <c r="I244" i="1"/>
  <c r="L243" i="1"/>
  <c r="K243" i="1"/>
  <c r="J243" i="1"/>
  <c r="I243" i="1"/>
  <c r="L242" i="1"/>
  <c r="K242" i="1"/>
  <c r="J242" i="1"/>
  <c r="I242" i="1"/>
  <c r="F246" i="1"/>
  <c r="D246" i="1"/>
  <c r="C246" i="1"/>
  <c r="G246" i="1" s="1"/>
  <c r="F245" i="1"/>
  <c r="D245" i="1"/>
  <c r="C245" i="1"/>
  <c r="G245" i="1" s="1"/>
  <c r="F244" i="1"/>
  <c r="D244" i="1"/>
  <c r="C244" i="1"/>
  <c r="E244" i="1" s="1"/>
  <c r="F243" i="1"/>
  <c r="D243" i="1"/>
  <c r="C243" i="1"/>
  <c r="E243" i="1" s="1"/>
  <c r="F242" i="1"/>
  <c r="D242" i="1"/>
  <c r="C242" i="1"/>
  <c r="E242" i="1" s="1"/>
  <c r="G242" i="1" l="1"/>
  <c r="E245" i="1"/>
  <c r="G243" i="1"/>
  <c r="G244" i="1"/>
  <c r="E246" i="1"/>
  <c r="L241" i="1"/>
  <c r="K241" i="1"/>
  <c r="J241" i="1"/>
  <c r="I241" i="1"/>
  <c r="L240" i="1"/>
  <c r="K240" i="1"/>
  <c r="J240" i="1"/>
  <c r="I240" i="1"/>
  <c r="F241" i="1"/>
  <c r="D241" i="1"/>
  <c r="C241" i="1"/>
  <c r="E241" i="1" s="1"/>
  <c r="F240" i="1"/>
  <c r="D240" i="1"/>
  <c r="C240" i="1"/>
  <c r="G240" i="1" s="1"/>
  <c r="G241" i="1" l="1"/>
  <c r="E240" i="1"/>
  <c r="L239" i="1"/>
  <c r="K239" i="1"/>
  <c r="J239" i="1"/>
  <c r="I239" i="1"/>
  <c r="L238" i="1"/>
  <c r="K238" i="1"/>
  <c r="J238" i="1"/>
  <c r="I238" i="1"/>
  <c r="F239" i="1"/>
  <c r="D239" i="1"/>
  <c r="C239" i="1"/>
  <c r="E239" i="1" s="1"/>
  <c r="F238" i="1"/>
  <c r="D238" i="1"/>
  <c r="C238" i="1"/>
  <c r="G238" i="1" s="1"/>
  <c r="G239" i="1" l="1"/>
  <c r="E238" i="1"/>
  <c r="L237" i="1"/>
  <c r="K237" i="1"/>
  <c r="J237" i="1"/>
  <c r="I237" i="1"/>
  <c r="L236" i="1"/>
  <c r="K236" i="1"/>
  <c r="J236" i="1"/>
  <c r="I236" i="1"/>
  <c r="F237" i="1"/>
  <c r="D237" i="1"/>
  <c r="C237" i="1"/>
  <c r="G237" i="1" s="1"/>
  <c r="F236" i="1"/>
  <c r="D236" i="1"/>
  <c r="C236" i="1"/>
  <c r="G236" i="1" s="1"/>
  <c r="E236" i="1" l="1"/>
  <c r="E237" i="1"/>
  <c r="L235" i="1"/>
  <c r="K235" i="1"/>
  <c r="J235" i="1"/>
  <c r="I235" i="1"/>
  <c r="L234" i="1"/>
  <c r="K234" i="1"/>
  <c r="J234" i="1"/>
  <c r="I234" i="1"/>
  <c r="L233" i="1"/>
  <c r="K233" i="1"/>
  <c r="J233" i="1"/>
  <c r="I233" i="1"/>
  <c r="L232" i="1"/>
  <c r="K232" i="1"/>
  <c r="J232" i="1"/>
  <c r="I232" i="1"/>
  <c r="L231" i="1"/>
  <c r="K231" i="1"/>
  <c r="J231" i="1"/>
  <c r="I231" i="1"/>
  <c r="F235" i="1"/>
  <c r="D235" i="1"/>
  <c r="C235" i="1"/>
  <c r="G235" i="1" s="1"/>
  <c r="F234" i="1"/>
  <c r="D234" i="1"/>
  <c r="C234" i="1"/>
  <c r="G234" i="1" s="1"/>
  <c r="F233" i="1"/>
  <c r="D233" i="1"/>
  <c r="C233" i="1"/>
  <c r="G233" i="1" s="1"/>
  <c r="F232" i="1"/>
  <c r="D232" i="1"/>
  <c r="C232" i="1"/>
  <c r="E232" i="1" s="1"/>
  <c r="F231" i="1"/>
  <c r="D231" i="1"/>
  <c r="C231" i="1"/>
  <c r="E231" i="1" s="1"/>
  <c r="G231" i="1" l="1"/>
  <c r="E234" i="1"/>
  <c r="G232" i="1"/>
  <c r="E233" i="1"/>
  <c r="E235" i="1"/>
  <c r="E20" i="7"/>
  <c r="E19" i="7"/>
  <c r="E18" i="7"/>
  <c r="E17" i="7"/>
  <c r="E16" i="7"/>
  <c r="E15" i="7"/>
  <c r="E14" i="7"/>
  <c r="E13" i="7"/>
  <c r="E12" i="7"/>
  <c r="E11" i="7"/>
  <c r="E10" i="7"/>
  <c r="E9" i="7"/>
  <c r="E8" i="7"/>
  <c r="E7" i="7"/>
  <c r="E6" i="7"/>
  <c r="E5" i="7"/>
  <c r="E4" i="7"/>
  <c r="AL18" i="10"/>
  <c r="AK18" i="10"/>
  <c r="L230" i="1"/>
  <c r="K230" i="1"/>
  <c r="J230" i="1"/>
  <c r="I230" i="1"/>
  <c r="L229" i="1"/>
  <c r="K229" i="1"/>
  <c r="J229" i="1"/>
  <c r="I229" i="1"/>
  <c r="L228" i="1"/>
  <c r="K228" i="1"/>
  <c r="J228" i="1"/>
  <c r="I228" i="1"/>
  <c r="L227" i="1"/>
  <c r="K227" i="1"/>
  <c r="J227" i="1"/>
  <c r="I227" i="1"/>
  <c r="L226" i="1"/>
  <c r="K226" i="1"/>
  <c r="J226" i="1"/>
  <c r="I226" i="1"/>
  <c r="L225" i="1"/>
  <c r="K225" i="1"/>
  <c r="J225" i="1"/>
  <c r="I225" i="1"/>
  <c r="L224" i="1"/>
  <c r="K224" i="1"/>
  <c r="J224" i="1"/>
  <c r="I224" i="1"/>
  <c r="L223" i="1"/>
  <c r="K223" i="1"/>
  <c r="J223" i="1"/>
  <c r="I223" i="1"/>
  <c r="L222" i="1"/>
  <c r="K222" i="1"/>
  <c r="J222" i="1"/>
  <c r="I222" i="1"/>
  <c r="L221" i="1"/>
  <c r="K221" i="1"/>
  <c r="J221" i="1"/>
  <c r="I221" i="1"/>
  <c r="F230" i="1"/>
  <c r="D230" i="1"/>
  <c r="C230" i="1"/>
  <c r="E230" i="1" s="1"/>
  <c r="F229" i="1"/>
  <c r="D229" i="1"/>
  <c r="C229" i="1"/>
  <c r="G229" i="1" s="1"/>
  <c r="F228" i="1"/>
  <c r="D228" i="1"/>
  <c r="C228" i="1"/>
  <c r="G228" i="1" s="1"/>
  <c r="F227" i="1"/>
  <c r="D227" i="1"/>
  <c r="C227" i="1"/>
  <c r="G227" i="1" s="1"/>
  <c r="F226" i="1"/>
  <c r="D226" i="1"/>
  <c r="C226" i="1"/>
  <c r="G226" i="1" s="1"/>
  <c r="F225" i="1"/>
  <c r="D225" i="1"/>
  <c r="C225" i="1"/>
  <c r="E225" i="1" s="1"/>
  <c r="F224" i="1"/>
  <c r="D224" i="1"/>
  <c r="C224" i="1"/>
  <c r="G224" i="1" s="1"/>
  <c r="F223" i="1"/>
  <c r="D223" i="1"/>
  <c r="C223" i="1"/>
  <c r="G223" i="1" s="1"/>
  <c r="F222" i="1"/>
  <c r="D222" i="1"/>
  <c r="C222" i="1"/>
  <c r="E222" i="1" s="1"/>
  <c r="F221" i="1"/>
  <c r="D221" i="1"/>
  <c r="C221" i="1"/>
  <c r="G221" i="1" s="1"/>
  <c r="G230" i="1" l="1"/>
  <c r="E224" i="1"/>
  <c r="E223" i="1"/>
  <c r="G222" i="1"/>
  <c r="E227" i="1"/>
  <c r="G225" i="1"/>
  <c r="E221" i="1"/>
  <c r="E229" i="1"/>
  <c r="E226" i="1"/>
  <c r="E228" i="1"/>
  <c r="L220" i="1"/>
  <c r="K220" i="1"/>
  <c r="J220" i="1"/>
  <c r="I220" i="1"/>
  <c r="L219" i="1"/>
  <c r="K219" i="1"/>
  <c r="J219" i="1"/>
  <c r="I219" i="1"/>
  <c r="F220" i="1"/>
  <c r="D220" i="1"/>
  <c r="C220" i="1"/>
  <c r="G220" i="1" s="1"/>
  <c r="F219" i="1"/>
  <c r="D219" i="1"/>
  <c r="C219" i="1"/>
  <c r="G219" i="1" s="1"/>
  <c r="E219" i="1" l="1"/>
  <c r="E220" i="1"/>
  <c r="L218" i="1"/>
  <c r="K218" i="1"/>
  <c r="J218" i="1"/>
  <c r="I218" i="1"/>
  <c r="F218" i="1"/>
  <c r="D218" i="1"/>
  <c r="C218" i="1"/>
  <c r="G218" i="1" s="1"/>
  <c r="E218" i="1" l="1"/>
  <c r="L217" i="1"/>
  <c r="K217" i="1"/>
  <c r="AJ18" i="10" s="1"/>
  <c r="J217" i="1"/>
  <c r="I217" i="1"/>
  <c r="L216" i="1"/>
  <c r="K216" i="1"/>
  <c r="J216" i="1"/>
  <c r="I216" i="1"/>
  <c r="F217" i="1"/>
  <c r="D217" i="1"/>
  <c r="C217" i="1"/>
  <c r="G217" i="1" s="1"/>
  <c r="F216" i="1"/>
  <c r="D216" i="1"/>
  <c r="C216" i="1"/>
  <c r="G216" i="1" s="1"/>
  <c r="E216" i="1" l="1"/>
  <c r="E217" i="1"/>
  <c r="L215" i="1"/>
  <c r="K215" i="1"/>
  <c r="J215" i="1"/>
  <c r="I215" i="1"/>
  <c r="L214" i="1"/>
  <c r="K214" i="1"/>
  <c r="J214" i="1"/>
  <c r="I214" i="1"/>
  <c r="F215" i="1"/>
  <c r="D215" i="1"/>
  <c r="C215" i="1"/>
  <c r="E215" i="1" s="1"/>
  <c r="F214" i="1"/>
  <c r="D214" i="1"/>
  <c r="C214" i="1"/>
  <c r="G214" i="1" s="1"/>
  <c r="G215" i="1" l="1"/>
  <c r="E214" i="1"/>
  <c r="L213" i="1"/>
  <c r="K213" i="1"/>
  <c r="J213" i="1"/>
  <c r="I213" i="1"/>
  <c r="L212" i="1"/>
  <c r="K212" i="1"/>
  <c r="J212" i="1"/>
  <c r="I212" i="1"/>
  <c r="F213" i="1"/>
  <c r="D213" i="1"/>
  <c r="C213" i="1"/>
  <c r="E213" i="1" s="1"/>
  <c r="F212" i="1"/>
  <c r="D212" i="1"/>
  <c r="C212" i="1"/>
  <c r="G212" i="1" s="1"/>
  <c r="G213" i="1" l="1"/>
  <c r="E212" i="1"/>
  <c r="C208" i="1"/>
  <c r="G208" i="1" s="1"/>
  <c r="L211" i="1"/>
  <c r="K211" i="1"/>
  <c r="J211" i="1"/>
  <c r="I211" i="1"/>
  <c r="L210" i="1"/>
  <c r="K210" i="1"/>
  <c r="J210" i="1"/>
  <c r="I210" i="1"/>
  <c r="L209" i="1"/>
  <c r="K209" i="1"/>
  <c r="J209" i="1"/>
  <c r="I209" i="1"/>
  <c r="L208" i="1"/>
  <c r="K208" i="1"/>
  <c r="J208" i="1"/>
  <c r="I208" i="1"/>
  <c r="L207" i="1"/>
  <c r="K207" i="1"/>
  <c r="J207" i="1"/>
  <c r="I207" i="1"/>
  <c r="L206" i="1"/>
  <c r="K206" i="1"/>
  <c r="J206" i="1"/>
  <c r="I206" i="1"/>
  <c r="F211" i="1"/>
  <c r="D211" i="1"/>
  <c r="C211" i="1"/>
  <c r="G211" i="1" s="1"/>
  <c r="F210" i="1"/>
  <c r="D210" i="1"/>
  <c r="C210" i="1"/>
  <c r="G210" i="1" s="1"/>
  <c r="F209" i="1"/>
  <c r="D209" i="1"/>
  <c r="C209" i="1"/>
  <c r="G209" i="1" s="1"/>
  <c r="F208" i="1"/>
  <c r="D208" i="1"/>
  <c r="F207" i="1"/>
  <c r="D207" i="1"/>
  <c r="C207" i="1"/>
  <c r="G207" i="1" s="1"/>
  <c r="F206" i="1"/>
  <c r="D206" i="1"/>
  <c r="C206" i="1"/>
  <c r="E206" i="1" s="1"/>
  <c r="E207" i="1" l="1"/>
  <c r="G206" i="1"/>
  <c r="E208" i="1"/>
  <c r="E210" i="1"/>
  <c r="E209" i="1"/>
  <c r="E211" i="1"/>
  <c r="L205" i="1"/>
  <c r="K205" i="1"/>
  <c r="J205" i="1"/>
  <c r="I205" i="1"/>
  <c r="F205" i="1"/>
  <c r="D205" i="1"/>
  <c r="C205" i="1"/>
  <c r="E205" i="1" s="1"/>
  <c r="G205" i="1" l="1"/>
  <c r="L204" i="1"/>
  <c r="K204" i="1"/>
  <c r="J204" i="1"/>
  <c r="I204" i="1"/>
  <c r="L203" i="1"/>
  <c r="K203" i="1"/>
  <c r="J203" i="1"/>
  <c r="I203" i="1"/>
  <c r="L202" i="1"/>
  <c r="K202" i="1"/>
  <c r="J202" i="1"/>
  <c r="I202" i="1"/>
  <c r="L201" i="1"/>
  <c r="K201" i="1"/>
  <c r="J201" i="1"/>
  <c r="I201" i="1"/>
  <c r="L200" i="1"/>
  <c r="K200" i="1"/>
  <c r="J200" i="1"/>
  <c r="I200" i="1"/>
  <c r="F204" i="1"/>
  <c r="D204" i="1"/>
  <c r="C204" i="1"/>
  <c r="G204" i="1" s="1"/>
  <c r="F203" i="1"/>
  <c r="D203" i="1"/>
  <c r="C203" i="1"/>
  <c r="E203" i="1" s="1"/>
  <c r="F202" i="1"/>
  <c r="D202" i="1"/>
  <c r="C202" i="1"/>
  <c r="G202" i="1" s="1"/>
  <c r="F201" i="1"/>
  <c r="D201" i="1"/>
  <c r="C201" i="1"/>
  <c r="E201" i="1" s="1"/>
  <c r="F200" i="1"/>
  <c r="D200" i="1"/>
  <c r="C200" i="1"/>
  <c r="E200" i="1" s="1"/>
  <c r="G201" i="1" l="1"/>
  <c r="G203" i="1"/>
  <c r="G200" i="1"/>
  <c r="E202" i="1"/>
  <c r="E204" i="1"/>
  <c r="L199" i="1"/>
  <c r="K199" i="1"/>
  <c r="J199" i="1"/>
  <c r="I199" i="1"/>
  <c r="L198" i="1"/>
  <c r="K198" i="1"/>
  <c r="J198" i="1"/>
  <c r="I198" i="1"/>
  <c r="L197" i="1"/>
  <c r="K197" i="1"/>
  <c r="J197" i="1"/>
  <c r="I197" i="1"/>
  <c r="L196" i="1"/>
  <c r="K196" i="1"/>
  <c r="J196" i="1"/>
  <c r="I196" i="1"/>
  <c r="L195" i="1"/>
  <c r="K195" i="1"/>
  <c r="J195" i="1"/>
  <c r="I195" i="1"/>
  <c r="F199" i="1"/>
  <c r="D199" i="1"/>
  <c r="C199" i="1"/>
  <c r="G199" i="1" s="1"/>
  <c r="F198" i="1"/>
  <c r="D198" i="1"/>
  <c r="C198" i="1"/>
  <c r="E198" i="1" s="1"/>
  <c r="F197" i="1"/>
  <c r="D197" i="1"/>
  <c r="C197" i="1"/>
  <c r="G197" i="1" s="1"/>
  <c r="F196" i="1"/>
  <c r="D196" i="1"/>
  <c r="C196" i="1"/>
  <c r="E196" i="1" s="1"/>
  <c r="F195" i="1"/>
  <c r="D195" i="1"/>
  <c r="C195" i="1"/>
  <c r="G195" i="1" s="1"/>
  <c r="G198" i="1" l="1"/>
  <c r="E195" i="1"/>
  <c r="E199" i="1"/>
  <c r="G196" i="1"/>
  <c r="E197" i="1"/>
  <c r="L194" i="1"/>
  <c r="K194" i="1"/>
  <c r="J194" i="1"/>
  <c r="I194" i="1"/>
  <c r="F194" i="1"/>
  <c r="D194" i="1"/>
  <c r="C194" i="1"/>
  <c r="E194" i="1" s="1"/>
  <c r="G194" i="1" l="1"/>
  <c r="L193" i="1"/>
  <c r="K193" i="1"/>
  <c r="J193" i="1"/>
  <c r="I193" i="1"/>
  <c r="AJ193" i="1" s="1"/>
  <c r="AK193" i="1" s="1"/>
  <c r="F193" i="1"/>
  <c r="D193" i="1"/>
  <c r="C193" i="1"/>
  <c r="G193" i="1" s="1"/>
  <c r="AJ308" i="1"/>
  <c r="AK308" i="1" s="1"/>
  <c r="AJ307" i="1"/>
  <c r="AK307" i="1" s="1"/>
  <c r="AJ306" i="1"/>
  <c r="AK306" i="1" s="1"/>
  <c r="AJ305" i="1"/>
  <c r="AK305" i="1" s="1"/>
  <c r="AJ304" i="1"/>
  <c r="AK304" i="1" s="1"/>
  <c r="AJ303" i="1"/>
  <c r="AK303" i="1" s="1"/>
  <c r="AJ302" i="1"/>
  <c r="AK302" i="1" s="1"/>
  <c r="AJ301" i="1"/>
  <c r="AK301" i="1" s="1"/>
  <c r="AJ300" i="1"/>
  <c r="AK300" i="1" s="1"/>
  <c r="AJ299" i="1"/>
  <c r="AK299" i="1" s="1"/>
  <c r="AJ298" i="1"/>
  <c r="AK298" i="1" s="1"/>
  <c r="AJ297" i="1"/>
  <c r="AK297" i="1" s="1"/>
  <c r="AJ296" i="1"/>
  <c r="AK296" i="1" s="1"/>
  <c r="AJ295" i="1"/>
  <c r="AK295" i="1" s="1"/>
  <c r="AJ294" i="1"/>
  <c r="AK294" i="1" s="1"/>
  <c r="AJ293" i="1"/>
  <c r="AK293" i="1" s="1"/>
  <c r="AJ292" i="1"/>
  <c r="AK292" i="1" s="1"/>
  <c r="AJ291" i="1"/>
  <c r="AK291" i="1" s="1"/>
  <c r="AJ290" i="1"/>
  <c r="AK290" i="1" s="1"/>
  <c r="AJ289" i="1"/>
  <c r="AK289" i="1" s="1"/>
  <c r="AJ288" i="1"/>
  <c r="AK288" i="1" s="1"/>
  <c r="AJ287" i="1"/>
  <c r="AK287" i="1" s="1"/>
  <c r="AJ286" i="1"/>
  <c r="AK286" i="1" s="1"/>
  <c r="AJ285" i="1"/>
  <c r="AK285" i="1" s="1"/>
  <c r="AJ284" i="1"/>
  <c r="AK284" i="1" s="1"/>
  <c r="AJ283" i="1"/>
  <c r="AK283" i="1" s="1"/>
  <c r="AJ282" i="1"/>
  <c r="AK282" i="1" s="1"/>
  <c r="AJ281" i="1"/>
  <c r="AK281" i="1" s="1"/>
  <c r="AJ280" i="1"/>
  <c r="AK280" i="1" s="1"/>
  <c r="AJ279" i="1"/>
  <c r="AK279" i="1" s="1"/>
  <c r="AJ278" i="1"/>
  <c r="AK278" i="1" s="1"/>
  <c r="AJ277" i="1"/>
  <c r="AK277" i="1" s="1"/>
  <c r="AJ276" i="1"/>
  <c r="AK276" i="1" s="1"/>
  <c r="AJ275" i="1"/>
  <c r="AK275" i="1" s="1"/>
  <c r="AJ274" i="1"/>
  <c r="AK274" i="1" s="1"/>
  <c r="AJ273" i="1"/>
  <c r="AK273" i="1" s="1"/>
  <c r="AJ272" i="1"/>
  <c r="AK272" i="1" s="1"/>
  <c r="AJ271" i="1"/>
  <c r="AK271" i="1" s="1"/>
  <c r="AJ270" i="1"/>
  <c r="AK270" i="1" s="1"/>
  <c r="AJ269" i="1"/>
  <c r="AK269" i="1" s="1"/>
  <c r="AJ268" i="1"/>
  <c r="AK268" i="1" s="1"/>
  <c r="AJ267" i="1"/>
  <c r="AK267" i="1" s="1"/>
  <c r="AJ266" i="1"/>
  <c r="AK266" i="1" s="1"/>
  <c r="AJ265" i="1"/>
  <c r="AK265" i="1" s="1"/>
  <c r="AJ264" i="1"/>
  <c r="AK264" i="1" s="1"/>
  <c r="AJ263" i="1"/>
  <c r="AK263" i="1" s="1"/>
  <c r="AJ262" i="1"/>
  <c r="AK262" i="1" s="1"/>
  <c r="AJ261" i="1"/>
  <c r="AK261" i="1" s="1"/>
  <c r="AJ260" i="1"/>
  <c r="AK260" i="1" s="1"/>
  <c r="AJ259" i="1"/>
  <c r="AK259" i="1" s="1"/>
  <c r="AJ258" i="1"/>
  <c r="AK258" i="1" s="1"/>
  <c r="AJ257" i="1"/>
  <c r="AK257" i="1" s="1"/>
  <c r="AJ256" i="1"/>
  <c r="AK256" i="1" s="1"/>
  <c r="AJ255" i="1"/>
  <c r="AK255" i="1" s="1"/>
  <c r="AJ254" i="1"/>
  <c r="AK254" i="1" s="1"/>
  <c r="AJ253" i="1"/>
  <c r="AK253" i="1" s="1"/>
  <c r="AJ252" i="1"/>
  <c r="AK252" i="1" s="1"/>
  <c r="AJ251" i="1"/>
  <c r="AK251" i="1" s="1"/>
  <c r="AJ250" i="1"/>
  <c r="AK250" i="1" s="1"/>
  <c r="AJ249" i="1"/>
  <c r="AK249" i="1" s="1"/>
  <c r="AJ248" i="1"/>
  <c r="AK248" i="1" s="1"/>
  <c r="AJ247" i="1"/>
  <c r="AK247" i="1" s="1"/>
  <c r="AJ246" i="1"/>
  <c r="AK246" i="1" s="1"/>
  <c r="AJ245" i="1"/>
  <c r="AK245" i="1" s="1"/>
  <c r="AJ244" i="1"/>
  <c r="AK244" i="1" s="1"/>
  <c r="AJ243" i="1"/>
  <c r="AK243" i="1" s="1"/>
  <c r="AJ242" i="1"/>
  <c r="AK242" i="1" s="1"/>
  <c r="AJ241" i="1"/>
  <c r="AK241" i="1" s="1"/>
  <c r="AJ240" i="1"/>
  <c r="AK240" i="1" s="1"/>
  <c r="AJ239" i="1"/>
  <c r="AK239" i="1" s="1"/>
  <c r="AJ238" i="1"/>
  <c r="AK238" i="1" s="1"/>
  <c r="AJ237" i="1"/>
  <c r="AK237" i="1" s="1"/>
  <c r="AJ236" i="1"/>
  <c r="AK236" i="1" s="1"/>
  <c r="AJ235" i="1"/>
  <c r="AK235" i="1" s="1"/>
  <c r="AJ234" i="1"/>
  <c r="AK234" i="1" s="1"/>
  <c r="AJ233" i="1"/>
  <c r="AK233" i="1" s="1"/>
  <c r="AJ232" i="1"/>
  <c r="AK232" i="1" s="1"/>
  <c r="AJ231" i="1"/>
  <c r="AK231" i="1" s="1"/>
  <c r="AJ230" i="1"/>
  <c r="AK230" i="1" s="1"/>
  <c r="AJ229" i="1"/>
  <c r="AK229" i="1" s="1"/>
  <c r="AJ228" i="1"/>
  <c r="AK228" i="1" s="1"/>
  <c r="AJ227" i="1"/>
  <c r="AK227" i="1" s="1"/>
  <c r="AJ226" i="1"/>
  <c r="AK226" i="1" s="1"/>
  <c r="AJ225" i="1"/>
  <c r="AK225" i="1" s="1"/>
  <c r="AJ224" i="1"/>
  <c r="AK224" i="1" s="1"/>
  <c r="AJ223" i="1"/>
  <c r="AK223" i="1" s="1"/>
  <c r="AJ222" i="1"/>
  <c r="AK222" i="1" s="1"/>
  <c r="AJ221" i="1"/>
  <c r="AK221" i="1" s="1"/>
  <c r="AJ220" i="1"/>
  <c r="AK220" i="1" s="1"/>
  <c r="AJ219" i="1"/>
  <c r="AK219" i="1" s="1"/>
  <c r="AJ218" i="1"/>
  <c r="AK218" i="1" s="1"/>
  <c r="AJ217" i="1"/>
  <c r="AK217" i="1" s="1"/>
  <c r="AJ216" i="1"/>
  <c r="AK216" i="1" s="1"/>
  <c r="AJ215" i="1"/>
  <c r="AK215" i="1" s="1"/>
  <c r="AJ214" i="1"/>
  <c r="AK214" i="1" s="1"/>
  <c r="AJ213" i="1"/>
  <c r="AK213" i="1" s="1"/>
  <c r="AJ212" i="1"/>
  <c r="AK212" i="1" s="1"/>
  <c r="AJ211" i="1"/>
  <c r="AK211" i="1" s="1"/>
  <c r="AJ210" i="1"/>
  <c r="AK210" i="1" s="1"/>
  <c r="AJ209" i="1"/>
  <c r="AK209" i="1" s="1"/>
  <c r="AJ208" i="1"/>
  <c r="AK208" i="1" s="1"/>
  <c r="AJ207" i="1"/>
  <c r="AK207" i="1" s="1"/>
  <c r="AJ206" i="1"/>
  <c r="AK206" i="1" s="1"/>
  <c r="AJ205" i="1"/>
  <c r="AK205" i="1" s="1"/>
  <c r="AJ204" i="1"/>
  <c r="AK204" i="1" s="1"/>
  <c r="AJ203" i="1"/>
  <c r="AK203" i="1" s="1"/>
  <c r="AJ202" i="1"/>
  <c r="AK202" i="1" s="1"/>
  <c r="AJ201" i="1"/>
  <c r="AK201" i="1" s="1"/>
  <c r="AJ200" i="1"/>
  <c r="AK200" i="1" s="1"/>
  <c r="AJ199" i="1"/>
  <c r="AK199" i="1" s="1"/>
  <c r="AJ198" i="1"/>
  <c r="AK198" i="1" s="1"/>
  <c r="AJ197" i="1"/>
  <c r="AK197" i="1" s="1"/>
  <c r="AJ196" i="1"/>
  <c r="AK196" i="1" s="1"/>
  <c r="AJ195" i="1"/>
  <c r="AK195" i="1" s="1"/>
  <c r="AJ194" i="1"/>
  <c r="AK194" i="1" s="1"/>
  <c r="AG308" i="1"/>
  <c r="AH308" i="1" s="1"/>
  <c r="AG307" i="1"/>
  <c r="AH307" i="1" s="1"/>
  <c r="AG306" i="1"/>
  <c r="AH306" i="1" s="1"/>
  <c r="AG305" i="1"/>
  <c r="AH305" i="1" s="1"/>
  <c r="AG304" i="1"/>
  <c r="AH304" i="1" s="1"/>
  <c r="AG303" i="1"/>
  <c r="AH303" i="1" s="1"/>
  <c r="AG302" i="1"/>
  <c r="AH302" i="1" s="1"/>
  <c r="AG301" i="1"/>
  <c r="AH301" i="1" s="1"/>
  <c r="AG300" i="1"/>
  <c r="AH300" i="1" s="1"/>
  <c r="AG299" i="1"/>
  <c r="AH299" i="1" s="1"/>
  <c r="AG298" i="1"/>
  <c r="AH298" i="1" s="1"/>
  <c r="AG297" i="1"/>
  <c r="AH297" i="1" s="1"/>
  <c r="AG296" i="1"/>
  <c r="AH296" i="1" s="1"/>
  <c r="AG295" i="1"/>
  <c r="AH295" i="1" s="1"/>
  <c r="AG294" i="1"/>
  <c r="AH294" i="1" s="1"/>
  <c r="AG293" i="1"/>
  <c r="AH293" i="1" s="1"/>
  <c r="AG292" i="1"/>
  <c r="AH292" i="1" s="1"/>
  <c r="AG291" i="1"/>
  <c r="AH291" i="1" s="1"/>
  <c r="AG290" i="1"/>
  <c r="AH290" i="1" s="1"/>
  <c r="AG289" i="1"/>
  <c r="AH289" i="1" s="1"/>
  <c r="AG288" i="1"/>
  <c r="AH288" i="1" s="1"/>
  <c r="AG287" i="1"/>
  <c r="AH287" i="1" s="1"/>
  <c r="AG286" i="1"/>
  <c r="AH286" i="1" s="1"/>
  <c r="AG285" i="1"/>
  <c r="AH285" i="1" s="1"/>
  <c r="AG284" i="1"/>
  <c r="AH284" i="1" s="1"/>
  <c r="AG283" i="1"/>
  <c r="AH283" i="1" s="1"/>
  <c r="AG282" i="1"/>
  <c r="AH282" i="1" s="1"/>
  <c r="AG281" i="1"/>
  <c r="AH281" i="1" s="1"/>
  <c r="AG280" i="1"/>
  <c r="AH280" i="1" s="1"/>
  <c r="AG279" i="1"/>
  <c r="AH279" i="1" s="1"/>
  <c r="AG278" i="1"/>
  <c r="AH278" i="1" s="1"/>
  <c r="AG277" i="1"/>
  <c r="AH277" i="1" s="1"/>
  <c r="AG276" i="1"/>
  <c r="AH276" i="1" s="1"/>
  <c r="AG275" i="1"/>
  <c r="AH275" i="1" s="1"/>
  <c r="AG274" i="1"/>
  <c r="AH274" i="1" s="1"/>
  <c r="AG273" i="1"/>
  <c r="AH273" i="1" s="1"/>
  <c r="AG272" i="1"/>
  <c r="AH272" i="1" s="1"/>
  <c r="AG271" i="1"/>
  <c r="AH271" i="1" s="1"/>
  <c r="AG270" i="1"/>
  <c r="AH270" i="1" s="1"/>
  <c r="AG269" i="1"/>
  <c r="AH269" i="1" s="1"/>
  <c r="AG268" i="1"/>
  <c r="AH268" i="1" s="1"/>
  <c r="AG267" i="1"/>
  <c r="AH267" i="1" s="1"/>
  <c r="AG266" i="1"/>
  <c r="AH266" i="1" s="1"/>
  <c r="AG265" i="1"/>
  <c r="AH265" i="1" s="1"/>
  <c r="AG264" i="1"/>
  <c r="AH264" i="1" s="1"/>
  <c r="AG263" i="1"/>
  <c r="AH263" i="1" s="1"/>
  <c r="AG262" i="1"/>
  <c r="AH262" i="1" s="1"/>
  <c r="AG261" i="1"/>
  <c r="AH261" i="1" s="1"/>
  <c r="AG260" i="1"/>
  <c r="AH260" i="1" s="1"/>
  <c r="AG259" i="1"/>
  <c r="AH259" i="1" s="1"/>
  <c r="AG258" i="1"/>
  <c r="AH258" i="1" s="1"/>
  <c r="AG257" i="1"/>
  <c r="AH257" i="1" s="1"/>
  <c r="AG256" i="1"/>
  <c r="AH256" i="1" s="1"/>
  <c r="AG255" i="1"/>
  <c r="AH255" i="1" s="1"/>
  <c r="AG254" i="1"/>
  <c r="AH254" i="1" s="1"/>
  <c r="AG253" i="1"/>
  <c r="AH253" i="1" s="1"/>
  <c r="AG252" i="1"/>
  <c r="AH252" i="1" s="1"/>
  <c r="AG251" i="1"/>
  <c r="AH251" i="1" s="1"/>
  <c r="AG250" i="1"/>
  <c r="AH250" i="1" s="1"/>
  <c r="AG249" i="1"/>
  <c r="AH249" i="1" s="1"/>
  <c r="AG248" i="1"/>
  <c r="AH248" i="1" s="1"/>
  <c r="AG247" i="1"/>
  <c r="AH247" i="1" s="1"/>
  <c r="AG246" i="1"/>
  <c r="AH246" i="1" s="1"/>
  <c r="AG245" i="1"/>
  <c r="AH245" i="1" s="1"/>
  <c r="AG244" i="1"/>
  <c r="AH244" i="1" s="1"/>
  <c r="AG243" i="1"/>
  <c r="AH243" i="1" s="1"/>
  <c r="AG242" i="1"/>
  <c r="AH242" i="1" s="1"/>
  <c r="AG241" i="1"/>
  <c r="AH241" i="1" s="1"/>
  <c r="AG240" i="1"/>
  <c r="AH240" i="1" s="1"/>
  <c r="AG239" i="1"/>
  <c r="AH239" i="1" s="1"/>
  <c r="AG238" i="1"/>
  <c r="AH238" i="1" s="1"/>
  <c r="AG237" i="1"/>
  <c r="AH237" i="1" s="1"/>
  <c r="AG236" i="1"/>
  <c r="AH236" i="1" s="1"/>
  <c r="AG235" i="1"/>
  <c r="AH235" i="1" s="1"/>
  <c r="AG234" i="1"/>
  <c r="AH234" i="1" s="1"/>
  <c r="AG233" i="1"/>
  <c r="AH233" i="1" s="1"/>
  <c r="AG232" i="1"/>
  <c r="AH232" i="1" s="1"/>
  <c r="AG231" i="1"/>
  <c r="AH231" i="1" s="1"/>
  <c r="AG230" i="1"/>
  <c r="AH230" i="1" s="1"/>
  <c r="AG229" i="1"/>
  <c r="AH229" i="1" s="1"/>
  <c r="AG228" i="1"/>
  <c r="AH228" i="1" s="1"/>
  <c r="AG227" i="1"/>
  <c r="AH227" i="1" s="1"/>
  <c r="AG226" i="1"/>
  <c r="AH226" i="1" s="1"/>
  <c r="AG225" i="1"/>
  <c r="AH225" i="1" s="1"/>
  <c r="AG224" i="1"/>
  <c r="AH224" i="1" s="1"/>
  <c r="AG223" i="1"/>
  <c r="AH223" i="1" s="1"/>
  <c r="AG222" i="1"/>
  <c r="AH222" i="1" s="1"/>
  <c r="AG221" i="1"/>
  <c r="AH221" i="1" s="1"/>
  <c r="AG220" i="1"/>
  <c r="AH220" i="1" s="1"/>
  <c r="AG219" i="1"/>
  <c r="AH219" i="1" s="1"/>
  <c r="AG218" i="1"/>
  <c r="AH218" i="1" s="1"/>
  <c r="AG217" i="1"/>
  <c r="AH217" i="1" s="1"/>
  <c r="AG216" i="1"/>
  <c r="AH216" i="1" s="1"/>
  <c r="AG215" i="1"/>
  <c r="AH215" i="1" s="1"/>
  <c r="AG214" i="1"/>
  <c r="AH214" i="1" s="1"/>
  <c r="AG213" i="1"/>
  <c r="AH213" i="1" s="1"/>
  <c r="AG212" i="1"/>
  <c r="AH212" i="1" s="1"/>
  <c r="AG211" i="1"/>
  <c r="AH211" i="1" s="1"/>
  <c r="AG210" i="1"/>
  <c r="AH210" i="1" s="1"/>
  <c r="AG209" i="1"/>
  <c r="AH209" i="1" s="1"/>
  <c r="AG208" i="1"/>
  <c r="AH208" i="1" s="1"/>
  <c r="AG207" i="1"/>
  <c r="AH207" i="1" s="1"/>
  <c r="AG206" i="1"/>
  <c r="AH206" i="1" s="1"/>
  <c r="AG205" i="1"/>
  <c r="AH205" i="1" s="1"/>
  <c r="AG204" i="1"/>
  <c r="AH204" i="1" s="1"/>
  <c r="AG203" i="1"/>
  <c r="AH203" i="1" s="1"/>
  <c r="AG202" i="1"/>
  <c r="AH202" i="1" s="1"/>
  <c r="AG201" i="1"/>
  <c r="AH201" i="1" s="1"/>
  <c r="AG200" i="1"/>
  <c r="AH200" i="1" s="1"/>
  <c r="AG199" i="1"/>
  <c r="AH199" i="1" s="1"/>
  <c r="AG198" i="1"/>
  <c r="AH198" i="1" s="1"/>
  <c r="AG197" i="1"/>
  <c r="AH197" i="1" s="1"/>
  <c r="AG196" i="1"/>
  <c r="AH196" i="1" s="1"/>
  <c r="AG195" i="1"/>
  <c r="AH195" i="1" s="1"/>
  <c r="AG194" i="1"/>
  <c r="AH194" i="1" s="1"/>
  <c r="AG193" i="1" l="1"/>
  <c r="AH193" i="1" s="1"/>
  <c r="E193" i="1"/>
  <c r="AL15" i="10"/>
  <c r="AK15" i="10"/>
  <c r="AJ15" i="10"/>
  <c r="AL13" i="10"/>
  <c r="AK13" i="10"/>
  <c r="AJ13" i="10"/>
  <c r="AL7" i="10"/>
  <c r="AK7" i="10"/>
  <c r="AJ7" i="10"/>
  <c r="AL5" i="10"/>
  <c r="AK5" i="10"/>
  <c r="AJ5" i="10"/>
  <c r="AL8" i="10" l="1"/>
  <c r="AK8" i="10"/>
  <c r="AJ8" i="10"/>
  <c r="AI8" i="10"/>
  <c r="AL16" i="10"/>
  <c r="AK16" i="10"/>
  <c r="AJ16" i="10"/>
  <c r="AI16" i="10"/>
  <c r="AH16" i="10"/>
  <c r="AG16" i="10"/>
  <c r="AF16" i="10"/>
  <c r="AE16" i="10"/>
  <c r="AD16" i="10"/>
  <c r="AH8" i="10"/>
  <c r="AG8" i="10"/>
  <c r="AF8" i="10"/>
  <c r="AE8" i="10"/>
  <c r="AD8" i="10"/>
  <c r="AC16" i="10"/>
  <c r="AC8" i="10"/>
  <c r="AL14" i="10"/>
  <c r="AL12" i="10"/>
  <c r="AL6" i="10"/>
  <c r="AK14" i="10"/>
  <c r="AK12" i="10"/>
  <c r="AK6" i="10"/>
  <c r="AJ14" i="10"/>
  <c r="AJ12" i="10"/>
  <c r="AJ6" i="10"/>
  <c r="AL4" i="10"/>
  <c r="AK4" i="10"/>
  <c r="AJ4" i="10"/>
  <c r="L192" i="1"/>
  <c r="K192" i="1"/>
  <c r="J192" i="1"/>
  <c r="I192" i="1"/>
  <c r="AJ192" i="1" s="1"/>
  <c r="AK192" i="1" s="1"/>
  <c r="L191" i="1"/>
  <c r="K191" i="1"/>
  <c r="J191" i="1"/>
  <c r="I191" i="1"/>
  <c r="AJ191" i="1" s="1"/>
  <c r="AK191" i="1" s="1"/>
  <c r="L190" i="1"/>
  <c r="K190" i="1"/>
  <c r="J190" i="1"/>
  <c r="I190" i="1"/>
  <c r="AJ190" i="1" s="1"/>
  <c r="AK190" i="1" s="1"/>
  <c r="L189" i="1"/>
  <c r="K189" i="1"/>
  <c r="J189" i="1"/>
  <c r="I189" i="1"/>
  <c r="AJ189" i="1" s="1"/>
  <c r="AK189" i="1" s="1"/>
  <c r="L188" i="1"/>
  <c r="K188" i="1"/>
  <c r="J188" i="1"/>
  <c r="I188" i="1"/>
  <c r="AJ188" i="1" s="1"/>
  <c r="AK188" i="1" s="1"/>
  <c r="L187" i="1"/>
  <c r="K187" i="1"/>
  <c r="J187" i="1"/>
  <c r="I187" i="1"/>
  <c r="AJ187" i="1" s="1"/>
  <c r="AK187" i="1" s="1"/>
  <c r="F192" i="1"/>
  <c r="D192" i="1"/>
  <c r="C192" i="1"/>
  <c r="E192" i="1" s="1"/>
  <c r="F191" i="1"/>
  <c r="D191" i="1"/>
  <c r="C191" i="1"/>
  <c r="G191" i="1" s="1"/>
  <c r="F190" i="1"/>
  <c r="D190" i="1"/>
  <c r="C190" i="1"/>
  <c r="E190" i="1" s="1"/>
  <c r="F189" i="1"/>
  <c r="D189" i="1"/>
  <c r="C189" i="1"/>
  <c r="E189" i="1" s="1"/>
  <c r="F188" i="1"/>
  <c r="D188" i="1"/>
  <c r="C188" i="1"/>
  <c r="G188" i="1" s="1"/>
  <c r="F187" i="1"/>
  <c r="D187" i="1"/>
  <c r="C187" i="1"/>
  <c r="AG187" i="1" s="1"/>
  <c r="AH187" i="1" s="1"/>
  <c r="AI18" i="10" l="1"/>
  <c r="AI14" i="10"/>
  <c r="AI12" i="10"/>
  <c r="AI13" i="10"/>
  <c r="AI15" i="10"/>
  <c r="AI4" i="10"/>
  <c r="AI7" i="10"/>
  <c r="AI5" i="10"/>
  <c r="AI6" i="10"/>
  <c r="AG192" i="1"/>
  <c r="AH192" i="1" s="1"/>
  <c r="G192" i="1"/>
  <c r="AG191" i="1"/>
  <c r="AH191" i="1" s="1"/>
  <c r="E187" i="1"/>
  <c r="G187" i="1"/>
  <c r="AG189" i="1"/>
  <c r="AH189" i="1" s="1"/>
  <c r="G190" i="1"/>
  <c r="AG188" i="1"/>
  <c r="AH188" i="1" s="1"/>
  <c r="AG190" i="1"/>
  <c r="AH190" i="1" s="1"/>
  <c r="G189" i="1"/>
  <c r="E191" i="1"/>
  <c r="E188" i="1"/>
  <c r="L186" i="1"/>
  <c r="K186" i="1"/>
  <c r="J186" i="1"/>
  <c r="I186" i="1"/>
  <c r="F186" i="1"/>
  <c r="D186" i="1"/>
  <c r="C186" i="1"/>
  <c r="G186" i="1" s="1"/>
  <c r="E186" i="1" l="1"/>
  <c r="L185" i="1"/>
  <c r="K185" i="1"/>
  <c r="J185" i="1"/>
  <c r="I185" i="1"/>
  <c r="F185" i="1"/>
  <c r="D185" i="1"/>
  <c r="C185" i="1"/>
  <c r="G185" i="1" l="1"/>
  <c r="E185" i="1"/>
  <c r="L184" i="1"/>
  <c r="K184" i="1"/>
  <c r="J184" i="1"/>
  <c r="I184" i="1"/>
  <c r="L183" i="1"/>
  <c r="K183" i="1"/>
  <c r="J183" i="1"/>
  <c r="I183" i="1"/>
  <c r="L182" i="1"/>
  <c r="K182" i="1"/>
  <c r="J182" i="1"/>
  <c r="I182" i="1"/>
  <c r="F184" i="1"/>
  <c r="D184" i="1"/>
  <c r="C184" i="1"/>
  <c r="G184" i="1" s="1"/>
  <c r="F183" i="1"/>
  <c r="D183" i="1"/>
  <c r="C183" i="1"/>
  <c r="G183" i="1" s="1"/>
  <c r="F182" i="1"/>
  <c r="D182" i="1"/>
  <c r="C182" i="1"/>
  <c r="E182" i="1" s="1"/>
  <c r="E184" i="1" l="1"/>
  <c r="G182" i="1"/>
  <c r="E183" i="1"/>
  <c r="L181" i="1"/>
  <c r="K181" i="1"/>
  <c r="J181" i="1"/>
  <c r="I181" i="1"/>
  <c r="L180" i="1"/>
  <c r="K180" i="1"/>
  <c r="J180" i="1"/>
  <c r="I180" i="1"/>
  <c r="L179" i="1"/>
  <c r="K179" i="1"/>
  <c r="J179" i="1"/>
  <c r="I179" i="1"/>
  <c r="L178" i="1"/>
  <c r="K178" i="1"/>
  <c r="J178" i="1"/>
  <c r="I178" i="1"/>
  <c r="F181" i="1"/>
  <c r="D181" i="1"/>
  <c r="C181" i="1"/>
  <c r="G181" i="1" s="1"/>
  <c r="F180" i="1"/>
  <c r="D180" i="1"/>
  <c r="C180" i="1"/>
  <c r="G180" i="1" s="1"/>
  <c r="F179" i="1"/>
  <c r="D179" i="1"/>
  <c r="C179" i="1"/>
  <c r="G179" i="1" s="1"/>
  <c r="F178" i="1"/>
  <c r="D178" i="1"/>
  <c r="C178" i="1"/>
  <c r="E178" i="1" s="1"/>
  <c r="E181" i="1" l="1"/>
  <c r="E180" i="1"/>
  <c r="G178" i="1"/>
  <c r="E179" i="1"/>
  <c r="F177" i="1"/>
  <c r="D177" i="1"/>
  <c r="C177" i="1"/>
  <c r="G177" i="1" s="1"/>
  <c r="L177" i="1"/>
  <c r="K177" i="1"/>
  <c r="J177" i="1"/>
  <c r="I177" i="1"/>
  <c r="E177" i="1" l="1"/>
  <c r="L176" i="1"/>
  <c r="K176" i="1"/>
  <c r="J176" i="1"/>
  <c r="I176" i="1"/>
  <c r="L175" i="1"/>
  <c r="K175" i="1"/>
  <c r="J175" i="1"/>
  <c r="I175" i="1"/>
  <c r="F176" i="1"/>
  <c r="D176" i="1"/>
  <c r="C176" i="1"/>
  <c r="E176" i="1" s="1"/>
  <c r="F175" i="1"/>
  <c r="D175" i="1"/>
  <c r="C175" i="1"/>
  <c r="G175" i="1" s="1"/>
  <c r="G176" i="1" l="1"/>
  <c r="E175" i="1"/>
  <c r="L174" i="1"/>
  <c r="K174" i="1"/>
  <c r="J174" i="1"/>
  <c r="I174" i="1"/>
  <c r="F174" i="1"/>
  <c r="D174" i="1"/>
  <c r="C174" i="1"/>
  <c r="G174" i="1" s="1"/>
  <c r="E174" i="1" l="1"/>
  <c r="L173" i="1"/>
  <c r="K173" i="1"/>
  <c r="J173" i="1"/>
  <c r="I173" i="1"/>
  <c r="F173" i="1"/>
  <c r="D173" i="1"/>
  <c r="C173" i="1"/>
  <c r="E173" i="1" s="1"/>
  <c r="G173" i="1" l="1"/>
  <c r="L172" i="1"/>
  <c r="K172" i="1"/>
  <c r="J172" i="1"/>
  <c r="I172" i="1"/>
  <c r="F172" i="1"/>
  <c r="D172" i="1"/>
  <c r="C172" i="1"/>
  <c r="G172" i="1" s="1"/>
  <c r="E172" i="1" l="1"/>
  <c r="L171" i="1"/>
  <c r="K171" i="1"/>
  <c r="J171" i="1"/>
  <c r="I171" i="1"/>
  <c r="F171" i="1"/>
  <c r="D171" i="1"/>
  <c r="C171" i="1"/>
  <c r="G171" i="1" s="1"/>
  <c r="E171" i="1" l="1"/>
  <c r="F170" i="1"/>
  <c r="D170" i="1"/>
  <c r="C170" i="1"/>
  <c r="G170" i="1" s="1"/>
  <c r="L170" i="1"/>
  <c r="K170" i="1"/>
  <c r="J170" i="1"/>
  <c r="I170" i="1"/>
  <c r="E170" i="1" l="1"/>
  <c r="F169" i="1"/>
  <c r="D169" i="1"/>
  <c r="C169" i="1"/>
  <c r="E169" i="1" s="1"/>
  <c r="L169" i="1"/>
  <c r="K169" i="1"/>
  <c r="J169" i="1"/>
  <c r="I169" i="1"/>
  <c r="G169" i="1" l="1"/>
  <c r="L168" i="1"/>
  <c r="K168" i="1"/>
  <c r="J168" i="1"/>
  <c r="I168" i="1"/>
  <c r="L167" i="1"/>
  <c r="K167" i="1"/>
  <c r="J167" i="1"/>
  <c r="I167" i="1"/>
  <c r="F168" i="1"/>
  <c r="D168" i="1"/>
  <c r="C168" i="1"/>
  <c r="E168" i="1" s="1"/>
  <c r="F167" i="1"/>
  <c r="D167" i="1"/>
  <c r="C167" i="1"/>
  <c r="G167" i="1" s="1"/>
  <c r="G168" i="1" l="1"/>
  <c r="E167" i="1"/>
  <c r="F166" i="1"/>
  <c r="D166" i="1"/>
  <c r="C166" i="1"/>
  <c r="E166" i="1" s="1"/>
  <c r="L166" i="1"/>
  <c r="K166" i="1"/>
  <c r="J166" i="1"/>
  <c r="I166" i="1"/>
  <c r="G166" i="1" l="1"/>
  <c r="L165" i="1"/>
  <c r="K165" i="1"/>
  <c r="J165" i="1"/>
  <c r="I165" i="1"/>
  <c r="F165" i="1"/>
  <c r="D165" i="1"/>
  <c r="C165" i="1"/>
  <c r="E165" i="1" s="1"/>
  <c r="G165" i="1" l="1"/>
  <c r="L164" i="1"/>
  <c r="K164" i="1"/>
  <c r="J164" i="1"/>
  <c r="I164" i="1"/>
  <c r="F164" i="1"/>
  <c r="D164" i="1"/>
  <c r="C164" i="1"/>
  <c r="G164" i="1" s="1"/>
  <c r="E164" i="1" l="1"/>
  <c r="D21" i="13"/>
  <c r="C21" i="13"/>
  <c r="E21" i="13" s="1"/>
  <c r="B11" i="13"/>
  <c r="B21" i="13" s="1"/>
  <c r="B7" i="13"/>
  <c r="B5" i="13"/>
  <c r="B4" i="13" s="1"/>
  <c r="D22" i="13" l="1"/>
  <c r="B22" i="13"/>
  <c r="C22" i="13"/>
  <c r="B16" i="13"/>
  <c r="B17" i="13"/>
  <c r="F163" i="1"/>
  <c r="D163" i="1"/>
  <c r="C163" i="1"/>
  <c r="G163" i="1" s="1"/>
  <c r="L163" i="1"/>
  <c r="K163" i="1"/>
  <c r="J163" i="1"/>
  <c r="I163" i="1"/>
  <c r="L162" i="1"/>
  <c r="K162" i="1"/>
  <c r="J162" i="1"/>
  <c r="I162" i="1"/>
  <c r="F162" i="1"/>
  <c r="D162" i="1"/>
  <c r="C162" i="1"/>
  <c r="E162" i="1" s="1"/>
  <c r="G301" i="13" l="1"/>
  <c r="G297" i="13"/>
  <c r="G293" i="13"/>
  <c r="G254" i="13"/>
  <c r="G249" i="13"/>
  <c r="G246" i="13"/>
  <c r="G209" i="13"/>
  <c r="G205" i="13"/>
  <c r="G325" i="13"/>
  <c r="G253" i="13"/>
  <c r="G245" i="13"/>
  <c r="G241" i="13"/>
  <c r="G316" i="13"/>
  <c r="G312" i="13"/>
  <c r="G308" i="13"/>
  <c r="G279" i="13"/>
  <c r="G275" i="13"/>
  <c r="G261" i="13"/>
  <c r="G212" i="13"/>
  <c r="G208" i="13"/>
  <c r="G270" i="13"/>
  <c r="G274" i="13"/>
  <c r="G265" i="13"/>
  <c r="G222" i="13"/>
  <c r="G215" i="13"/>
  <c r="G311" i="13"/>
  <c r="G307" i="13"/>
  <c r="G303" i="13"/>
  <c r="G299" i="13"/>
  <c r="G278" i="13"/>
  <c r="G269" i="13"/>
  <c r="G256" i="13"/>
  <c r="G244" i="13"/>
  <c r="G218" i="13"/>
  <c r="G259" i="13"/>
  <c r="G319" i="13"/>
  <c r="G314" i="13"/>
  <c r="G306" i="13"/>
  <c r="G277" i="13"/>
  <c r="G264" i="13"/>
  <c r="G260" i="13"/>
  <c r="G251" i="13"/>
  <c r="G247" i="13"/>
  <c r="G221" i="13"/>
  <c r="G207" i="13"/>
  <c r="G318" i="13"/>
  <c r="G310" i="13"/>
  <c r="G302" i="13"/>
  <c r="G272" i="13"/>
  <c r="G206" i="13"/>
  <c r="G323" i="13"/>
  <c r="G286" i="13"/>
  <c r="G281" i="13"/>
  <c r="G250" i="13"/>
  <c r="G239" i="13"/>
  <c r="G235" i="13"/>
  <c r="G224" i="13"/>
  <c r="G217" i="13"/>
  <c r="B23" i="13"/>
  <c r="E22" i="13"/>
  <c r="C23" i="13"/>
  <c r="D23" i="13"/>
  <c r="B18" i="13"/>
  <c r="G326" i="13" s="1"/>
  <c r="E163" i="1"/>
  <c r="G162" i="1"/>
  <c r="L161" i="1"/>
  <c r="K161" i="1"/>
  <c r="J161" i="1"/>
  <c r="I161" i="1"/>
  <c r="F161" i="1"/>
  <c r="D161" i="1"/>
  <c r="C161" i="1"/>
  <c r="E161" i="1" s="1"/>
  <c r="H326" i="13" l="1"/>
  <c r="F326" i="13"/>
  <c r="H247" i="13"/>
  <c r="F247" i="13"/>
  <c r="H244" i="13"/>
  <c r="F244" i="13"/>
  <c r="F299" i="13"/>
  <c r="H299" i="13"/>
  <c r="H215" i="13"/>
  <c r="F215" i="13"/>
  <c r="F270" i="13"/>
  <c r="H270" i="13"/>
  <c r="H261" i="13"/>
  <c r="F261" i="13"/>
  <c r="H308" i="13"/>
  <c r="F308" i="13"/>
  <c r="H241" i="13"/>
  <c r="F241" i="13"/>
  <c r="H325" i="13"/>
  <c r="F325" i="13"/>
  <c r="F246" i="13"/>
  <c r="H246" i="13"/>
  <c r="F293" i="13"/>
  <c r="H293" i="13"/>
  <c r="H306" i="13"/>
  <c r="F306" i="13"/>
  <c r="H256" i="13"/>
  <c r="F256" i="13"/>
  <c r="H275" i="13"/>
  <c r="F275" i="13"/>
  <c r="H312" i="13"/>
  <c r="F312" i="13"/>
  <c r="H245" i="13"/>
  <c r="F245" i="13"/>
  <c r="H205" i="13"/>
  <c r="F205" i="13"/>
  <c r="H249" i="13"/>
  <c r="F249" i="13"/>
  <c r="F297" i="13"/>
  <c r="H297" i="13"/>
  <c r="H281" i="13"/>
  <c r="F281" i="13"/>
  <c r="F310" i="13"/>
  <c r="H310" i="13"/>
  <c r="F235" i="13"/>
  <c r="H235" i="13"/>
  <c r="H265" i="13"/>
  <c r="F265" i="13"/>
  <c r="H253" i="13"/>
  <c r="F253" i="13"/>
  <c r="F254" i="13"/>
  <c r="H254" i="13"/>
  <c r="H301" i="13"/>
  <c r="F301" i="13"/>
  <c r="H217" i="13"/>
  <c r="F217" i="13"/>
  <c r="H314" i="13"/>
  <c r="F314" i="13"/>
  <c r="H319" i="13"/>
  <c r="F319" i="13"/>
  <c r="H279" i="13"/>
  <c r="F279" i="13"/>
  <c r="H206" i="13"/>
  <c r="F206" i="13"/>
  <c r="F259" i="13"/>
  <c r="H259" i="13"/>
  <c r="H274" i="13"/>
  <c r="F274" i="13"/>
  <c r="G219" i="13"/>
  <c r="G288" i="13"/>
  <c r="G216" i="13"/>
  <c r="G262" i="13"/>
  <c r="G213" i="13"/>
  <c r="G258" i="13"/>
  <c r="G305" i="13"/>
  <c r="H224" i="13"/>
  <c r="F224" i="13"/>
  <c r="H208" i="13"/>
  <c r="F208" i="13"/>
  <c r="H318" i="13"/>
  <c r="F318" i="13"/>
  <c r="H212" i="13"/>
  <c r="F212" i="13"/>
  <c r="H264" i="13"/>
  <c r="F264" i="13"/>
  <c r="F278" i="13"/>
  <c r="H278" i="13"/>
  <c r="H311" i="13"/>
  <c r="F311" i="13"/>
  <c r="G243" i="13"/>
  <c r="G263" i="13"/>
  <c r="G211" i="13"/>
  <c r="G273" i="13"/>
  <c r="G322" i="13"/>
  <c r="G282" i="13"/>
  <c r="G315" i="13"/>
  <c r="G283" i="13"/>
  <c r="G229" i="13"/>
  <c r="G292" i="13"/>
  <c r="G223" i="13"/>
  <c r="G266" i="13"/>
  <c r="G220" i="13"/>
  <c r="G267" i="13"/>
  <c r="G309" i="13"/>
  <c r="H303" i="13"/>
  <c r="F303" i="13"/>
  <c r="H260" i="13"/>
  <c r="F260" i="13"/>
  <c r="H209" i="13"/>
  <c r="F209" i="13"/>
  <c r="H272" i="13"/>
  <c r="F272" i="13"/>
  <c r="H218" i="13"/>
  <c r="F218" i="13"/>
  <c r="G287" i="13"/>
  <c r="G324" i="13"/>
  <c r="G320" i="13"/>
  <c r="G232" i="13"/>
  <c r="G296" i="13"/>
  <c r="G226" i="13"/>
  <c r="G271" i="13"/>
  <c r="G227" i="13"/>
  <c r="G276" i="13"/>
  <c r="G313" i="13"/>
  <c r="F286" i="13"/>
  <c r="H286" i="13"/>
  <c r="H222" i="13"/>
  <c r="F222" i="13"/>
  <c r="H323" i="13"/>
  <c r="F323" i="13"/>
  <c r="H307" i="13"/>
  <c r="F307" i="13"/>
  <c r="H207" i="13"/>
  <c r="F207" i="13"/>
  <c r="H221" i="13"/>
  <c r="F221" i="13"/>
  <c r="G242" i="13"/>
  <c r="G255" i="13"/>
  <c r="G285" i="13"/>
  <c r="G228" i="13"/>
  <c r="G290" i="13"/>
  <c r="G225" i="13"/>
  <c r="G291" i="13"/>
  <c r="G210" i="13"/>
  <c r="G240" i="13"/>
  <c r="G248" i="13"/>
  <c r="G300" i="13"/>
  <c r="G233" i="13"/>
  <c r="G284" i="13"/>
  <c r="G230" i="13"/>
  <c r="G280" i="13"/>
  <c r="G317" i="13"/>
  <c r="F302" i="13"/>
  <c r="H302" i="13"/>
  <c r="F251" i="13"/>
  <c r="H251" i="13"/>
  <c r="H269" i="13"/>
  <c r="F269" i="13"/>
  <c r="H316" i="13"/>
  <c r="F316" i="13"/>
  <c r="F239" i="13"/>
  <c r="H239" i="13"/>
  <c r="H250" i="13"/>
  <c r="F250" i="13"/>
  <c r="H277" i="13"/>
  <c r="F277" i="13"/>
  <c r="G214" i="13"/>
  <c r="G268" i="13"/>
  <c r="G294" i="13"/>
  <c r="G231" i="13"/>
  <c r="G298" i="13"/>
  <c r="G236" i="13"/>
  <c r="G295" i="13"/>
  <c r="G234" i="13"/>
  <c r="G252" i="13"/>
  <c r="G257" i="13"/>
  <c r="G304" i="13"/>
  <c r="G237" i="13"/>
  <c r="G321" i="13"/>
  <c r="G238" i="13"/>
  <c r="G289" i="13"/>
  <c r="G161" i="1"/>
  <c r="E23" i="13"/>
  <c r="C24" i="13"/>
  <c r="D24" i="13"/>
  <c r="B24" i="13"/>
  <c r="G204" i="13"/>
  <c r="G196" i="13"/>
  <c r="G188" i="13"/>
  <c r="G180" i="13"/>
  <c r="G172" i="13"/>
  <c r="G164" i="13"/>
  <c r="G140" i="13"/>
  <c r="G132" i="13"/>
  <c r="G124" i="13"/>
  <c r="G116" i="13"/>
  <c r="G108" i="13"/>
  <c r="G84" i="13"/>
  <c r="G76" i="13"/>
  <c r="G52" i="13"/>
  <c r="G28" i="13"/>
  <c r="G187" i="13"/>
  <c r="G115" i="13"/>
  <c r="G67" i="13"/>
  <c r="G27" i="13"/>
  <c r="G91" i="13"/>
  <c r="G202" i="13"/>
  <c r="G194" i="13"/>
  <c r="G186" i="13"/>
  <c r="G201" i="13"/>
  <c r="G193" i="13"/>
  <c r="G185" i="13"/>
  <c r="G177" i="13"/>
  <c r="G169" i="13"/>
  <c r="G161" i="13"/>
  <c r="G153" i="13"/>
  <c r="G145" i="13"/>
  <c r="G137" i="13"/>
  <c r="G129" i="13"/>
  <c r="G121" i="13"/>
  <c r="G113" i="13"/>
  <c r="G105" i="13"/>
  <c r="G97" i="13"/>
  <c r="G89" i="13"/>
  <c r="G81" i="13"/>
  <c r="G73" i="13"/>
  <c r="G65" i="13"/>
  <c r="G57" i="13"/>
  <c r="G49" i="13"/>
  <c r="G41" i="13"/>
  <c r="G33" i="13"/>
  <c r="G25" i="13"/>
  <c r="G200" i="13"/>
  <c r="G192" i="13"/>
  <c r="G184" i="13"/>
  <c r="G199" i="13"/>
  <c r="G191" i="13"/>
  <c r="G183" i="13"/>
  <c r="G198" i="13"/>
  <c r="G190" i="13"/>
  <c r="G182" i="13"/>
  <c r="G174" i="13"/>
  <c r="G166" i="13"/>
  <c r="G158" i="13"/>
  <c r="G150" i="13"/>
  <c r="G142" i="13"/>
  <c r="G134" i="13"/>
  <c r="G126" i="13"/>
  <c r="G118" i="13"/>
  <c r="G110" i="13"/>
  <c r="G102" i="13"/>
  <c r="G94" i="13"/>
  <c r="G86" i="13"/>
  <c r="G78" i="13"/>
  <c r="G70" i="13"/>
  <c r="G62" i="13"/>
  <c r="G54" i="13"/>
  <c r="G46" i="13"/>
  <c r="G38" i="13"/>
  <c r="G30" i="13"/>
  <c r="G22" i="13"/>
  <c r="G148" i="13"/>
  <c r="G92" i="13"/>
  <c r="G60" i="13"/>
  <c r="G36" i="13"/>
  <c r="G195" i="13"/>
  <c r="G179" i="13"/>
  <c r="G163" i="13"/>
  <c r="G147" i="13"/>
  <c r="G131" i="13"/>
  <c r="G107" i="13"/>
  <c r="G83" i="13"/>
  <c r="G59" i="13"/>
  <c r="G43" i="13"/>
  <c r="G197" i="13"/>
  <c r="G189" i="13"/>
  <c r="G181" i="13"/>
  <c r="G173" i="13"/>
  <c r="G165" i="13"/>
  <c r="G157" i="13"/>
  <c r="G149" i="13"/>
  <c r="G141" i="13"/>
  <c r="G133" i="13"/>
  <c r="G125" i="13"/>
  <c r="G117" i="13"/>
  <c r="G109" i="13"/>
  <c r="G101" i="13"/>
  <c r="G93" i="13"/>
  <c r="G85" i="13"/>
  <c r="G77" i="13"/>
  <c r="G69" i="13"/>
  <c r="G61" i="13"/>
  <c r="G53" i="13"/>
  <c r="G45" i="13"/>
  <c r="G37" i="13"/>
  <c r="G29" i="13"/>
  <c r="G21" i="13"/>
  <c r="G156" i="13"/>
  <c r="G100" i="13"/>
  <c r="G68" i="13"/>
  <c r="G44" i="13"/>
  <c r="G203" i="13"/>
  <c r="G171" i="13"/>
  <c r="G155" i="13"/>
  <c r="G139" i="13"/>
  <c r="G123" i="13"/>
  <c r="G99" i="13"/>
  <c r="G75" i="13"/>
  <c r="G51" i="13"/>
  <c r="G35" i="13"/>
  <c r="G178" i="13"/>
  <c r="G114" i="13"/>
  <c r="G72" i="13"/>
  <c r="G31" i="13"/>
  <c r="G176" i="13"/>
  <c r="G135" i="13"/>
  <c r="G48" i="13"/>
  <c r="G175" i="13"/>
  <c r="G152" i="13"/>
  <c r="G130" i="13"/>
  <c r="G111" i="13"/>
  <c r="G88" i="13"/>
  <c r="G66" i="13"/>
  <c r="G47" i="13"/>
  <c r="G24" i="13"/>
  <c r="G170" i="13"/>
  <c r="G151" i="13"/>
  <c r="G128" i="13"/>
  <c r="G106" i="13"/>
  <c r="G87" i="13"/>
  <c r="G64" i="13"/>
  <c r="G42" i="13"/>
  <c r="G23" i="13"/>
  <c r="G144" i="13"/>
  <c r="G122" i="13"/>
  <c r="G103" i="13"/>
  <c r="G80" i="13"/>
  <c r="G39" i="13"/>
  <c r="G71" i="13"/>
  <c r="G58" i="13"/>
  <c r="G154" i="13"/>
  <c r="G26" i="13"/>
  <c r="G168" i="13"/>
  <c r="G146" i="13"/>
  <c r="G127" i="13"/>
  <c r="G104" i="13"/>
  <c r="G82" i="13"/>
  <c r="G63" i="13"/>
  <c r="G40" i="13"/>
  <c r="G167" i="13"/>
  <c r="G90" i="13"/>
  <c r="G162" i="13"/>
  <c r="G143" i="13"/>
  <c r="G120" i="13"/>
  <c r="G98" i="13"/>
  <c r="G79" i="13"/>
  <c r="G56" i="13"/>
  <c r="G34" i="13"/>
  <c r="G160" i="13"/>
  <c r="G138" i="13"/>
  <c r="G119" i="13"/>
  <c r="G96" i="13"/>
  <c r="G74" i="13"/>
  <c r="G55" i="13"/>
  <c r="G32" i="13"/>
  <c r="G159" i="13"/>
  <c r="G136" i="13"/>
  <c r="G95" i="13"/>
  <c r="G50" i="13"/>
  <c r="G112" i="13"/>
  <c r="F160" i="1"/>
  <c r="D160" i="1"/>
  <c r="C160" i="1"/>
  <c r="G160" i="1" s="1"/>
  <c r="L160" i="1"/>
  <c r="K160" i="1"/>
  <c r="J160" i="1"/>
  <c r="I160" i="1"/>
  <c r="H257" i="13" l="1"/>
  <c r="F257" i="13"/>
  <c r="H268" i="13"/>
  <c r="F268" i="13"/>
  <c r="F317" i="13"/>
  <c r="H317" i="13"/>
  <c r="F210" i="13"/>
  <c r="H210" i="13"/>
  <c r="H226" i="13"/>
  <c r="F226" i="13"/>
  <c r="F309" i="13"/>
  <c r="H309" i="13"/>
  <c r="F315" i="13"/>
  <c r="H315" i="13"/>
  <c r="F262" i="13"/>
  <c r="H262" i="13"/>
  <c r="H252" i="13"/>
  <c r="F252" i="13"/>
  <c r="F214" i="13"/>
  <c r="H214" i="13"/>
  <c r="H280" i="13"/>
  <c r="F280" i="13"/>
  <c r="H291" i="13"/>
  <c r="F291" i="13"/>
  <c r="H296" i="13"/>
  <c r="F296" i="13"/>
  <c r="H267" i="13"/>
  <c r="F267" i="13"/>
  <c r="H282" i="13"/>
  <c r="F282" i="13"/>
  <c r="H216" i="13"/>
  <c r="F216" i="13"/>
  <c r="H234" i="13"/>
  <c r="F234" i="13"/>
  <c r="F230" i="13"/>
  <c r="H230" i="13"/>
  <c r="H225" i="13"/>
  <c r="F225" i="13"/>
  <c r="H232" i="13"/>
  <c r="F232" i="13"/>
  <c r="F220" i="13"/>
  <c r="H220" i="13"/>
  <c r="H322" i="13"/>
  <c r="F322" i="13"/>
  <c r="H288" i="13"/>
  <c r="F288" i="13"/>
  <c r="F289" i="13"/>
  <c r="H289" i="13"/>
  <c r="H295" i="13"/>
  <c r="F295" i="13"/>
  <c r="H284" i="13"/>
  <c r="F284" i="13"/>
  <c r="H290" i="13"/>
  <c r="F290" i="13"/>
  <c r="H320" i="13"/>
  <c r="F320" i="13"/>
  <c r="H266" i="13"/>
  <c r="F266" i="13"/>
  <c r="H273" i="13"/>
  <c r="F273" i="13"/>
  <c r="F219" i="13"/>
  <c r="H219" i="13"/>
  <c r="F238" i="13"/>
  <c r="H238" i="13"/>
  <c r="H236" i="13"/>
  <c r="F236" i="13"/>
  <c r="F233" i="13"/>
  <c r="H233" i="13"/>
  <c r="H228" i="13"/>
  <c r="F228" i="13"/>
  <c r="F313" i="13"/>
  <c r="H313" i="13"/>
  <c r="H324" i="13"/>
  <c r="F324" i="13"/>
  <c r="H223" i="13"/>
  <c r="F223" i="13"/>
  <c r="H211" i="13"/>
  <c r="F211" i="13"/>
  <c r="H321" i="13"/>
  <c r="F321" i="13"/>
  <c r="H298" i="13"/>
  <c r="F298" i="13"/>
  <c r="H300" i="13"/>
  <c r="F300" i="13"/>
  <c r="H285" i="13"/>
  <c r="F285" i="13"/>
  <c r="F276" i="13"/>
  <c r="H276" i="13"/>
  <c r="H287" i="13"/>
  <c r="F287" i="13"/>
  <c r="H292" i="13"/>
  <c r="F292" i="13"/>
  <c r="F263" i="13"/>
  <c r="H263" i="13"/>
  <c r="F305" i="13"/>
  <c r="H305" i="13"/>
  <c r="H237" i="13"/>
  <c r="F237" i="13"/>
  <c r="H231" i="13"/>
  <c r="F231" i="13"/>
  <c r="H248" i="13"/>
  <c r="F248" i="13"/>
  <c r="H255" i="13"/>
  <c r="F255" i="13"/>
  <c r="F227" i="13"/>
  <c r="H227" i="13"/>
  <c r="H229" i="13"/>
  <c r="F229" i="13"/>
  <c r="F243" i="13"/>
  <c r="H243" i="13"/>
  <c r="H258" i="13"/>
  <c r="F258" i="13"/>
  <c r="H304" i="13"/>
  <c r="F304" i="13"/>
  <c r="F294" i="13"/>
  <c r="H294" i="13"/>
  <c r="H240" i="13"/>
  <c r="F240" i="13"/>
  <c r="H242" i="13"/>
  <c r="F242" i="13"/>
  <c r="H271" i="13"/>
  <c r="F271" i="13"/>
  <c r="H283" i="13"/>
  <c r="F283" i="13"/>
  <c r="H213" i="13"/>
  <c r="F213" i="13"/>
  <c r="B25" i="13"/>
  <c r="D25" i="13"/>
  <c r="C25" i="13"/>
  <c r="E24" i="13"/>
  <c r="H42" i="13"/>
  <c r="F42" i="13"/>
  <c r="H189" i="13"/>
  <c r="F189" i="13"/>
  <c r="H98" i="13"/>
  <c r="F98" i="13"/>
  <c r="H120" i="13"/>
  <c r="F120" i="13"/>
  <c r="H104" i="13"/>
  <c r="F104" i="13"/>
  <c r="F39" i="13"/>
  <c r="H39" i="13"/>
  <c r="H87" i="13"/>
  <c r="F87" i="13"/>
  <c r="F88" i="13"/>
  <c r="H88" i="13"/>
  <c r="F31" i="13"/>
  <c r="H31" i="13"/>
  <c r="H123" i="13"/>
  <c r="F123" i="13"/>
  <c r="H156" i="13"/>
  <c r="F156" i="13"/>
  <c r="H77" i="13"/>
  <c r="F77" i="13"/>
  <c r="H141" i="13"/>
  <c r="F141" i="13"/>
  <c r="H43" i="13"/>
  <c r="F43" i="13"/>
  <c r="H195" i="13"/>
  <c r="F195" i="13"/>
  <c r="H46" i="13"/>
  <c r="F46" i="13"/>
  <c r="H110" i="13"/>
  <c r="F110" i="13"/>
  <c r="H174" i="13"/>
  <c r="F174" i="13"/>
  <c r="H192" i="13"/>
  <c r="F192" i="13"/>
  <c r="H73" i="13"/>
  <c r="F73" i="13"/>
  <c r="H137" i="13"/>
  <c r="F137" i="13"/>
  <c r="F201" i="13"/>
  <c r="H201" i="13"/>
  <c r="F187" i="13"/>
  <c r="H187" i="13"/>
  <c r="H132" i="13"/>
  <c r="F132" i="13"/>
  <c r="F50" i="13"/>
  <c r="H50" i="13"/>
  <c r="H119" i="13"/>
  <c r="F119" i="13"/>
  <c r="H143" i="13"/>
  <c r="F143" i="13"/>
  <c r="F127" i="13"/>
  <c r="H127" i="13"/>
  <c r="F80" i="13"/>
  <c r="H80" i="13"/>
  <c r="H106" i="13"/>
  <c r="F106" i="13"/>
  <c r="H111" i="13"/>
  <c r="F111" i="13"/>
  <c r="H72" i="13"/>
  <c r="F72" i="13"/>
  <c r="H139" i="13"/>
  <c r="F139" i="13"/>
  <c r="F21" i="13"/>
  <c r="H21" i="13"/>
  <c r="H85" i="13"/>
  <c r="F85" i="13"/>
  <c r="H149" i="13"/>
  <c r="F149" i="13"/>
  <c r="H59" i="13"/>
  <c r="F59" i="13"/>
  <c r="H36" i="13"/>
  <c r="F36" i="13"/>
  <c r="H54" i="13"/>
  <c r="F54" i="13"/>
  <c r="H118" i="13"/>
  <c r="F118" i="13"/>
  <c r="F182" i="13"/>
  <c r="H182" i="13"/>
  <c r="F200" i="13"/>
  <c r="H200" i="13"/>
  <c r="H81" i="13"/>
  <c r="F81" i="13"/>
  <c r="H145" i="13"/>
  <c r="F145" i="13"/>
  <c r="F186" i="13"/>
  <c r="H186" i="13"/>
  <c r="H28" i="13"/>
  <c r="F28" i="13"/>
  <c r="H140" i="13"/>
  <c r="F140" i="13"/>
  <c r="F79" i="13"/>
  <c r="H79" i="13"/>
  <c r="H75" i="13"/>
  <c r="F75" i="13"/>
  <c r="H94" i="13"/>
  <c r="F94" i="13"/>
  <c r="H95" i="13"/>
  <c r="F95" i="13"/>
  <c r="H146" i="13"/>
  <c r="F146" i="13"/>
  <c r="H128" i="13"/>
  <c r="F128" i="13"/>
  <c r="H130" i="13"/>
  <c r="F130" i="13"/>
  <c r="H114" i="13"/>
  <c r="F114" i="13"/>
  <c r="H29" i="13"/>
  <c r="F29" i="13"/>
  <c r="H93" i="13"/>
  <c r="F93" i="13"/>
  <c r="H157" i="13"/>
  <c r="F157" i="13"/>
  <c r="H83" i="13"/>
  <c r="F83" i="13"/>
  <c r="H60" i="13"/>
  <c r="F60" i="13"/>
  <c r="H62" i="13"/>
  <c r="F62" i="13"/>
  <c r="H126" i="13"/>
  <c r="F126" i="13"/>
  <c r="F190" i="13"/>
  <c r="H190" i="13"/>
  <c r="F25" i="13"/>
  <c r="H25" i="13"/>
  <c r="F89" i="13"/>
  <c r="H89" i="13"/>
  <c r="H153" i="13"/>
  <c r="F153" i="13"/>
  <c r="F194" i="13"/>
  <c r="H194" i="13"/>
  <c r="H52" i="13"/>
  <c r="F52" i="13"/>
  <c r="H164" i="13"/>
  <c r="F164" i="13"/>
  <c r="H68" i="13"/>
  <c r="F68" i="13"/>
  <c r="F96" i="13"/>
  <c r="H96" i="13"/>
  <c r="F103" i="13"/>
  <c r="H103" i="13"/>
  <c r="F155" i="13"/>
  <c r="H155" i="13"/>
  <c r="F136" i="13"/>
  <c r="H136" i="13"/>
  <c r="H160" i="13"/>
  <c r="F160" i="13"/>
  <c r="H90" i="13"/>
  <c r="F90" i="13"/>
  <c r="F168" i="13"/>
  <c r="H168" i="13"/>
  <c r="F122" i="13"/>
  <c r="H122" i="13"/>
  <c r="H151" i="13"/>
  <c r="F151" i="13"/>
  <c r="H152" i="13"/>
  <c r="F152" i="13"/>
  <c r="H178" i="13"/>
  <c r="F178" i="13"/>
  <c r="F171" i="13"/>
  <c r="H171" i="13"/>
  <c r="H37" i="13"/>
  <c r="F37" i="13"/>
  <c r="H101" i="13"/>
  <c r="F101" i="13"/>
  <c r="H165" i="13"/>
  <c r="F165" i="13"/>
  <c r="H107" i="13"/>
  <c r="F107" i="13"/>
  <c r="H92" i="13"/>
  <c r="F92" i="13"/>
  <c r="H70" i="13"/>
  <c r="F70" i="13"/>
  <c r="H134" i="13"/>
  <c r="F134" i="13"/>
  <c r="H198" i="13"/>
  <c r="F198" i="13"/>
  <c r="H33" i="13"/>
  <c r="F33" i="13"/>
  <c r="H97" i="13"/>
  <c r="F97" i="13"/>
  <c r="F161" i="13"/>
  <c r="H161" i="13"/>
  <c r="H202" i="13"/>
  <c r="F202" i="13"/>
  <c r="H76" i="13"/>
  <c r="F76" i="13"/>
  <c r="H172" i="13"/>
  <c r="F172" i="13"/>
  <c r="F63" i="13"/>
  <c r="H63" i="13"/>
  <c r="H61" i="13"/>
  <c r="F61" i="13"/>
  <c r="F74" i="13"/>
  <c r="H74" i="13"/>
  <c r="H138" i="13"/>
  <c r="F138" i="13"/>
  <c r="F34" i="13"/>
  <c r="H34" i="13"/>
  <c r="F26" i="13"/>
  <c r="H26" i="13"/>
  <c r="H175" i="13"/>
  <c r="F175" i="13"/>
  <c r="H173" i="13"/>
  <c r="F173" i="13"/>
  <c r="H58" i="13"/>
  <c r="F58" i="13"/>
  <c r="H163" i="13"/>
  <c r="F163" i="13"/>
  <c r="F112" i="13"/>
  <c r="H112" i="13"/>
  <c r="F162" i="13"/>
  <c r="H162" i="13"/>
  <c r="F159" i="13"/>
  <c r="H159" i="13"/>
  <c r="H167" i="13"/>
  <c r="F167" i="13"/>
  <c r="F144" i="13"/>
  <c r="H144" i="13"/>
  <c r="H170" i="13"/>
  <c r="F170" i="13"/>
  <c r="F35" i="13"/>
  <c r="H35" i="13"/>
  <c r="H203" i="13"/>
  <c r="F203" i="13"/>
  <c r="F45" i="13"/>
  <c r="H45" i="13"/>
  <c r="H109" i="13"/>
  <c r="F109" i="13"/>
  <c r="H131" i="13"/>
  <c r="F131" i="13"/>
  <c r="H148" i="13"/>
  <c r="F148" i="13"/>
  <c r="H78" i="13"/>
  <c r="F78" i="13"/>
  <c r="H142" i="13"/>
  <c r="F142" i="13"/>
  <c r="F183" i="13"/>
  <c r="H183" i="13"/>
  <c r="H41" i="13"/>
  <c r="F41" i="13"/>
  <c r="F105" i="13"/>
  <c r="H105" i="13"/>
  <c r="H169" i="13"/>
  <c r="F169" i="13"/>
  <c r="H91" i="13"/>
  <c r="F91" i="13"/>
  <c r="H84" i="13"/>
  <c r="F84" i="13"/>
  <c r="H180" i="13"/>
  <c r="F180" i="13"/>
  <c r="H32" i="13"/>
  <c r="F32" i="13"/>
  <c r="F56" i="13"/>
  <c r="H56" i="13"/>
  <c r="H40" i="13"/>
  <c r="F40" i="13"/>
  <c r="F154" i="13"/>
  <c r="H154" i="13"/>
  <c r="H23" i="13"/>
  <c r="F23" i="13"/>
  <c r="F24" i="13"/>
  <c r="H24" i="13"/>
  <c r="H48" i="13"/>
  <c r="F48" i="13"/>
  <c r="H51" i="13"/>
  <c r="F51" i="13"/>
  <c r="H44" i="13"/>
  <c r="F44" i="13"/>
  <c r="H53" i="13"/>
  <c r="F53" i="13"/>
  <c r="H117" i="13"/>
  <c r="F117" i="13"/>
  <c r="H181" i="13"/>
  <c r="F181" i="13"/>
  <c r="F147" i="13"/>
  <c r="H147" i="13"/>
  <c r="F22" i="13"/>
  <c r="H22" i="13"/>
  <c r="H86" i="13"/>
  <c r="F86" i="13"/>
  <c r="F150" i="13"/>
  <c r="H150" i="13"/>
  <c r="F191" i="13"/>
  <c r="H191" i="13"/>
  <c r="H49" i="13"/>
  <c r="F49" i="13"/>
  <c r="H113" i="13"/>
  <c r="F113" i="13"/>
  <c r="F177" i="13"/>
  <c r="H177" i="13"/>
  <c r="H27" i="13"/>
  <c r="F27" i="13"/>
  <c r="H108" i="13"/>
  <c r="F108" i="13"/>
  <c r="H188" i="13"/>
  <c r="F188" i="13"/>
  <c r="H47" i="13"/>
  <c r="F47" i="13"/>
  <c r="H125" i="13"/>
  <c r="F125" i="13"/>
  <c r="H158" i="13"/>
  <c r="F158" i="13"/>
  <c r="H199" i="13"/>
  <c r="F199" i="13"/>
  <c r="F57" i="13"/>
  <c r="H57" i="13"/>
  <c r="F121" i="13"/>
  <c r="H121" i="13"/>
  <c r="H185" i="13"/>
  <c r="F185" i="13"/>
  <c r="F67" i="13"/>
  <c r="H67" i="13"/>
  <c r="H116" i="13"/>
  <c r="F116" i="13"/>
  <c r="H196" i="13"/>
  <c r="F196" i="13"/>
  <c r="H55" i="13"/>
  <c r="F55" i="13"/>
  <c r="H135" i="13"/>
  <c r="F135" i="13"/>
  <c r="H30" i="13"/>
  <c r="F30" i="13"/>
  <c r="F82" i="13"/>
  <c r="H82" i="13"/>
  <c r="H71" i="13"/>
  <c r="F71" i="13"/>
  <c r="F64" i="13"/>
  <c r="H64" i="13"/>
  <c r="H66" i="13"/>
  <c r="F66" i="13"/>
  <c r="F176" i="13"/>
  <c r="H176" i="13"/>
  <c r="H99" i="13"/>
  <c r="F99" i="13"/>
  <c r="H100" i="13"/>
  <c r="F100" i="13"/>
  <c r="H69" i="13"/>
  <c r="F69" i="13"/>
  <c r="H133" i="13"/>
  <c r="F133" i="13"/>
  <c r="H197" i="13"/>
  <c r="F197" i="13"/>
  <c r="H179" i="13"/>
  <c r="F179" i="13"/>
  <c r="H38" i="13"/>
  <c r="F38" i="13"/>
  <c r="H102" i="13"/>
  <c r="F102" i="13"/>
  <c r="H166" i="13"/>
  <c r="F166" i="13"/>
  <c r="H184" i="13"/>
  <c r="F184" i="13"/>
  <c r="H65" i="13"/>
  <c r="F65" i="13"/>
  <c r="F129" i="13"/>
  <c r="H129" i="13"/>
  <c r="F193" i="13"/>
  <c r="H193" i="13"/>
  <c r="H115" i="13"/>
  <c r="F115" i="13"/>
  <c r="H124" i="13"/>
  <c r="F124" i="13"/>
  <c r="H204" i="13"/>
  <c r="F204" i="13"/>
  <c r="E160" i="1"/>
  <c r="L159" i="1"/>
  <c r="K159" i="1"/>
  <c r="J159" i="1"/>
  <c r="I159" i="1"/>
  <c r="F159" i="1"/>
  <c r="D159" i="1"/>
  <c r="C159" i="1"/>
  <c r="G159" i="1" s="1"/>
  <c r="D26" i="13" l="1"/>
  <c r="E25" i="13"/>
  <c r="C26" i="13"/>
  <c r="D27" i="13" s="1"/>
  <c r="B26" i="13"/>
  <c r="E159" i="1"/>
  <c r="L158" i="1"/>
  <c r="K158" i="1"/>
  <c r="J158" i="1"/>
  <c r="I158" i="1"/>
  <c r="L157" i="1"/>
  <c r="K157" i="1"/>
  <c r="J157" i="1"/>
  <c r="I157" i="1"/>
  <c r="F158" i="1"/>
  <c r="D158" i="1"/>
  <c r="C158" i="1"/>
  <c r="E158" i="1" s="1"/>
  <c r="F157" i="1"/>
  <c r="D157" i="1"/>
  <c r="C157" i="1"/>
  <c r="G157" i="1" s="1"/>
  <c r="G158" i="1" l="1"/>
  <c r="B27" i="13"/>
  <c r="E26" i="13"/>
  <c r="C27" i="13"/>
  <c r="D28" i="13" s="1"/>
  <c r="E157" i="1"/>
  <c r="L156" i="1"/>
  <c r="K156" i="1"/>
  <c r="AH18" i="10" s="1"/>
  <c r="J156" i="1"/>
  <c r="I156" i="1"/>
  <c r="L155" i="1"/>
  <c r="K155" i="1"/>
  <c r="J155" i="1"/>
  <c r="I155" i="1"/>
  <c r="L154" i="1"/>
  <c r="K154" i="1"/>
  <c r="J154" i="1"/>
  <c r="I154" i="1"/>
  <c r="L153" i="1"/>
  <c r="K153" i="1"/>
  <c r="J153" i="1"/>
  <c r="I153" i="1"/>
  <c r="F156" i="1"/>
  <c r="D156" i="1"/>
  <c r="C156" i="1"/>
  <c r="G156" i="1" s="1"/>
  <c r="F155" i="1"/>
  <c r="D155" i="1"/>
  <c r="C155" i="1"/>
  <c r="E155" i="1" s="1"/>
  <c r="F154" i="1"/>
  <c r="D154" i="1"/>
  <c r="C154" i="1"/>
  <c r="G154" i="1" s="1"/>
  <c r="F153" i="1"/>
  <c r="D153" i="1"/>
  <c r="C153" i="1"/>
  <c r="E153" i="1" s="1"/>
  <c r="B28" i="13" l="1"/>
  <c r="G153" i="1"/>
  <c r="G155" i="1"/>
  <c r="AH7" i="10"/>
  <c r="AH5" i="10"/>
  <c r="AH13" i="10"/>
  <c r="AH15" i="10"/>
  <c r="E156" i="1"/>
  <c r="E27" i="13"/>
  <c r="C28" i="13"/>
  <c r="D29" i="13" s="1"/>
  <c r="E154" i="1"/>
  <c r="F152" i="1"/>
  <c r="D152" i="1"/>
  <c r="C152" i="1"/>
  <c r="G152" i="1" s="1"/>
  <c r="L152" i="1"/>
  <c r="K152" i="1"/>
  <c r="J152" i="1"/>
  <c r="I152" i="1"/>
  <c r="B29" i="13" l="1"/>
  <c r="E28" i="13"/>
  <c r="C29" i="13"/>
  <c r="D30" i="13" s="1"/>
  <c r="E152" i="1"/>
  <c r="F151" i="1"/>
  <c r="D151" i="1"/>
  <c r="C151" i="1"/>
  <c r="E151" i="1" s="1"/>
  <c r="L151" i="1"/>
  <c r="K151" i="1"/>
  <c r="J151" i="1"/>
  <c r="I151" i="1"/>
  <c r="B30" i="13" l="1"/>
  <c r="C30" i="13"/>
  <c r="D31" i="13" s="1"/>
  <c r="E29" i="13"/>
  <c r="G151" i="1"/>
  <c r="L150" i="1"/>
  <c r="K150" i="1"/>
  <c r="J150" i="1"/>
  <c r="I150" i="1"/>
  <c r="F150" i="1"/>
  <c r="D150" i="1"/>
  <c r="C150" i="1"/>
  <c r="E150" i="1" s="1"/>
  <c r="G150" i="1" l="1"/>
  <c r="B31" i="13"/>
  <c r="C31" i="13"/>
  <c r="D32" i="13" s="1"/>
  <c r="E30" i="13"/>
  <c r="L149" i="1"/>
  <c r="K149" i="1"/>
  <c r="J149" i="1"/>
  <c r="I149" i="1"/>
  <c r="F149" i="1"/>
  <c r="D149" i="1"/>
  <c r="C149" i="1"/>
  <c r="E149" i="1" s="1"/>
  <c r="G149" i="1" l="1"/>
  <c r="B32" i="13"/>
  <c r="E31" i="13"/>
  <c r="C32" i="13"/>
  <c r="AH14" i="10"/>
  <c r="AH12" i="10"/>
  <c r="AH6" i="10"/>
  <c r="AH4" i="10"/>
  <c r="C33" i="13" l="1"/>
  <c r="E32" i="13"/>
  <c r="B33" i="13"/>
  <c r="D33" i="13"/>
  <c r="L148" i="1"/>
  <c r="K148" i="1"/>
  <c r="J148" i="1"/>
  <c r="I148" i="1"/>
  <c r="L147" i="1"/>
  <c r="K147" i="1"/>
  <c r="J147" i="1"/>
  <c r="I147" i="1"/>
  <c r="F148" i="1"/>
  <c r="D148" i="1"/>
  <c r="C148" i="1"/>
  <c r="E148" i="1" s="1"/>
  <c r="F147" i="1"/>
  <c r="D147" i="1"/>
  <c r="C147" i="1"/>
  <c r="G147" i="1" s="1"/>
  <c r="G148" i="1" l="1"/>
  <c r="D34" i="13"/>
  <c r="B34" i="13"/>
  <c r="E33" i="13"/>
  <c r="C34" i="13"/>
  <c r="E147" i="1"/>
  <c r="L146" i="1"/>
  <c r="K146" i="1"/>
  <c r="J146" i="1"/>
  <c r="I146" i="1"/>
  <c r="F146" i="1"/>
  <c r="D146" i="1"/>
  <c r="C146" i="1"/>
  <c r="G146" i="1" s="1"/>
  <c r="F145" i="1"/>
  <c r="D145" i="1"/>
  <c r="C145" i="1"/>
  <c r="E145" i="1" s="1"/>
  <c r="L145" i="1"/>
  <c r="K145" i="1"/>
  <c r="J145" i="1"/>
  <c r="I145" i="1"/>
  <c r="E34" i="13" l="1"/>
  <c r="C35" i="13"/>
  <c r="B35" i="13"/>
  <c r="D35" i="13"/>
  <c r="D36" i="13" s="1"/>
  <c r="E146" i="1"/>
  <c r="G145" i="1"/>
  <c r="L144" i="1"/>
  <c r="K144" i="1"/>
  <c r="J144" i="1"/>
  <c r="I144" i="1"/>
  <c r="F144" i="1"/>
  <c r="D144" i="1"/>
  <c r="C144" i="1"/>
  <c r="G144" i="1" s="1"/>
  <c r="B36" i="13" l="1"/>
  <c r="C36" i="13"/>
  <c r="D37" i="13" s="1"/>
  <c r="E35" i="13"/>
  <c r="E144" i="1"/>
  <c r="L143" i="1"/>
  <c r="K143" i="1"/>
  <c r="J143" i="1"/>
  <c r="I143" i="1"/>
  <c r="F143" i="1"/>
  <c r="D143" i="1"/>
  <c r="C143" i="1"/>
  <c r="G143" i="1" s="1"/>
  <c r="B37" i="13" l="1"/>
  <c r="E36" i="13"/>
  <c r="C37" i="13"/>
  <c r="D38" i="13" s="1"/>
  <c r="E143" i="1"/>
  <c r="L142" i="1"/>
  <c r="K142" i="1"/>
  <c r="J142" i="1"/>
  <c r="I142" i="1"/>
  <c r="L141" i="1"/>
  <c r="K141" i="1"/>
  <c r="J141" i="1"/>
  <c r="I141" i="1"/>
  <c r="F142" i="1"/>
  <c r="D142" i="1"/>
  <c r="C142" i="1"/>
  <c r="E142" i="1" s="1"/>
  <c r="F141" i="1"/>
  <c r="D141" i="1"/>
  <c r="C141" i="1"/>
  <c r="G141" i="1" s="1"/>
  <c r="B38" i="13" l="1"/>
  <c r="G142" i="1"/>
  <c r="C38" i="13"/>
  <c r="B39" i="13" s="1"/>
  <c r="E37" i="13"/>
  <c r="E141" i="1"/>
  <c r="L140" i="1"/>
  <c r="K140" i="1"/>
  <c r="J140" i="1"/>
  <c r="I140" i="1"/>
  <c r="L139" i="1"/>
  <c r="K139" i="1"/>
  <c r="J139" i="1"/>
  <c r="I139" i="1"/>
  <c r="L138" i="1"/>
  <c r="K138" i="1"/>
  <c r="J138" i="1"/>
  <c r="I138" i="1"/>
  <c r="F140" i="1"/>
  <c r="D140" i="1"/>
  <c r="C140" i="1"/>
  <c r="E140" i="1" s="1"/>
  <c r="F139" i="1"/>
  <c r="D139" i="1"/>
  <c r="C139" i="1"/>
  <c r="G139" i="1" s="1"/>
  <c r="F138" i="1"/>
  <c r="D138" i="1"/>
  <c r="C138" i="1"/>
  <c r="G138" i="1" s="1"/>
  <c r="L137" i="1"/>
  <c r="K137" i="1"/>
  <c r="J137" i="1"/>
  <c r="I137" i="1"/>
  <c r="F137" i="1"/>
  <c r="D137" i="1"/>
  <c r="C137" i="1"/>
  <c r="G137" i="1" s="1"/>
  <c r="E138" i="1" l="1"/>
  <c r="D39" i="13"/>
  <c r="E38" i="13"/>
  <c r="C39" i="13"/>
  <c r="B40" i="13" s="1"/>
  <c r="G140" i="1"/>
  <c r="E139" i="1"/>
  <c r="E137" i="1"/>
  <c r="L136" i="1"/>
  <c r="K136" i="1"/>
  <c r="J136" i="1"/>
  <c r="I136" i="1"/>
  <c r="F136" i="1"/>
  <c r="D136" i="1"/>
  <c r="C136" i="1"/>
  <c r="G136" i="1" s="1"/>
  <c r="D40" i="13" l="1"/>
  <c r="E136" i="1"/>
  <c r="C40" i="13"/>
  <c r="D41" i="13" s="1"/>
  <c r="E39" i="13"/>
  <c r="L135" i="1"/>
  <c r="K135" i="1"/>
  <c r="J135" i="1"/>
  <c r="I135" i="1"/>
  <c r="L134" i="1"/>
  <c r="K134" i="1"/>
  <c r="J134" i="1"/>
  <c r="I134" i="1"/>
  <c r="L133" i="1"/>
  <c r="K133" i="1"/>
  <c r="J133" i="1"/>
  <c r="I133" i="1"/>
  <c r="F135" i="1"/>
  <c r="D135" i="1"/>
  <c r="C135" i="1"/>
  <c r="E135" i="1" s="1"/>
  <c r="F134" i="1"/>
  <c r="D134" i="1"/>
  <c r="C134" i="1"/>
  <c r="G134" i="1" s="1"/>
  <c r="F133" i="1"/>
  <c r="D133" i="1"/>
  <c r="C133" i="1"/>
  <c r="G133" i="1" s="1"/>
  <c r="B41" i="13" l="1"/>
  <c r="E133" i="1"/>
  <c r="G135" i="1"/>
  <c r="C41" i="13"/>
  <c r="D42" i="13" s="1"/>
  <c r="E40" i="13"/>
  <c r="E134" i="1"/>
  <c r="L132" i="1"/>
  <c r="K132" i="1"/>
  <c r="J132" i="1"/>
  <c r="I132" i="1"/>
  <c r="F132" i="1"/>
  <c r="D132" i="1"/>
  <c r="C132" i="1"/>
  <c r="G132" i="1" s="1"/>
  <c r="B42" i="13" l="1"/>
  <c r="C42" i="13"/>
  <c r="D43" i="13" s="1"/>
  <c r="E41" i="13"/>
  <c r="E132" i="1"/>
  <c r="L131" i="1"/>
  <c r="K131" i="1"/>
  <c r="J131" i="1"/>
  <c r="I131" i="1"/>
  <c r="F131" i="1"/>
  <c r="D131" i="1"/>
  <c r="C131" i="1"/>
  <c r="G131" i="1" s="1"/>
  <c r="B43" i="13" l="1"/>
  <c r="C43" i="13"/>
  <c r="D44" i="13" s="1"/>
  <c r="E42" i="13"/>
  <c r="E131" i="1"/>
  <c r="L130" i="1"/>
  <c r="L129" i="1"/>
  <c r="L128"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G127" i="1"/>
  <c r="K130" i="1"/>
  <c r="J130" i="1"/>
  <c r="I130" i="1"/>
  <c r="F130" i="1"/>
  <c r="C130" i="1"/>
  <c r="G130" i="1" s="1"/>
  <c r="D130" i="1"/>
  <c r="E130" i="1" l="1"/>
  <c r="B44" i="13"/>
  <c r="C44" i="13"/>
  <c r="D45" i="13" s="1"/>
  <c r="E43" i="13"/>
  <c r="K128" i="1"/>
  <c r="I126" i="1"/>
  <c r="H126" i="1" s="1"/>
  <c r="F128" i="1"/>
  <c r="C126" i="1"/>
  <c r="G126" i="1" s="1"/>
  <c r="K129" i="1"/>
  <c r="J129" i="1"/>
  <c r="I129" i="1"/>
  <c r="F129" i="1"/>
  <c r="C129" i="1"/>
  <c r="D129" i="1"/>
  <c r="K125" i="1"/>
  <c r="J125" i="1"/>
  <c r="I125" i="1"/>
  <c r="F125" i="1"/>
  <c r="C125" i="1"/>
  <c r="D125" i="1"/>
  <c r="C45" i="13" l="1"/>
  <c r="D46" i="13" s="1"/>
  <c r="E44" i="13"/>
  <c r="B45" i="13"/>
  <c r="L126" i="1"/>
  <c r="J126" i="1"/>
  <c r="H127" i="1"/>
  <c r="E125" i="1"/>
  <c r="G125" i="1"/>
  <c r="E129" i="1"/>
  <c r="G129" i="1"/>
  <c r="K124" i="1"/>
  <c r="J124" i="1"/>
  <c r="I124" i="1"/>
  <c r="F124" i="1"/>
  <c r="C124" i="1"/>
  <c r="D124" i="1"/>
  <c r="B46" i="13" l="1"/>
  <c r="C46" i="13"/>
  <c r="E45" i="13"/>
  <c r="L127" i="1"/>
  <c r="J15" i="6" s="1"/>
  <c r="I128" i="1"/>
  <c r="J127" i="1"/>
  <c r="J128" i="1"/>
  <c r="E124" i="1"/>
  <c r="G124" i="1"/>
  <c r="K123" i="1"/>
  <c r="J123" i="1"/>
  <c r="I123" i="1"/>
  <c r="F123" i="1"/>
  <c r="C123" i="1"/>
  <c r="D123" i="1"/>
  <c r="J14" i="6" l="1"/>
  <c r="AG13" i="10"/>
  <c r="AG15" i="10"/>
  <c r="AG14" i="10"/>
  <c r="AG12" i="10"/>
  <c r="E46" i="13"/>
  <c r="C47" i="13"/>
  <c r="B47" i="13"/>
  <c r="D47" i="13"/>
  <c r="E123" i="1"/>
  <c r="G123" i="1"/>
  <c r="J13" i="6"/>
  <c r="K122" i="1"/>
  <c r="J122" i="1"/>
  <c r="I122" i="1"/>
  <c r="F122" i="1"/>
  <c r="C122" i="1"/>
  <c r="G122" i="1" s="1"/>
  <c r="D122" i="1"/>
  <c r="D48" i="13" l="1"/>
  <c r="B48" i="13"/>
  <c r="C48" i="13"/>
  <c r="E47" i="13"/>
  <c r="E122" i="1"/>
  <c r="K121" i="1"/>
  <c r="J121" i="1"/>
  <c r="I121" i="1"/>
  <c r="F121" i="1"/>
  <c r="C121" i="1"/>
  <c r="D121" i="1"/>
  <c r="D49" i="13" l="1"/>
  <c r="B49" i="13"/>
  <c r="E48" i="13"/>
  <c r="C49" i="13"/>
  <c r="E121" i="1"/>
  <c r="G121" i="1"/>
  <c r="K120" i="1"/>
  <c r="J120" i="1"/>
  <c r="I120" i="1"/>
  <c r="F120" i="1"/>
  <c r="C120" i="1"/>
  <c r="D120" i="1"/>
  <c r="C50" i="13" l="1"/>
  <c r="E49" i="13"/>
  <c r="B50" i="13"/>
  <c r="D50" i="13"/>
  <c r="E120" i="1"/>
  <c r="G120" i="1"/>
  <c r="F119" i="1"/>
  <c r="C119" i="1"/>
  <c r="G119" i="1" s="1"/>
  <c r="D119" i="1"/>
  <c r="K119" i="1"/>
  <c r="J119" i="1"/>
  <c r="I119" i="1"/>
  <c r="D51" i="13" l="1"/>
  <c r="D52" i="13" s="1"/>
  <c r="B51" i="13"/>
  <c r="E50" i="13"/>
  <c r="C51" i="13"/>
  <c r="E119" i="1"/>
  <c r="K118" i="1"/>
  <c r="J118" i="1"/>
  <c r="I118" i="1"/>
  <c r="F118" i="1"/>
  <c r="C118" i="1"/>
  <c r="G118" i="1" s="1"/>
  <c r="D118" i="1"/>
  <c r="K117" i="1"/>
  <c r="J117" i="1"/>
  <c r="I117" i="1"/>
  <c r="F117" i="1"/>
  <c r="C117" i="1"/>
  <c r="G117" i="1" s="1"/>
  <c r="D117" i="1"/>
  <c r="C52" i="13" l="1"/>
  <c r="D53" i="13" s="1"/>
  <c r="E51" i="13"/>
  <c r="B52" i="13"/>
  <c r="E117" i="1"/>
  <c r="E118" i="1"/>
  <c r="K116" i="1"/>
  <c r="J116" i="1"/>
  <c r="I116" i="1"/>
  <c r="F116" i="1"/>
  <c r="C116" i="1"/>
  <c r="D116" i="1"/>
  <c r="B53" i="13" l="1"/>
  <c r="B54" i="13" s="1"/>
  <c r="C53" i="13"/>
  <c r="D54" i="13" s="1"/>
  <c r="E52" i="13"/>
  <c r="E116" i="1"/>
  <c r="G116" i="1"/>
  <c r="K115" i="1"/>
  <c r="J115" i="1"/>
  <c r="I115" i="1"/>
  <c r="F115" i="1"/>
  <c r="C115" i="1"/>
  <c r="D115" i="1"/>
  <c r="E53" i="13" l="1"/>
  <c r="C54" i="13"/>
  <c r="E115" i="1"/>
  <c r="G115" i="1"/>
  <c r="K114" i="1"/>
  <c r="J114" i="1"/>
  <c r="I114" i="1"/>
  <c r="F114" i="1"/>
  <c r="C114" i="1"/>
  <c r="D114" i="1"/>
  <c r="K113" i="1"/>
  <c r="J113" i="1"/>
  <c r="I113" i="1"/>
  <c r="F113" i="1"/>
  <c r="C113" i="1"/>
  <c r="D113" i="1"/>
  <c r="K112" i="1"/>
  <c r="J112" i="1"/>
  <c r="I112" i="1"/>
  <c r="F112" i="1"/>
  <c r="C112" i="1"/>
  <c r="D112" i="1"/>
  <c r="K111" i="1"/>
  <c r="J111" i="1"/>
  <c r="I111" i="1"/>
  <c r="F111" i="1"/>
  <c r="C111" i="1"/>
  <c r="D111" i="1"/>
  <c r="C55" i="13" l="1"/>
  <c r="E54" i="13"/>
  <c r="D55" i="13"/>
  <c r="B55" i="13"/>
  <c r="E114" i="1"/>
  <c r="G114" i="1"/>
  <c r="E111" i="1"/>
  <c r="G111" i="1"/>
  <c r="E113" i="1"/>
  <c r="G113" i="1"/>
  <c r="E112" i="1"/>
  <c r="G112" i="1"/>
  <c r="K110" i="1"/>
  <c r="J110" i="1"/>
  <c r="I110" i="1"/>
  <c r="F110" i="1"/>
  <c r="C110" i="1"/>
  <c r="D110" i="1"/>
  <c r="C56" i="13" l="1"/>
  <c r="E55" i="13"/>
  <c r="B56" i="13"/>
  <c r="D56" i="13"/>
  <c r="E110" i="1"/>
  <c r="G110" i="1"/>
  <c r="F109" i="1"/>
  <c r="C109" i="1"/>
  <c r="D109" i="1"/>
  <c r="K109" i="1"/>
  <c r="J109" i="1"/>
  <c r="I109" i="1"/>
  <c r="F108" i="1"/>
  <c r="C108" i="1"/>
  <c r="G108" i="1" s="1"/>
  <c r="D108" i="1"/>
  <c r="K108" i="1"/>
  <c r="J108" i="1"/>
  <c r="I108" i="1"/>
  <c r="K107" i="1"/>
  <c r="J107" i="1"/>
  <c r="I107" i="1"/>
  <c r="F107" i="1"/>
  <c r="C107" i="1"/>
  <c r="D107" i="1"/>
  <c r="C57" i="13" l="1"/>
  <c r="E56" i="13"/>
  <c r="D57" i="13"/>
  <c r="B57" i="13"/>
  <c r="E109" i="1"/>
  <c r="G109" i="1"/>
  <c r="E107" i="1"/>
  <c r="G107" i="1"/>
  <c r="E108" i="1"/>
  <c r="K106" i="1"/>
  <c r="J106" i="1"/>
  <c r="I106" i="1"/>
  <c r="F106" i="1"/>
  <c r="C106" i="1"/>
  <c r="G106" i="1" s="1"/>
  <c r="D106" i="1"/>
  <c r="E57" i="13" l="1"/>
  <c r="C58" i="13"/>
  <c r="B58" i="13"/>
  <c r="D58" i="13"/>
  <c r="E106" i="1"/>
  <c r="K105" i="1"/>
  <c r="J105" i="1"/>
  <c r="I105" i="1"/>
  <c r="F105" i="1"/>
  <c r="C105" i="1"/>
  <c r="D105" i="1"/>
  <c r="D59" i="13" l="1"/>
  <c r="B59" i="13"/>
  <c r="E58" i="13"/>
  <c r="C59" i="13"/>
  <c r="E105" i="1"/>
  <c r="G105" i="1"/>
  <c r="K104" i="1"/>
  <c r="J104" i="1"/>
  <c r="I104" i="1"/>
  <c r="F104" i="1"/>
  <c r="C104" i="1"/>
  <c r="G104" i="1" s="1"/>
  <c r="D104" i="1"/>
  <c r="K103" i="1"/>
  <c r="J103" i="1"/>
  <c r="I103" i="1"/>
  <c r="F103" i="1"/>
  <c r="C103" i="1"/>
  <c r="D103" i="1"/>
  <c r="D60" i="13" l="1"/>
  <c r="B60" i="13"/>
  <c r="C60" i="13"/>
  <c r="E59" i="13"/>
  <c r="E103" i="1"/>
  <c r="G103" i="1"/>
  <c r="E104" i="1"/>
  <c r="K102" i="1"/>
  <c r="J102" i="1"/>
  <c r="I102" i="1"/>
  <c r="F102" i="1"/>
  <c r="C102" i="1"/>
  <c r="G102" i="1" s="1"/>
  <c r="D102" i="1"/>
  <c r="C61" i="13" l="1"/>
  <c r="E60" i="13"/>
  <c r="B61" i="13"/>
  <c r="D61" i="13"/>
  <c r="E102" i="1"/>
  <c r="K101" i="1"/>
  <c r="J101" i="1"/>
  <c r="I101" i="1"/>
  <c r="F101" i="1"/>
  <c r="C101" i="1"/>
  <c r="D101" i="1"/>
  <c r="D62" i="13" l="1"/>
  <c r="B62" i="13"/>
  <c r="C62" i="13"/>
  <c r="E61" i="13"/>
  <c r="E101" i="1"/>
  <c r="G101" i="1"/>
  <c r="K100" i="1"/>
  <c r="J100" i="1"/>
  <c r="I100" i="1"/>
  <c r="F100" i="1"/>
  <c r="C100" i="1"/>
  <c r="G100" i="1" s="1"/>
  <c r="D100" i="1"/>
  <c r="K99" i="1"/>
  <c r="J99" i="1"/>
  <c r="I99" i="1"/>
  <c r="F99" i="1"/>
  <c r="C99" i="1"/>
  <c r="D99" i="1"/>
  <c r="K98" i="1"/>
  <c r="J98" i="1"/>
  <c r="I98" i="1"/>
  <c r="F98" i="1"/>
  <c r="C98" i="1"/>
  <c r="D98" i="1"/>
  <c r="D63" i="13" l="1"/>
  <c r="B63" i="13"/>
  <c r="E62" i="13"/>
  <c r="C63" i="13"/>
  <c r="E99" i="1"/>
  <c r="G99" i="1"/>
  <c r="E98" i="1"/>
  <c r="G98" i="1"/>
  <c r="E100" i="1"/>
  <c r="K97" i="1"/>
  <c r="J97" i="1"/>
  <c r="I97" i="1"/>
  <c r="K96" i="1"/>
  <c r="J96" i="1"/>
  <c r="I96" i="1"/>
  <c r="F97" i="1"/>
  <c r="C97" i="1"/>
  <c r="D97" i="1"/>
  <c r="F96" i="1"/>
  <c r="C96" i="1"/>
  <c r="D96" i="1"/>
  <c r="D64" i="13" l="1"/>
  <c r="B64" i="13"/>
  <c r="C64" i="13"/>
  <c r="E63" i="13"/>
  <c r="E97" i="1"/>
  <c r="G97" i="1"/>
  <c r="E96" i="1"/>
  <c r="G96" i="1"/>
  <c r="K95" i="1"/>
  <c r="AF18" i="10" s="1"/>
  <c r="J95" i="1"/>
  <c r="I95" i="1"/>
  <c r="F95" i="1"/>
  <c r="C95" i="1"/>
  <c r="D95" i="1"/>
  <c r="F94" i="1"/>
  <c r="C94" i="1"/>
  <c r="G94" i="1" s="1"/>
  <c r="D94" i="1"/>
  <c r="K94" i="1"/>
  <c r="J94" i="1"/>
  <c r="I94" i="1"/>
  <c r="K93" i="1"/>
  <c r="J93" i="1"/>
  <c r="I93" i="1"/>
  <c r="F93" i="1"/>
  <c r="C93" i="1"/>
  <c r="D93" i="1"/>
  <c r="D65" i="13" l="1"/>
  <c r="AF13" i="10"/>
  <c r="AF15" i="10"/>
  <c r="AF7" i="10"/>
  <c r="AF5" i="10"/>
  <c r="AF14" i="10"/>
  <c r="AF12" i="10"/>
  <c r="G95" i="1"/>
  <c r="AF6" i="10"/>
  <c r="AF4" i="10"/>
  <c r="B65" i="13"/>
  <c r="E64" i="13"/>
  <c r="C65" i="13"/>
  <c r="E93" i="1"/>
  <c r="G93" i="1"/>
  <c r="E94" i="1"/>
  <c r="E95" i="1"/>
  <c r="K92" i="1"/>
  <c r="J92" i="1"/>
  <c r="I92" i="1"/>
  <c r="F92" i="1"/>
  <c r="C92" i="1"/>
  <c r="D92" i="1"/>
  <c r="B66" i="13" l="1"/>
  <c r="E65" i="13"/>
  <c r="C66" i="13"/>
  <c r="D66" i="13"/>
  <c r="E92" i="1"/>
  <c r="G92" i="1"/>
  <c r="K91" i="1"/>
  <c r="J91" i="1"/>
  <c r="I91" i="1"/>
  <c r="F91" i="1"/>
  <c r="C91" i="1"/>
  <c r="G91" i="1" s="1"/>
  <c r="D91" i="1"/>
  <c r="D67" i="13" l="1"/>
  <c r="B67" i="13"/>
  <c r="E66" i="13"/>
  <c r="C67" i="13"/>
  <c r="E91" i="1"/>
  <c r="AJ186" i="1"/>
  <c r="AK186" i="1" s="1"/>
  <c r="AJ185" i="1"/>
  <c r="AK185" i="1" s="1"/>
  <c r="AJ184" i="1"/>
  <c r="AK184" i="1" s="1"/>
  <c r="AJ183" i="1"/>
  <c r="AK183" i="1" s="1"/>
  <c r="AJ182" i="1"/>
  <c r="AK182" i="1" s="1"/>
  <c r="AJ181" i="1"/>
  <c r="AK181" i="1" s="1"/>
  <c r="AJ180" i="1"/>
  <c r="AK180" i="1" s="1"/>
  <c r="AJ179" i="1"/>
  <c r="AK179" i="1" s="1"/>
  <c r="AJ178" i="1"/>
  <c r="AK178" i="1" s="1"/>
  <c r="AJ177" i="1"/>
  <c r="AK177" i="1" s="1"/>
  <c r="AJ176" i="1"/>
  <c r="AK176" i="1" s="1"/>
  <c r="AJ175" i="1"/>
  <c r="AK175" i="1" s="1"/>
  <c r="AJ174" i="1"/>
  <c r="AK174" i="1" s="1"/>
  <c r="AJ173" i="1"/>
  <c r="AK173" i="1" s="1"/>
  <c r="AJ172" i="1"/>
  <c r="AK172" i="1" s="1"/>
  <c r="AJ171" i="1"/>
  <c r="AK171" i="1" s="1"/>
  <c r="AJ170" i="1"/>
  <c r="AK170" i="1" s="1"/>
  <c r="AJ169" i="1"/>
  <c r="AK169" i="1" s="1"/>
  <c r="AJ168" i="1"/>
  <c r="AK168" i="1" s="1"/>
  <c r="AJ167" i="1"/>
  <c r="AK167" i="1" s="1"/>
  <c r="AJ166" i="1"/>
  <c r="AK166" i="1" s="1"/>
  <c r="AJ165" i="1"/>
  <c r="AK165" i="1" s="1"/>
  <c r="AJ164" i="1"/>
  <c r="AK164" i="1" s="1"/>
  <c r="AJ163" i="1"/>
  <c r="AK163" i="1" s="1"/>
  <c r="AJ162" i="1"/>
  <c r="AK162" i="1" s="1"/>
  <c r="AJ161" i="1"/>
  <c r="AK161" i="1" s="1"/>
  <c r="AJ160" i="1"/>
  <c r="AK160" i="1" s="1"/>
  <c r="AJ159" i="1"/>
  <c r="AK159" i="1" s="1"/>
  <c r="AJ158" i="1"/>
  <c r="AK158" i="1" s="1"/>
  <c r="AJ157" i="1"/>
  <c r="AK157" i="1" s="1"/>
  <c r="AJ156" i="1"/>
  <c r="AK156" i="1" s="1"/>
  <c r="AJ155" i="1"/>
  <c r="AK155" i="1" s="1"/>
  <c r="AJ154" i="1"/>
  <c r="AK154" i="1" s="1"/>
  <c r="AJ153" i="1"/>
  <c r="AK153" i="1" s="1"/>
  <c r="AJ152" i="1"/>
  <c r="AK152" i="1" s="1"/>
  <c r="AJ151" i="1"/>
  <c r="AK151" i="1" s="1"/>
  <c r="AJ150" i="1"/>
  <c r="AK150" i="1" s="1"/>
  <c r="AJ149" i="1"/>
  <c r="AK149" i="1" s="1"/>
  <c r="AJ148" i="1"/>
  <c r="AK148" i="1" s="1"/>
  <c r="AJ147" i="1"/>
  <c r="AK147" i="1" s="1"/>
  <c r="AJ146" i="1"/>
  <c r="AK146" i="1" s="1"/>
  <c r="AJ145" i="1"/>
  <c r="AK145" i="1" s="1"/>
  <c r="AJ144" i="1"/>
  <c r="AK144" i="1" s="1"/>
  <c r="AJ143" i="1"/>
  <c r="AK143" i="1" s="1"/>
  <c r="AJ142" i="1"/>
  <c r="AK142" i="1" s="1"/>
  <c r="AJ141" i="1"/>
  <c r="AK141" i="1" s="1"/>
  <c r="AJ140" i="1"/>
  <c r="AK140" i="1" s="1"/>
  <c r="AJ139" i="1"/>
  <c r="AK139" i="1" s="1"/>
  <c r="AJ138" i="1"/>
  <c r="AK138" i="1" s="1"/>
  <c r="AJ137" i="1"/>
  <c r="AK137" i="1" s="1"/>
  <c r="AJ136" i="1"/>
  <c r="AK136" i="1" s="1"/>
  <c r="AJ135" i="1"/>
  <c r="AK135" i="1" s="1"/>
  <c r="AJ134" i="1"/>
  <c r="AK134" i="1" s="1"/>
  <c r="AJ133" i="1"/>
  <c r="AK133" i="1" s="1"/>
  <c r="AJ132" i="1"/>
  <c r="AK132" i="1" s="1"/>
  <c r="AJ131" i="1"/>
  <c r="AK131" i="1" s="1"/>
  <c r="AJ130" i="1"/>
  <c r="AK130" i="1" s="1"/>
  <c r="AJ129" i="1"/>
  <c r="AK129" i="1" s="1"/>
  <c r="AJ125" i="1"/>
  <c r="AK125" i="1" s="1"/>
  <c r="AJ124" i="1"/>
  <c r="AK124" i="1" s="1"/>
  <c r="AJ123" i="1"/>
  <c r="AK123" i="1" s="1"/>
  <c r="AJ122" i="1"/>
  <c r="AK122" i="1" s="1"/>
  <c r="AJ121" i="1"/>
  <c r="AK121" i="1" s="1"/>
  <c r="AJ120" i="1"/>
  <c r="AK120" i="1" s="1"/>
  <c r="AJ119" i="1"/>
  <c r="AK119" i="1" s="1"/>
  <c r="AJ118" i="1"/>
  <c r="AK118" i="1" s="1"/>
  <c r="AJ117" i="1"/>
  <c r="AK117" i="1" s="1"/>
  <c r="AJ116" i="1"/>
  <c r="AK116" i="1" s="1"/>
  <c r="AJ115" i="1"/>
  <c r="AK115" i="1" s="1"/>
  <c r="AJ114" i="1"/>
  <c r="AK114" i="1" s="1"/>
  <c r="AJ113" i="1"/>
  <c r="AK113" i="1" s="1"/>
  <c r="AJ112" i="1"/>
  <c r="AK112" i="1" s="1"/>
  <c r="AJ111" i="1"/>
  <c r="AK111" i="1" s="1"/>
  <c r="AJ110" i="1"/>
  <c r="AK110" i="1" s="1"/>
  <c r="AJ109" i="1"/>
  <c r="AK109" i="1" s="1"/>
  <c r="AJ108" i="1"/>
  <c r="AK108" i="1" s="1"/>
  <c r="AJ107" i="1"/>
  <c r="AK107" i="1" s="1"/>
  <c r="AJ106" i="1"/>
  <c r="AK106" i="1" s="1"/>
  <c r="AJ105" i="1"/>
  <c r="AK105" i="1" s="1"/>
  <c r="AJ104" i="1"/>
  <c r="AK104" i="1" s="1"/>
  <c r="AJ103" i="1"/>
  <c r="AK103" i="1" s="1"/>
  <c r="AJ102" i="1"/>
  <c r="AK102" i="1" s="1"/>
  <c r="AJ101" i="1"/>
  <c r="AK101" i="1" s="1"/>
  <c r="AJ100" i="1"/>
  <c r="AK100" i="1" s="1"/>
  <c r="AJ99" i="1"/>
  <c r="AK99" i="1" s="1"/>
  <c r="AJ98" i="1"/>
  <c r="AK98" i="1" s="1"/>
  <c r="AJ97" i="1"/>
  <c r="AK97" i="1" s="1"/>
  <c r="AJ96" i="1"/>
  <c r="AK96" i="1" s="1"/>
  <c r="AJ95" i="1"/>
  <c r="AK95" i="1" s="1"/>
  <c r="AJ94" i="1"/>
  <c r="AK94" i="1" s="1"/>
  <c r="AJ93" i="1"/>
  <c r="AK93" i="1" s="1"/>
  <c r="AJ92" i="1"/>
  <c r="AK92" i="1" s="1"/>
  <c r="AJ91" i="1"/>
  <c r="AK91" i="1" s="1"/>
  <c r="AG186" i="1"/>
  <c r="AH186" i="1" s="1"/>
  <c r="AG185" i="1"/>
  <c r="AH185" i="1" s="1"/>
  <c r="AG184" i="1"/>
  <c r="AH184" i="1" s="1"/>
  <c r="AG183" i="1"/>
  <c r="AH183" i="1" s="1"/>
  <c r="AG182" i="1"/>
  <c r="AH182" i="1" s="1"/>
  <c r="AG181" i="1"/>
  <c r="AH181" i="1" s="1"/>
  <c r="AG180" i="1"/>
  <c r="AH180" i="1" s="1"/>
  <c r="AG179" i="1"/>
  <c r="AH179" i="1" s="1"/>
  <c r="AG178" i="1"/>
  <c r="AH178" i="1" s="1"/>
  <c r="AG177" i="1"/>
  <c r="AH177" i="1" s="1"/>
  <c r="AG176" i="1"/>
  <c r="AH176" i="1" s="1"/>
  <c r="AG175" i="1"/>
  <c r="AH175" i="1" s="1"/>
  <c r="AG174" i="1"/>
  <c r="AH174" i="1" s="1"/>
  <c r="AG173" i="1"/>
  <c r="AH173" i="1" s="1"/>
  <c r="AG172" i="1"/>
  <c r="AH172" i="1" s="1"/>
  <c r="AG171" i="1"/>
  <c r="AH171" i="1" s="1"/>
  <c r="AG170" i="1"/>
  <c r="AH170" i="1" s="1"/>
  <c r="AG169" i="1"/>
  <c r="AH169" i="1" s="1"/>
  <c r="AG168" i="1"/>
  <c r="AH168" i="1" s="1"/>
  <c r="AG167" i="1"/>
  <c r="AH167" i="1" s="1"/>
  <c r="AG166" i="1"/>
  <c r="AH166" i="1" s="1"/>
  <c r="AG165" i="1"/>
  <c r="AH165" i="1" s="1"/>
  <c r="AG164" i="1"/>
  <c r="AH164" i="1" s="1"/>
  <c r="AG163" i="1"/>
  <c r="AH163" i="1" s="1"/>
  <c r="AG162" i="1"/>
  <c r="AH162" i="1" s="1"/>
  <c r="AG161" i="1"/>
  <c r="AH161" i="1" s="1"/>
  <c r="AG160" i="1"/>
  <c r="AH160" i="1" s="1"/>
  <c r="AG159" i="1"/>
  <c r="AH159" i="1" s="1"/>
  <c r="AG158" i="1"/>
  <c r="AH158" i="1" s="1"/>
  <c r="AG157" i="1"/>
  <c r="AH157" i="1" s="1"/>
  <c r="AG156" i="1"/>
  <c r="AH156" i="1" s="1"/>
  <c r="AG155" i="1"/>
  <c r="AH155" i="1" s="1"/>
  <c r="AG154" i="1"/>
  <c r="AH154" i="1" s="1"/>
  <c r="AG153" i="1"/>
  <c r="AH153" i="1" s="1"/>
  <c r="AG152" i="1"/>
  <c r="AH152" i="1" s="1"/>
  <c r="AG151" i="1"/>
  <c r="AH151" i="1" s="1"/>
  <c r="AG150" i="1"/>
  <c r="AH150" i="1" s="1"/>
  <c r="AG149" i="1"/>
  <c r="AH149" i="1" s="1"/>
  <c r="AG148" i="1"/>
  <c r="AH148" i="1" s="1"/>
  <c r="AG147" i="1"/>
  <c r="AH147" i="1" s="1"/>
  <c r="AG146" i="1"/>
  <c r="AH146" i="1" s="1"/>
  <c r="AG145" i="1"/>
  <c r="AH145" i="1" s="1"/>
  <c r="AG144" i="1"/>
  <c r="AH144" i="1" s="1"/>
  <c r="AG143" i="1"/>
  <c r="AH143" i="1" s="1"/>
  <c r="AG142" i="1"/>
  <c r="AH142" i="1" s="1"/>
  <c r="AG141" i="1"/>
  <c r="AH141" i="1" s="1"/>
  <c r="AG140" i="1"/>
  <c r="AH140" i="1" s="1"/>
  <c r="AG139" i="1"/>
  <c r="AH139" i="1" s="1"/>
  <c r="AG138" i="1"/>
  <c r="AH138" i="1" s="1"/>
  <c r="AG137" i="1"/>
  <c r="AH137" i="1" s="1"/>
  <c r="AG136" i="1"/>
  <c r="AH136" i="1" s="1"/>
  <c r="AG135" i="1"/>
  <c r="AH135" i="1" s="1"/>
  <c r="AG134" i="1"/>
  <c r="AH134" i="1" s="1"/>
  <c r="AG133" i="1"/>
  <c r="AH133" i="1" s="1"/>
  <c r="AG132" i="1"/>
  <c r="AH132" i="1" s="1"/>
  <c r="AG131" i="1"/>
  <c r="AH131" i="1" s="1"/>
  <c r="AG130" i="1"/>
  <c r="AH130" i="1" s="1"/>
  <c r="AG129" i="1"/>
  <c r="AH129" i="1" s="1"/>
  <c r="AG125" i="1"/>
  <c r="AH125" i="1" s="1"/>
  <c r="AG124" i="1"/>
  <c r="AH124" i="1" s="1"/>
  <c r="AG123" i="1"/>
  <c r="AH123" i="1" s="1"/>
  <c r="AG122" i="1"/>
  <c r="AH122" i="1" s="1"/>
  <c r="AG121" i="1"/>
  <c r="AH121" i="1" s="1"/>
  <c r="AG120" i="1"/>
  <c r="AH120" i="1" s="1"/>
  <c r="AG119" i="1"/>
  <c r="AH119" i="1" s="1"/>
  <c r="AG118" i="1"/>
  <c r="AH118" i="1" s="1"/>
  <c r="AG117" i="1"/>
  <c r="AH117" i="1" s="1"/>
  <c r="AG116" i="1"/>
  <c r="AH116" i="1" s="1"/>
  <c r="AG115" i="1"/>
  <c r="AH115" i="1" s="1"/>
  <c r="AG114" i="1"/>
  <c r="AH114" i="1" s="1"/>
  <c r="AG113" i="1"/>
  <c r="AH113" i="1" s="1"/>
  <c r="AG112" i="1"/>
  <c r="AH112" i="1" s="1"/>
  <c r="AG111" i="1"/>
  <c r="AH111" i="1" s="1"/>
  <c r="AG110" i="1"/>
  <c r="AH110" i="1" s="1"/>
  <c r="AG109" i="1"/>
  <c r="AH109" i="1" s="1"/>
  <c r="AG108" i="1"/>
  <c r="AH108" i="1" s="1"/>
  <c r="AG107" i="1"/>
  <c r="AH107" i="1" s="1"/>
  <c r="AG106" i="1"/>
  <c r="AH106" i="1" s="1"/>
  <c r="AG105" i="1"/>
  <c r="AH105" i="1" s="1"/>
  <c r="AG104" i="1"/>
  <c r="AH104" i="1" s="1"/>
  <c r="AG103" i="1"/>
  <c r="AH103" i="1" s="1"/>
  <c r="AG102" i="1"/>
  <c r="AH102" i="1" s="1"/>
  <c r="AG101" i="1"/>
  <c r="AH101" i="1" s="1"/>
  <c r="AG100" i="1"/>
  <c r="AH100" i="1" s="1"/>
  <c r="AG99" i="1"/>
  <c r="AH99" i="1" s="1"/>
  <c r="AG98" i="1"/>
  <c r="AH98" i="1" s="1"/>
  <c r="AG97" i="1"/>
  <c r="AH97" i="1" s="1"/>
  <c r="AG96" i="1"/>
  <c r="AH96" i="1" s="1"/>
  <c r="AG95" i="1"/>
  <c r="AH95" i="1" s="1"/>
  <c r="AG94" i="1"/>
  <c r="AH94" i="1" s="1"/>
  <c r="AG93" i="1"/>
  <c r="AH93" i="1" s="1"/>
  <c r="AG92" i="1"/>
  <c r="AH92" i="1" s="1"/>
  <c r="AG91" i="1"/>
  <c r="AH91" i="1" s="1"/>
  <c r="K90" i="1"/>
  <c r="J90" i="1"/>
  <c r="I90" i="1"/>
  <c r="AJ90" i="1" s="1"/>
  <c r="AK90" i="1" s="1"/>
  <c r="F90" i="1"/>
  <c r="C90" i="1"/>
  <c r="AG90" i="1" s="1"/>
  <c r="AH90" i="1" s="1"/>
  <c r="D90" i="1"/>
  <c r="B68" i="13" l="1"/>
  <c r="D68" i="13"/>
  <c r="C68" i="13"/>
  <c r="E67" i="13"/>
  <c r="E90" i="1"/>
  <c r="G90" i="1"/>
  <c r="K89" i="1"/>
  <c r="J89" i="1"/>
  <c r="I89" i="1"/>
  <c r="AJ89" i="1" s="1"/>
  <c r="AK89" i="1" s="1"/>
  <c r="F89" i="1"/>
  <c r="C89" i="1"/>
  <c r="G89" i="1" s="1"/>
  <c r="D89" i="1"/>
  <c r="D69" i="13" l="1"/>
  <c r="E68" i="13"/>
  <c r="C69" i="13"/>
  <c r="B69" i="13"/>
  <c r="AG89" i="1"/>
  <c r="AH89" i="1" s="1"/>
  <c r="E89" i="1"/>
  <c r="K88" i="1"/>
  <c r="J88" i="1"/>
  <c r="I88" i="1"/>
  <c r="AJ88" i="1" s="1"/>
  <c r="AK88" i="1" s="1"/>
  <c r="F88" i="1"/>
  <c r="C88" i="1"/>
  <c r="G88" i="1" s="1"/>
  <c r="D88" i="1"/>
  <c r="B70" i="13" l="1"/>
  <c r="D70" i="13"/>
  <c r="C70" i="13"/>
  <c r="E69" i="13"/>
  <c r="E88" i="1"/>
  <c r="AG88" i="1"/>
  <c r="AH88" i="1" s="1"/>
  <c r="K87" i="1"/>
  <c r="J87" i="1"/>
  <c r="I87" i="1"/>
  <c r="AJ87" i="1" s="1"/>
  <c r="AK87" i="1" s="1"/>
  <c r="F87" i="1"/>
  <c r="C87" i="1"/>
  <c r="G87" i="1" s="1"/>
  <c r="D87" i="1"/>
  <c r="E70" i="13" l="1"/>
  <c r="C71" i="13"/>
  <c r="B71" i="13"/>
  <c r="D71" i="13"/>
  <c r="E87" i="1"/>
  <c r="AG87" i="1"/>
  <c r="AH87" i="1" s="1"/>
  <c r="F86" i="1"/>
  <c r="C86" i="1"/>
  <c r="G86" i="1" s="1"/>
  <c r="D86" i="1"/>
  <c r="K86" i="1"/>
  <c r="J86" i="1"/>
  <c r="I86" i="1"/>
  <c r="AJ86" i="1" s="1"/>
  <c r="AK86" i="1" s="1"/>
  <c r="D72" i="13" l="1"/>
  <c r="E71" i="13"/>
  <c r="C72" i="13"/>
  <c r="B72" i="13"/>
  <c r="E86" i="1"/>
  <c r="AG86" i="1"/>
  <c r="AH86" i="1" s="1"/>
  <c r="F85" i="1"/>
  <c r="C85" i="1"/>
  <c r="G85" i="1" s="1"/>
  <c r="D85" i="1"/>
  <c r="K85" i="1"/>
  <c r="J85" i="1"/>
  <c r="I85" i="1"/>
  <c r="AJ85" i="1" s="1"/>
  <c r="AK85" i="1" s="1"/>
  <c r="D73" i="13" l="1"/>
  <c r="E72" i="13"/>
  <c r="C73" i="13"/>
  <c r="B73" i="13"/>
  <c r="AG85" i="1"/>
  <c r="AH85" i="1" s="1"/>
  <c r="E85" i="1"/>
  <c r="K84" i="1"/>
  <c r="J84" i="1"/>
  <c r="I84" i="1"/>
  <c r="AJ84" i="1" s="1"/>
  <c r="AK84" i="1" s="1"/>
  <c r="F84" i="1"/>
  <c r="C84" i="1"/>
  <c r="D84" i="1"/>
  <c r="D74" i="13" l="1"/>
  <c r="C74" i="13"/>
  <c r="E73" i="13"/>
  <c r="B74" i="13"/>
  <c r="AG84" i="1"/>
  <c r="AH84" i="1" s="1"/>
  <c r="G84" i="1"/>
  <c r="E84" i="1"/>
  <c r="K83" i="1"/>
  <c r="J83" i="1"/>
  <c r="I83" i="1"/>
  <c r="AJ83" i="1" s="1"/>
  <c r="AK83" i="1" s="1"/>
  <c r="F83" i="1"/>
  <c r="C83" i="1"/>
  <c r="G83" i="1" s="1"/>
  <c r="D83" i="1"/>
  <c r="E74" i="13" l="1"/>
  <c r="C75" i="13"/>
  <c r="D75" i="13"/>
  <c r="B75" i="13"/>
  <c r="B76" i="13" s="1"/>
  <c r="AG83" i="1"/>
  <c r="AH83" i="1" s="1"/>
  <c r="E83" i="1"/>
  <c r="B24" i="6"/>
  <c r="F82" i="1"/>
  <c r="C82" i="1"/>
  <c r="G82" i="1" s="1"/>
  <c r="D82" i="1"/>
  <c r="J82" i="1"/>
  <c r="I82" i="1"/>
  <c r="AJ82" i="1" s="1"/>
  <c r="AK82" i="1" s="1"/>
  <c r="K82" i="1"/>
  <c r="D76" i="13" l="1"/>
  <c r="C76" i="13"/>
  <c r="E75" i="13"/>
  <c r="AG82" i="1"/>
  <c r="AH82" i="1" s="1"/>
  <c r="E82" i="1"/>
  <c r="K81" i="1"/>
  <c r="J81" i="1"/>
  <c r="I81" i="1"/>
  <c r="AJ81" i="1" s="1"/>
  <c r="AK81" i="1" s="1"/>
  <c r="F81" i="1"/>
  <c r="C81" i="1"/>
  <c r="G81" i="1" s="1"/>
  <c r="D81" i="1"/>
  <c r="E76" i="13" l="1"/>
  <c r="C77" i="13"/>
  <c r="D77" i="13"/>
  <c r="B77" i="13"/>
  <c r="AG81" i="1"/>
  <c r="AH81" i="1" s="1"/>
  <c r="E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B78" i="13" l="1"/>
  <c r="D78" i="13"/>
  <c r="C78" i="13"/>
  <c r="E77" i="13"/>
  <c r="K80" i="1"/>
  <c r="J80" i="1"/>
  <c r="I80" i="1"/>
  <c r="AJ80" i="1" s="1"/>
  <c r="AK80" i="1" s="1"/>
  <c r="C80" i="1"/>
  <c r="G80" i="1" s="1"/>
  <c r="D80" i="1"/>
  <c r="E78" i="13" l="1"/>
  <c r="C79" i="13"/>
  <c r="B79" i="13"/>
  <c r="D79" i="13"/>
  <c r="AG80" i="1"/>
  <c r="AH80" i="1" s="1"/>
  <c r="E80" i="1"/>
  <c r="U25" i="1"/>
  <c r="B28" i="6"/>
  <c r="S25" i="1" s="1"/>
  <c r="T25" i="1" s="1"/>
  <c r="B27" i="6"/>
  <c r="R25" i="1" s="1"/>
  <c r="D80" i="13" l="1"/>
  <c r="B80" i="13"/>
  <c r="E79" i="13"/>
  <c r="C80" i="13"/>
  <c r="B22" i="6"/>
  <c r="U26" i="1" s="1"/>
  <c r="K79" i="1"/>
  <c r="J79" i="1"/>
  <c r="I79" i="1"/>
  <c r="AJ79" i="1" s="1"/>
  <c r="AK79" i="1" s="1"/>
  <c r="C79" i="1"/>
  <c r="G79" i="1" s="1"/>
  <c r="D79" i="1"/>
  <c r="B81" i="13" l="1"/>
  <c r="D81" i="13"/>
  <c r="E80" i="13"/>
  <c r="C81" i="13"/>
  <c r="D82" i="13" s="1"/>
  <c r="E79" i="1"/>
  <c r="AG79" i="1"/>
  <c r="AH79" i="1" s="1"/>
  <c r="J78" i="1"/>
  <c r="I78" i="1"/>
  <c r="AJ78" i="1" s="1"/>
  <c r="AK78" i="1" s="1"/>
  <c r="C78" i="1"/>
  <c r="G78" i="1" s="1"/>
  <c r="D78" i="1"/>
  <c r="K78" i="1"/>
  <c r="E81" i="13" l="1"/>
  <c r="C82" i="13"/>
  <c r="B82" i="13"/>
  <c r="E78" i="1"/>
  <c r="AG78" i="1"/>
  <c r="AH78" i="1" s="1"/>
  <c r="J17" i="6"/>
  <c r="J18" i="6"/>
  <c r="C77" i="1"/>
  <c r="G77" i="1" s="1"/>
  <c r="D77" i="1"/>
  <c r="C76" i="1"/>
  <c r="G76" i="1" s="1"/>
  <c r="D76" i="1"/>
  <c r="C75" i="1"/>
  <c r="G75" i="1" s="1"/>
  <c r="D75" i="1"/>
  <c r="C74" i="1"/>
  <c r="G74" i="1" s="1"/>
  <c r="D74" i="1"/>
  <c r="C73" i="1"/>
  <c r="G73" i="1" s="1"/>
  <c r="D73" i="1"/>
  <c r="C72" i="1"/>
  <c r="G72" i="1" s="1"/>
  <c r="D72" i="1"/>
  <c r="C71" i="1"/>
  <c r="G71" i="1" s="1"/>
  <c r="D71" i="1"/>
  <c r="C70" i="1"/>
  <c r="G70" i="1" s="1"/>
  <c r="D70" i="1"/>
  <c r="C69" i="1"/>
  <c r="G69" i="1" s="1"/>
  <c r="D69" i="1"/>
  <c r="C68" i="1"/>
  <c r="G68" i="1" s="1"/>
  <c r="D68" i="1"/>
  <c r="C67" i="1"/>
  <c r="G67" i="1" s="1"/>
  <c r="D67" i="1"/>
  <c r="C66" i="1"/>
  <c r="G66" i="1" s="1"/>
  <c r="D66" i="1"/>
  <c r="C65" i="1"/>
  <c r="G65" i="1" s="1"/>
  <c r="D65" i="1"/>
  <c r="C64" i="1"/>
  <c r="D64" i="1"/>
  <c r="C63" i="1"/>
  <c r="G63" i="1" s="1"/>
  <c r="D63" i="1"/>
  <c r="C62" i="1"/>
  <c r="G62" i="1" s="1"/>
  <c r="D62" i="1"/>
  <c r="C61" i="1"/>
  <c r="G61" i="1" s="1"/>
  <c r="D61" i="1"/>
  <c r="C60" i="1"/>
  <c r="G60" i="1" s="1"/>
  <c r="D60" i="1"/>
  <c r="C59" i="1"/>
  <c r="G59" i="1" s="1"/>
  <c r="D59" i="1"/>
  <c r="C58" i="1"/>
  <c r="G58" i="1" s="1"/>
  <c r="D58" i="1"/>
  <c r="C57" i="1"/>
  <c r="G57" i="1" s="1"/>
  <c r="D57" i="1"/>
  <c r="C56" i="1"/>
  <c r="G56" i="1" s="1"/>
  <c r="D56" i="1"/>
  <c r="C55" i="1"/>
  <c r="G55" i="1" s="1"/>
  <c r="D55" i="1"/>
  <c r="C54" i="1"/>
  <c r="G54" i="1" s="1"/>
  <c r="D54" i="1"/>
  <c r="C53" i="1"/>
  <c r="G53" i="1" s="1"/>
  <c r="D53" i="1"/>
  <c r="C52" i="1"/>
  <c r="G52" i="1" s="1"/>
  <c r="D52" i="1"/>
  <c r="C51" i="1"/>
  <c r="G51" i="1" s="1"/>
  <c r="D51" i="1"/>
  <c r="C50" i="1"/>
  <c r="G50" i="1" s="1"/>
  <c r="D50" i="1"/>
  <c r="C49" i="1"/>
  <c r="G49" i="1" s="1"/>
  <c r="D49" i="1"/>
  <c r="C48" i="1"/>
  <c r="G48" i="1" s="1"/>
  <c r="D48" i="1"/>
  <c r="C47" i="1"/>
  <c r="G47" i="1" s="1"/>
  <c r="D47" i="1"/>
  <c r="C46" i="1"/>
  <c r="G46" i="1" s="1"/>
  <c r="D46" i="1"/>
  <c r="C45" i="1"/>
  <c r="G45" i="1" s="1"/>
  <c r="D45" i="1"/>
  <c r="C44" i="1"/>
  <c r="G44" i="1" s="1"/>
  <c r="D44" i="1"/>
  <c r="C43" i="1"/>
  <c r="G43" i="1" s="1"/>
  <c r="D43" i="1"/>
  <c r="C42" i="1"/>
  <c r="G42" i="1" s="1"/>
  <c r="D42" i="1"/>
  <c r="C41" i="1"/>
  <c r="G41" i="1" s="1"/>
  <c r="D41" i="1"/>
  <c r="C40" i="1"/>
  <c r="G40" i="1" s="1"/>
  <c r="D40" i="1"/>
  <c r="C39" i="1"/>
  <c r="G39" i="1" s="1"/>
  <c r="D39" i="1"/>
  <c r="C38" i="1"/>
  <c r="G38" i="1" s="1"/>
  <c r="D38" i="1"/>
  <c r="C37" i="1"/>
  <c r="G37" i="1" s="1"/>
  <c r="D37" i="1"/>
  <c r="C36" i="1"/>
  <c r="G36" i="1" s="1"/>
  <c r="D36" i="1"/>
  <c r="C35" i="1"/>
  <c r="G35" i="1" s="1"/>
  <c r="D35" i="1"/>
  <c r="C34" i="1"/>
  <c r="D34" i="1"/>
  <c r="C33" i="1"/>
  <c r="G33" i="1" s="1"/>
  <c r="D33" i="1"/>
  <c r="C32" i="1"/>
  <c r="G32" i="1" s="1"/>
  <c r="D32" i="1"/>
  <c r="C31" i="1"/>
  <c r="G31" i="1" s="1"/>
  <c r="D31" i="1"/>
  <c r="C30" i="1"/>
  <c r="G30" i="1" s="1"/>
  <c r="D30" i="1"/>
  <c r="C29" i="1"/>
  <c r="G29" i="1" s="1"/>
  <c r="D29" i="1"/>
  <c r="C28" i="1"/>
  <c r="G28" i="1" s="1"/>
  <c r="D28" i="1"/>
  <c r="C27" i="1"/>
  <c r="G27" i="1" s="1"/>
  <c r="D27" i="1"/>
  <c r="C26" i="1"/>
  <c r="D26" i="1"/>
  <c r="J77" i="1"/>
  <c r="I77" i="1"/>
  <c r="AJ77" i="1" s="1"/>
  <c r="AK77" i="1" s="1"/>
  <c r="K77" i="1"/>
  <c r="AC4" i="10" l="1"/>
  <c r="AE7" i="10"/>
  <c r="AE5" i="10"/>
  <c r="AC5" i="10"/>
  <c r="AC7" i="10"/>
  <c r="AD5" i="10"/>
  <c r="AD7" i="10"/>
  <c r="G34" i="1"/>
  <c r="AD6" i="10"/>
  <c r="AD4" i="10"/>
  <c r="G26" i="1"/>
  <c r="AC6" i="10"/>
  <c r="G64" i="1"/>
  <c r="AE6" i="10"/>
  <c r="AE4" i="10"/>
  <c r="B83" i="13"/>
  <c r="D83" i="13"/>
  <c r="E82" i="13"/>
  <c r="C83" i="13"/>
  <c r="E27" i="1"/>
  <c r="AG76" i="1"/>
  <c r="AH76" i="1" s="1"/>
  <c r="AG77" i="1"/>
  <c r="AH77" i="1" s="1"/>
  <c r="E55" i="1"/>
  <c r="E71" i="1"/>
  <c r="E75" i="1"/>
  <c r="E34" i="1"/>
  <c r="E42" i="1"/>
  <c r="E35" i="1"/>
  <c r="E39" i="1"/>
  <c r="E59" i="1"/>
  <c r="E33" i="1"/>
  <c r="E53" i="1"/>
  <c r="E63" i="1"/>
  <c r="E30" i="1"/>
  <c r="E43" i="1"/>
  <c r="E57" i="1"/>
  <c r="E77" i="1"/>
  <c r="E49" i="1"/>
  <c r="E69" i="1"/>
  <c r="E46" i="1"/>
  <c r="E73" i="1"/>
  <c r="E50" i="1"/>
  <c r="E37" i="1"/>
  <c r="E47" i="1"/>
  <c r="E54" i="1"/>
  <c r="E67" i="1"/>
  <c r="E74" i="1"/>
  <c r="E29" i="1"/>
  <c r="E66" i="1"/>
  <c r="E70" i="1"/>
  <c r="E41" i="1"/>
  <c r="E61" i="1"/>
  <c r="E31" i="1"/>
  <c r="E38" i="1"/>
  <c r="E51" i="1"/>
  <c r="E58" i="1"/>
  <c r="E65" i="1"/>
  <c r="E45" i="1"/>
  <c r="E62" i="1"/>
  <c r="E28" i="1"/>
  <c r="E36" i="1"/>
  <c r="E44" i="1"/>
  <c r="E52" i="1"/>
  <c r="E60" i="1"/>
  <c r="E68" i="1"/>
  <c r="E76" i="1"/>
  <c r="E40" i="1"/>
  <c r="E48" i="1"/>
  <c r="E56" i="1"/>
  <c r="E72" i="1"/>
  <c r="E32" i="1"/>
  <c r="E64" i="1"/>
  <c r="E26"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AC13" i="10" l="1"/>
  <c r="AC15" i="10"/>
  <c r="AD13" i="10"/>
  <c r="AD15" i="10"/>
  <c r="AE15" i="10"/>
  <c r="AE13" i="10"/>
  <c r="B84" i="13"/>
  <c r="D84" i="13"/>
  <c r="C84" i="13"/>
  <c r="E83" i="13"/>
  <c r="H15" i="6"/>
  <c r="H14" i="6"/>
  <c r="H13" i="6"/>
  <c r="H17" i="6"/>
  <c r="H18" i="6"/>
  <c r="I76" i="1"/>
  <c r="AJ76" i="1" s="1"/>
  <c r="AK76" i="1" s="1"/>
  <c r="K76" i="1"/>
  <c r="E84" i="13" l="1"/>
  <c r="C85" i="13"/>
  <c r="B85" i="13"/>
  <c r="D85" i="13"/>
  <c r="I75" i="1"/>
  <c r="K75" i="1"/>
  <c r="B86" i="13" l="1"/>
  <c r="C86" i="13"/>
  <c r="E85" i="13"/>
  <c r="D86" i="13"/>
  <c r="AA47" i="1"/>
  <c r="AB47" i="1" s="1"/>
  <c r="Y37" i="1"/>
  <c r="Z37" i="1" s="1"/>
  <c r="I26"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K74" i="1"/>
  <c r="AD12" i="10" l="1"/>
  <c r="AD14" i="10"/>
  <c r="AE12" i="10"/>
  <c r="AE14" i="10"/>
  <c r="AC14" i="10"/>
  <c r="AC12" i="10"/>
  <c r="D87" i="13"/>
  <c r="C87" i="13"/>
  <c r="E86" i="13"/>
  <c r="B87" i="13"/>
  <c r="Y38" i="1"/>
  <c r="AA48" i="1"/>
  <c r="G15" i="6"/>
  <c r="G13" i="6"/>
  <c r="G14" i="6"/>
  <c r="G18" i="6"/>
  <c r="G17" i="6"/>
  <c r="K73" i="1"/>
  <c r="K72" i="1"/>
  <c r="B88" i="13" l="1"/>
  <c r="C88" i="13"/>
  <c r="E87" i="13"/>
  <c r="D88" i="13"/>
  <c r="AA49" i="1"/>
  <c r="AB49" i="1" s="1"/>
  <c r="AB48" i="1"/>
  <c r="Y39" i="1"/>
  <c r="Z39" i="1" s="1"/>
  <c r="Z38" i="1"/>
  <c r="K71" i="1"/>
  <c r="K70" i="1"/>
  <c r="K69" i="1"/>
  <c r="B89" i="13" l="1"/>
  <c r="D89" i="13"/>
  <c r="E88" i="13"/>
  <c r="C89" i="13"/>
  <c r="Y40" i="1"/>
  <c r="Z40" i="1" s="1"/>
  <c r="AA50" i="1"/>
  <c r="AB50" i="1" s="1"/>
  <c r="AC56" i="1"/>
  <c r="AC55" i="1"/>
  <c r="AC54" i="1"/>
  <c r="AC53" i="1"/>
  <c r="AC52" i="1"/>
  <c r="AC51" i="1"/>
  <c r="AC50" i="1"/>
  <c r="AC49" i="1"/>
  <c r="AC48" i="1"/>
  <c r="AC47" i="1"/>
  <c r="Y41" i="1" l="1"/>
  <c r="Z41" i="1" s="1"/>
  <c r="D90" i="13"/>
  <c r="C90" i="13"/>
  <c r="E89" i="13"/>
  <c r="B90" i="13"/>
  <c r="AA51" i="1"/>
  <c r="AB51" i="1" s="1"/>
  <c r="AC57" i="1"/>
  <c r="AD57" i="1" s="1"/>
  <c r="D91" i="13" l="1"/>
  <c r="Y42" i="1"/>
  <c r="Z42" i="1" s="1"/>
  <c r="B91" i="13"/>
  <c r="E90" i="13"/>
  <c r="C91" i="13"/>
  <c r="AA52" i="1"/>
  <c r="AB52" i="1" s="1"/>
  <c r="AC58" i="1"/>
  <c r="AD58" i="1" s="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AC18" i="10" l="1"/>
  <c r="AD18" i="10"/>
  <c r="AE18" i="10"/>
  <c r="Y43" i="1"/>
  <c r="Z43" i="1" s="1"/>
  <c r="B92" i="13"/>
  <c r="E91" i="13"/>
  <c r="C92" i="13"/>
  <c r="D92" i="13"/>
  <c r="D93" i="13" s="1"/>
  <c r="AA53" i="1"/>
  <c r="AB53" i="1" s="1"/>
  <c r="AC59" i="1"/>
  <c r="AD59" i="1" s="1"/>
  <c r="Y44" i="1" l="1"/>
  <c r="Z44" i="1" s="1"/>
  <c r="B93" i="13"/>
  <c r="C93" i="13"/>
  <c r="D94" i="13" s="1"/>
  <c r="E92" i="13"/>
  <c r="AA54" i="1"/>
  <c r="AA55" i="1" s="1"/>
  <c r="AB55" i="1" s="1"/>
  <c r="AC60" i="1"/>
  <c r="AD60" i="1" s="1"/>
  <c r="Y45" i="1" l="1"/>
  <c r="Y46" i="1" s="1"/>
  <c r="Z46" i="1" s="1"/>
  <c r="B94" i="13"/>
  <c r="C94" i="13"/>
  <c r="E93" i="13"/>
  <c r="AA56" i="1"/>
  <c r="AB56" i="1" s="1"/>
  <c r="AB54" i="1"/>
  <c r="AC61" i="1"/>
  <c r="AD61" i="1" s="1"/>
  <c r="Y47" i="1" l="1"/>
  <c r="Y48" i="1" s="1"/>
  <c r="Z45" i="1"/>
  <c r="B95" i="13"/>
  <c r="E94" i="13"/>
  <c r="C95" i="13"/>
  <c r="D95" i="13"/>
  <c r="D96" i="13" s="1"/>
  <c r="AA57" i="1"/>
  <c r="AA58" i="1" s="1"/>
  <c r="AC62" i="1"/>
  <c r="AD62" i="1" s="1"/>
  <c r="Z47" i="1" l="1"/>
  <c r="C96" i="13"/>
  <c r="E95" i="13"/>
  <c r="B96" i="13"/>
  <c r="B97" i="13" s="1"/>
  <c r="AB57" i="1"/>
  <c r="AA59" i="1"/>
  <c r="AB58" i="1"/>
  <c r="Y49" i="1"/>
  <c r="Z48" i="1"/>
  <c r="AC63" i="1"/>
  <c r="C97" i="13" l="1"/>
  <c r="E96" i="13"/>
  <c r="D97" i="13"/>
  <c r="AC64" i="1"/>
  <c r="AD63" i="1"/>
  <c r="Y50" i="1"/>
  <c r="Z49" i="1"/>
  <c r="AA60" i="1"/>
  <c r="AB59" i="1"/>
  <c r="D98" i="13" l="1"/>
  <c r="C98" i="13"/>
  <c r="E97" i="13"/>
  <c r="B98" i="13"/>
  <c r="B99" i="13" s="1"/>
  <c r="AA61" i="1"/>
  <c r="AB60" i="1"/>
  <c r="Y51" i="1"/>
  <c r="Z50" i="1"/>
  <c r="AC65" i="1"/>
  <c r="AD64" i="1"/>
  <c r="E98" i="13" l="1"/>
  <c r="C99" i="13"/>
  <c r="D99" i="13"/>
  <c r="AC66" i="1"/>
  <c r="AD65" i="1"/>
  <c r="Y52" i="1"/>
  <c r="Z51" i="1"/>
  <c r="AA62" i="1"/>
  <c r="AB61" i="1"/>
  <c r="D100" i="13" l="1"/>
  <c r="C100" i="13"/>
  <c r="E99" i="13"/>
  <c r="B100" i="13"/>
  <c r="B101" i="13" s="1"/>
  <c r="AA63" i="1"/>
  <c r="AB62" i="1"/>
  <c r="Y53" i="1"/>
  <c r="Z52" i="1"/>
  <c r="AC67" i="1"/>
  <c r="AD66" i="1"/>
  <c r="E100" i="13" l="1"/>
  <c r="C101" i="13"/>
  <c r="D101" i="13"/>
  <c r="AC68" i="1"/>
  <c r="AD67" i="1"/>
  <c r="Y54" i="1"/>
  <c r="Z53" i="1"/>
  <c r="AA64" i="1"/>
  <c r="AB63" i="1"/>
  <c r="D102" i="13" l="1"/>
  <c r="C102" i="13"/>
  <c r="E101" i="13"/>
  <c r="B102" i="13"/>
  <c r="AA65" i="1"/>
  <c r="AB64" i="1"/>
  <c r="Y55" i="1"/>
  <c r="Z54" i="1"/>
  <c r="AC69" i="1"/>
  <c r="AD68" i="1"/>
  <c r="B103" i="13" l="1"/>
  <c r="E102" i="13"/>
  <c r="C103" i="13"/>
  <c r="D103" i="13"/>
  <c r="AC70" i="1"/>
  <c r="AD69" i="1"/>
  <c r="Y56" i="1"/>
  <c r="Z55" i="1"/>
  <c r="AA66" i="1"/>
  <c r="AB65" i="1"/>
  <c r="D104" i="13" l="1"/>
  <c r="C104" i="13"/>
  <c r="E103" i="13"/>
  <c r="B104" i="13"/>
  <c r="AA67" i="1"/>
  <c r="AB66" i="1"/>
  <c r="Y57" i="1"/>
  <c r="Z56" i="1"/>
  <c r="AC71" i="1"/>
  <c r="AD70" i="1"/>
  <c r="B105" i="13" l="1"/>
  <c r="E104" i="13"/>
  <c r="C105" i="13"/>
  <c r="D105" i="13"/>
  <c r="D106" i="13" s="1"/>
  <c r="AC72" i="1"/>
  <c r="AD71" i="1"/>
  <c r="Y58" i="1"/>
  <c r="Z57" i="1"/>
  <c r="AA68" i="1"/>
  <c r="AB67" i="1"/>
  <c r="C106" i="13" l="1"/>
  <c r="E105" i="13"/>
  <c r="B106" i="13"/>
  <c r="AA69" i="1"/>
  <c r="AB68" i="1"/>
  <c r="Y59" i="1"/>
  <c r="Z58" i="1"/>
  <c r="AC73" i="1"/>
  <c r="AD72" i="1"/>
  <c r="B107" i="13" l="1"/>
  <c r="E106" i="13"/>
  <c r="C107" i="13"/>
  <c r="D107" i="13"/>
  <c r="AC74" i="1"/>
  <c r="AD73" i="1"/>
  <c r="Y60" i="1"/>
  <c r="Z59" i="1"/>
  <c r="AA70" i="1"/>
  <c r="AB69" i="1"/>
  <c r="D108" i="13" l="1"/>
  <c r="E107" i="13"/>
  <c r="C108" i="13"/>
  <c r="B108" i="13"/>
  <c r="AA71" i="1"/>
  <c r="AB70" i="1"/>
  <c r="Y61" i="1"/>
  <c r="Z60" i="1"/>
  <c r="AC75" i="1"/>
  <c r="AD74" i="1"/>
  <c r="E108" i="13" l="1"/>
  <c r="C109" i="13"/>
  <c r="B109" i="13"/>
  <c r="D109" i="13"/>
  <c r="AC76" i="1"/>
  <c r="AD75" i="1"/>
  <c r="Y62" i="1"/>
  <c r="Z61" i="1"/>
  <c r="AA72" i="1"/>
  <c r="AB71" i="1"/>
  <c r="D110" i="13" l="1"/>
  <c r="C110" i="13"/>
  <c r="E109" i="13"/>
  <c r="B110" i="13"/>
  <c r="AA73" i="1"/>
  <c r="AB72" i="1"/>
  <c r="Y63" i="1"/>
  <c r="Z62" i="1"/>
  <c r="AC77" i="1"/>
  <c r="AD76" i="1"/>
  <c r="B111" i="13" l="1"/>
  <c r="C111" i="13"/>
  <c r="E110" i="13"/>
  <c r="D111" i="13"/>
  <c r="AC78" i="1"/>
  <c r="AD77" i="1"/>
  <c r="Y64" i="1"/>
  <c r="Z63" i="1"/>
  <c r="AA74" i="1"/>
  <c r="AB73" i="1"/>
  <c r="D112" i="13" l="1"/>
  <c r="E111" i="13"/>
  <c r="C112" i="13"/>
  <c r="B112" i="13"/>
  <c r="AA75" i="1"/>
  <c r="AB74" i="1"/>
  <c r="Y65" i="1"/>
  <c r="Z64" i="1"/>
  <c r="AC79" i="1"/>
  <c r="AD78" i="1"/>
  <c r="B113" i="13" l="1"/>
  <c r="E112" i="13"/>
  <c r="C113" i="13"/>
  <c r="D113" i="13"/>
  <c r="D114" i="13" s="1"/>
  <c r="AD79" i="1"/>
  <c r="AC80" i="1"/>
  <c r="Y66" i="1"/>
  <c r="Z65" i="1"/>
  <c r="AA76" i="1"/>
  <c r="AB75" i="1"/>
  <c r="C114" i="13" l="1"/>
  <c r="E113" i="13"/>
  <c r="B114" i="13"/>
  <c r="B115" i="13" s="1"/>
  <c r="AD80" i="1"/>
  <c r="AC81" i="1"/>
  <c r="AA77" i="1"/>
  <c r="AB76" i="1"/>
  <c r="Y67" i="1"/>
  <c r="Z66" i="1"/>
  <c r="C115" i="13" l="1"/>
  <c r="E114" i="13"/>
  <c r="D115" i="13"/>
  <c r="D116" i="13" s="1"/>
  <c r="AD81" i="1"/>
  <c r="AC82" i="1"/>
  <c r="Y68" i="1"/>
  <c r="Z67" i="1"/>
  <c r="AA78" i="1"/>
  <c r="AB77" i="1"/>
  <c r="E115" i="13" l="1"/>
  <c r="C116" i="13"/>
  <c r="B116" i="13"/>
  <c r="AD82" i="1"/>
  <c r="AC83" i="1"/>
  <c r="AB78" i="1"/>
  <c r="AA79" i="1"/>
  <c r="Y69" i="1"/>
  <c r="Z68" i="1"/>
  <c r="C117" i="13" l="1"/>
  <c r="E116" i="13"/>
  <c r="B117" i="13"/>
  <c r="B118" i="13" s="1"/>
  <c r="D117" i="13"/>
  <c r="D118" i="13" s="1"/>
  <c r="AB79" i="1"/>
  <c r="AA80" i="1"/>
  <c r="AD83" i="1"/>
  <c r="AC84" i="1"/>
  <c r="Y70" i="1"/>
  <c r="Z69" i="1"/>
  <c r="C118" i="13" l="1"/>
  <c r="D119" i="13" s="1"/>
  <c r="E117" i="13"/>
  <c r="AB80" i="1"/>
  <c r="AA81" i="1"/>
  <c r="AD84" i="1"/>
  <c r="AC85" i="1"/>
  <c r="Y71" i="1"/>
  <c r="Z70" i="1"/>
  <c r="C119" i="13" l="1"/>
  <c r="E118" i="13"/>
  <c r="B119" i="13"/>
  <c r="B120" i="13" s="1"/>
  <c r="AD85" i="1"/>
  <c r="AC86" i="1"/>
  <c r="AB81" i="1"/>
  <c r="AA82" i="1"/>
  <c r="Y72" i="1"/>
  <c r="Z71" i="1"/>
  <c r="C120" i="13" l="1"/>
  <c r="E119" i="13"/>
  <c r="D120" i="13"/>
  <c r="D121" i="13" s="1"/>
  <c r="AB82" i="1"/>
  <c r="AA83" i="1"/>
  <c r="AD86" i="1"/>
  <c r="AC87" i="1"/>
  <c r="Y73" i="1"/>
  <c r="Z72" i="1"/>
  <c r="E120" i="13" l="1"/>
  <c r="C121" i="13"/>
  <c r="B121" i="13"/>
  <c r="AB83" i="1"/>
  <c r="AA84" i="1"/>
  <c r="AD87" i="1"/>
  <c r="AC88" i="1"/>
  <c r="Y74" i="1"/>
  <c r="Z73" i="1"/>
  <c r="B122" i="13" l="1"/>
  <c r="C122" i="13"/>
  <c r="E121" i="13"/>
  <c r="D122" i="13"/>
  <c r="D123" i="13" s="1"/>
  <c r="AD88" i="1"/>
  <c r="AC89" i="1"/>
  <c r="AB84" i="1"/>
  <c r="AA85" i="1"/>
  <c r="Y75" i="1"/>
  <c r="Z74" i="1"/>
  <c r="E122" i="13" l="1"/>
  <c r="C123" i="13"/>
  <c r="B123" i="13"/>
  <c r="B124" i="13" s="1"/>
  <c r="AB85" i="1"/>
  <c r="AA86" i="1"/>
  <c r="AD89" i="1"/>
  <c r="AC90" i="1"/>
  <c r="Y76" i="1"/>
  <c r="Y77" i="1" s="1"/>
  <c r="Y78" i="1" s="1"/>
  <c r="Y79" i="1" s="1"/>
  <c r="Y80" i="1" s="1"/>
  <c r="Y81" i="1" s="1"/>
  <c r="Y82" i="1" s="1"/>
  <c r="Y83" i="1" s="1"/>
  <c r="Y84" i="1" s="1"/>
  <c r="Y85" i="1" s="1"/>
  <c r="Y86" i="1" s="1"/>
  <c r="Y87" i="1" s="1"/>
  <c r="Y88" i="1" s="1"/>
  <c r="Y89" i="1" s="1"/>
  <c r="Y90" i="1" s="1"/>
  <c r="Y91" i="1" s="1"/>
  <c r="Y92" i="1" s="1"/>
  <c r="Y93" i="1" s="1"/>
  <c r="Y94" i="1" s="1"/>
  <c r="Y95" i="1" s="1"/>
  <c r="Y96" i="1" s="1"/>
  <c r="Y97" i="1" s="1"/>
  <c r="Y98" i="1" s="1"/>
  <c r="Y99" i="1" s="1"/>
  <c r="Y100" i="1" s="1"/>
  <c r="Y101" i="1" s="1"/>
  <c r="Y102" i="1" s="1"/>
  <c r="Y103" i="1" s="1"/>
  <c r="Y104" i="1" s="1"/>
  <c r="Y105" i="1" s="1"/>
  <c r="Y106" i="1" s="1"/>
  <c r="Y107" i="1" s="1"/>
  <c r="Y108" i="1" s="1"/>
  <c r="Y109" i="1" s="1"/>
  <c r="Y110" i="1" s="1"/>
  <c r="Y111" i="1" s="1"/>
  <c r="Y112" i="1" s="1"/>
  <c r="Y113" i="1" s="1"/>
  <c r="Y114" i="1" s="1"/>
  <c r="Y115" i="1" s="1"/>
  <c r="Y116" i="1" s="1"/>
  <c r="Y117" i="1" s="1"/>
  <c r="Y118" i="1" s="1"/>
  <c r="Z75" i="1"/>
  <c r="C124" i="13" l="1"/>
  <c r="E123" i="13"/>
  <c r="D124" i="13"/>
  <c r="D125" i="13" s="1"/>
  <c r="AB86" i="1"/>
  <c r="AA87" i="1"/>
  <c r="AD90" i="1"/>
  <c r="AC91" i="1"/>
  <c r="Y119" i="1"/>
  <c r="E124" i="13" l="1"/>
  <c r="C125" i="13"/>
  <c r="B125" i="13"/>
  <c r="Y120" i="1"/>
  <c r="AB87" i="1"/>
  <c r="AA88" i="1"/>
  <c r="AD91" i="1"/>
  <c r="AC92" i="1"/>
  <c r="C126" i="13" l="1"/>
  <c r="E125" i="13"/>
  <c r="B126" i="13"/>
  <c r="B127" i="13" s="1"/>
  <c r="D126" i="13"/>
  <c r="D127" i="13" s="1"/>
  <c r="AD92" i="1"/>
  <c r="AC93" i="1"/>
  <c r="AB88" i="1"/>
  <c r="AA89" i="1"/>
  <c r="Y121" i="1"/>
  <c r="E126" i="13" l="1"/>
  <c r="C127" i="13"/>
  <c r="D128" i="13" s="1"/>
  <c r="AB89" i="1"/>
  <c r="AA90" i="1"/>
  <c r="AD93" i="1"/>
  <c r="AC94" i="1"/>
  <c r="Y122" i="1"/>
  <c r="E127" i="13" l="1"/>
  <c r="C128" i="13"/>
  <c r="B128" i="13"/>
  <c r="B129" i="13" s="1"/>
  <c r="AD94" i="1"/>
  <c r="AC95" i="1"/>
  <c r="Y123" i="1"/>
  <c r="AB90" i="1"/>
  <c r="AA91" i="1"/>
  <c r="E128" i="13" l="1"/>
  <c r="C129" i="13"/>
  <c r="D129" i="13"/>
  <c r="AB91" i="1"/>
  <c r="AA92" i="1"/>
  <c r="Y124" i="1"/>
  <c r="Y125" i="1" s="1"/>
  <c r="AD95" i="1"/>
  <c r="AC96" i="1"/>
  <c r="D130" i="13" l="1"/>
  <c r="C130" i="13"/>
  <c r="E129" i="13"/>
  <c r="B130" i="13"/>
  <c r="B131" i="13" s="1"/>
  <c r="Y126" i="1"/>
  <c r="AD96" i="1"/>
  <c r="AC97" i="1"/>
  <c r="AB92" i="1"/>
  <c r="AA93" i="1"/>
  <c r="D131" i="13" l="1"/>
  <c r="E130" i="13"/>
  <c r="C131" i="13"/>
  <c r="AD97" i="1"/>
  <c r="AC98" i="1"/>
  <c r="Y127" i="1"/>
  <c r="Y128" i="1" s="1"/>
  <c r="AB93" i="1"/>
  <c r="AA94" i="1"/>
  <c r="C132" i="13" l="1"/>
  <c r="E131" i="13"/>
  <c r="D132" i="13"/>
  <c r="D133" i="13" s="1"/>
  <c r="B132" i="13"/>
  <c r="B133" i="13" s="1"/>
  <c r="AD98" i="1"/>
  <c r="AC99" i="1"/>
  <c r="AB94" i="1"/>
  <c r="AA95" i="1"/>
  <c r="Y129" i="1"/>
  <c r="Y130" i="1" s="1"/>
  <c r="E132" i="13" l="1"/>
  <c r="C133" i="13"/>
  <c r="AB95" i="1"/>
  <c r="AA96" i="1"/>
  <c r="AA97" i="1" s="1"/>
  <c r="AA98" i="1" s="1"/>
  <c r="AA99" i="1" s="1"/>
  <c r="AA100" i="1" s="1"/>
  <c r="AA101" i="1" s="1"/>
  <c r="AA102" i="1" s="1"/>
  <c r="AA103" i="1" s="1"/>
  <c r="AA104" i="1" s="1"/>
  <c r="AA105" i="1" s="1"/>
  <c r="AA106" i="1" s="1"/>
  <c r="AA107" i="1" s="1"/>
  <c r="AA108" i="1" s="1"/>
  <c r="AA109" i="1" s="1"/>
  <c r="AA110" i="1" s="1"/>
  <c r="AA111" i="1" s="1"/>
  <c r="AA112" i="1" s="1"/>
  <c r="AA113" i="1" s="1"/>
  <c r="AA114" i="1" s="1"/>
  <c r="AA115" i="1" s="1"/>
  <c r="AA116" i="1" s="1"/>
  <c r="AA117" i="1" s="1"/>
  <c r="AA118" i="1" s="1"/>
  <c r="AA119" i="1" s="1"/>
  <c r="AA120" i="1" s="1"/>
  <c r="AA121" i="1" s="1"/>
  <c r="AA122" i="1" s="1"/>
  <c r="AA123" i="1" s="1"/>
  <c r="AA124" i="1" s="1"/>
  <c r="AA125" i="1" s="1"/>
  <c r="AA126" i="1" s="1"/>
  <c r="Y131" i="1"/>
  <c r="Y132" i="1" s="1"/>
  <c r="AD99" i="1"/>
  <c r="AC100" i="1"/>
  <c r="C134" i="13" l="1"/>
  <c r="E133" i="13"/>
  <c r="D134" i="13"/>
  <c r="D135" i="13" s="1"/>
  <c r="B134" i="13"/>
  <c r="B135" i="13" s="1"/>
  <c r="AD100" i="1"/>
  <c r="AC101" i="1"/>
  <c r="AA127" i="1"/>
  <c r="Y133" i="1"/>
  <c r="C135" i="13" l="1"/>
  <c r="E134" i="13"/>
  <c r="AD101" i="1"/>
  <c r="AC102" i="1"/>
  <c r="AA128" i="1"/>
  <c r="AA129" i="1" s="1"/>
  <c r="Y134" i="1"/>
  <c r="C136" i="13" l="1"/>
  <c r="E135" i="13"/>
  <c r="D136" i="13"/>
  <c r="D137" i="13" s="1"/>
  <c r="B136" i="13"/>
  <c r="B137" i="13" s="1"/>
  <c r="AD102" i="1"/>
  <c r="AC103" i="1"/>
  <c r="AA130" i="1"/>
  <c r="Y135" i="1"/>
  <c r="E136" i="13" l="1"/>
  <c r="C137" i="13"/>
  <c r="AD103" i="1"/>
  <c r="AC104" i="1"/>
  <c r="AA131" i="1"/>
  <c r="Y136" i="1"/>
  <c r="E137" i="13" l="1"/>
  <c r="C138" i="13"/>
  <c r="D138" i="13"/>
  <c r="D139" i="13" s="1"/>
  <c r="B138" i="13"/>
  <c r="B139" i="13" s="1"/>
  <c r="AD104" i="1"/>
  <c r="AC105" i="1"/>
  <c r="AA132" i="1"/>
  <c r="AA133" i="1" s="1"/>
  <c r="Y137" i="1"/>
  <c r="C139" i="13" l="1"/>
  <c r="E138" i="13"/>
  <c r="AD105" i="1"/>
  <c r="AC106" i="1"/>
  <c r="AA134" i="1"/>
  <c r="Y138" i="1"/>
  <c r="C140" i="13" l="1"/>
  <c r="E139" i="13"/>
  <c r="B140" i="13"/>
  <c r="B141" i="13" s="1"/>
  <c r="D140" i="13"/>
  <c r="D141" i="13" s="1"/>
  <c r="AD106" i="1"/>
  <c r="AC107" i="1"/>
  <c r="AA135" i="1"/>
  <c r="AA136" i="1" s="1"/>
  <c r="Y139" i="1"/>
  <c r="E140" i="13" l="1"/>
  <c r="C141" i="13"/>
  <c r="AD107" i="1"/>
  <c r="AC108" i="1"/>
  <c r="AA137" i="1"/>
  <c r="AA138" i="1" s="1"/>
  <c r="Y140" i="1"/>
  <c r="D142" i="13" l="1"/>
  <c r="E141" i="13"/>
  <c r="C142" i="13"/>
  <c r="B142" i="13"/>
  <c r="AD108" i="1"/>
  <c r="AC109" i="1"/>
  <c r="AA139" i="1"/>
  <c r="Y141" i="1"/>
  <c r="E142" i="13" l="1"/>
  <c r="C143" i="13"/>
  <c r="B143" i="13"/>
  <c r="B144" i="13" s="1"/>
  <c r="D143" i="13"/>
  <c r="D144" i="13" s="1"/>
  <c r="AD109" i="1"/>
  <c r="AC110" i="1"/>
  <c r="Y142" i="1"/>
  <c r="AA140" i="1"/>
  <c r="C144" i="13" l="1"/>
  <c r="E143" i="13"/>
  <c r="AD110" i="1"/>
  <c r="AC111" i="1"/>
  <c r="Y143" i="1"/>
  <c r="AA141" i="1"/>
  <c r="E144" i="13" l="1"/>
  <c r="C145" i="13"/>
  <c r="D145" i="13"/>
  <c r="B145" i="13"/>
  <c r="B146" i="13" s="1"/>
  <c r="AD111" i="1"/>
  <c r="AC112" i="1"/>
  <c r="Y144" i="1"/>
  <c r="AA142" i="1"/>
  <c r="D146" i="13" l="1"/>
  <c r="E145" i="13"/>
  <c r="C146" i="13"/>
  <c r="AD112" i="1"/>
  <c r="AC113" i="1"/>
  <c r="AA143" i="1"/>
  <c r="Y145" i="1"/>
  <c r="C147" i="13" l="1"/>
  <c r="E146" i="13"/>
  <c r="D147" i="13"/>
  <c r="D148" i="13" s="1"/>
  <c r="B147" i="13"/>
  <c r="B148" i="13" s="1"/>
  <c r="AD113" i="1"/>
  <c r="AC114" i="1"/>
  <c r="AA144" i="1"/>
  <c r="Y146" i="1"/>
  <c r="C148" i="13" l="1"/>
  <c r="E147" i="13"/>
  <c r="AD114" i="1"/>
  <c r="AC115" i="1"/>
  <c r="Y147" i="1"/>
  <c r="AA145" i="1"/>
  <c r="C149" i="13" l="1"/>
  <c r="E148" i="13"/>
  <c r="B149" i="13"/>
  <c r="B150" i="13" s="1"/>
  <c r="D149" i="13"/>
  <c r="D150" i="13" s="1"/>
  <c r="AD115" i="1"/>
  <c r="AC116" i="1"/>
  <c r="AA146" i="1"/>
  <c r="Y148" i="1"/>
  <c r="C150" i="13" l="1"/>
  <c r="E149" i="13"/>
  <c r="AD116" i="1"/>
  <c r="AC117" i="1"/>
  <c r="AA147" i="1"/>
  <c r="Y149" i="1"/>
  <c r="C151" i="13" l="1"/>
  <c r="E150" i="13"/>
  <c r="B151" i="13"/>
  <c r="B152" i="13" s="1"/>
  <c r="D151" i="13"/>
  <c r="D152" i="13" s="1"/>
  <c r="AD117" i="1"/>
  <c r="AC118" i="1"/>
  <c r="AC119" i="1" s="1"/>
  <c r="AC120" i="1" s="1"/>
  <c r="AC121" i="1" s="1"/>
  <c r="AC122" i="1" s="1"/>
  <c r="AC123" i="1" s="1"/>
  <c r="AC124" i="1" s="1"/>
  <c r="AC125" i="1" s="1"/>
  <c r="AC126" i="1" s="1"/>
  <c r="AC127" i="1" s="1"/>
  <c r="AC128" i="1" s="1"/>
  <c r="AC129" i="1" s="1"/>
  <c r="AC130" i="1" s="1"/>
  <c r="AC131" i="1" s="1"/>
  <c r="AC132" i="1" s="1"/>
  <c r="AC133" i="1" s="1"/>
  <c r="AC134" i="1" s="1"/>
  <c r="AC135" i="1" s="1"/>
  <c r="AC136" i="1" s="1"/>
  <c r="AC137" i="1" s="1"/>
  <c r="AC138" i="1" s="1"/>
  <c r="AC139" i="1" s="1"/>
  <c r="AC140" i="1" s="1"/>
  <c r="AC141" i="1" s="1"/>
  <c r="AC142" i="1" s="1"/>
  <c r="AC143" i="1" s="1"/>
  <c r="AC144" i="1" s="1"/>
  <c r="AC145" i="1" s="1"/>
  <c r="Y150" i="1"/>
  <c r="AA148" i="1"/>
  <c r="C152" i="13" l="1"/>
  <c r="E151" i="13"/>
  <c r="AC146" i="1"/>
  <c r="AA149" i="1"/>
  <c r="Y151" i="1"/>
  <c r="C153" i="13" l="1"/>
  <c r="E152" i="13"/>
  <c r="B153" i="13"/>
  <c r="B154" i="13" s="1"/>
  <c r="D153" i="13"/>
  <c r="D154" i="13" s="1"/>
  <c r="AC147" i="1"/>
  <c r="AA150" i="1"/>
  <c r="Y152" i="1"/>
  <c r="C154" i="13" l="1"/>
  <c r="E153" i="13"/>
  <c r="AC148" i="1"/>
  <c r="AC149" i="1" s="1"/>
  <c r="AA151" i="1"/>
  <c r="Y153" i="1"/>
  <c r="C155" i="13" l="1"/>
  <c r="E154" i="13"/>
  <c r="D155" i="13"/>
  <c r="D156" i="13" s="1"/>
  <c r="B155" i="13"/>
  <c r="B156" i="13" s="1"/>
  <c r="AC150" i="1"/>
  <c r="AA152" i="1"/>
  <c r="Y154" i="1"/>
  <c r="C156" i="13" l="1"/>
  <c r="E155" i="13"/>
  <c r="AC151" i="1"/>
  <c r="AC152" i="1" s="1"/>
  <c r="Y155" i="1"/>
  <c r="AA153" i="1"/>
  <c r="E156" i="13" l="1"/>
  <c r="C157" i="13"/>
  <c r="B157" i="13"/>
  <c r="B158" i="13" s="1"/>
  <c r="D157" i="13"/>
  <c r="D158" i="13" s="1"/>
  <c r="AC153" i="1"/>
  <c r="AC154" i="1" s="1"/>
  <c r="Y156" i="1"/>
  <c r="AA154" i="1"/>
  <c r="E157" i="13" l="1"/>
  <c r="C158" i="13"/>
  <c r="AC155" i="1"/>
  <c r="AC156" i="1" s="1"/>
  <c r="AA155" i="1"/>
  <c r="Y157" i="1"/>
  <c r="E158" i="13" l="1"/>
  <c r="C159" i="13"/>
  <c r="B159" i="13"/>
  <c r="D159" i="13"/>
  <c r="D160" i="13" s="1"/>
  <c r="Y158" i="1"/>
  <c r="AC157" i="1"/>
  <c r="AA156" i="1"/>
  <c r="C160" i="13" l="1"/>
  <c r="E159" i="13"/>
  <c r="B160" i="13"/>
  <c r="B161" i="13" s="1"/>
  <c r="AC158" i="1"/>
  <c r="AA157" i="1"/>
  <c r="Y159" i="1"/>
  <c r="E160" i="13" l="1"/>
  <c r="C161" i="13"/>
  <c r="D161" i="13"/>
  <c r="D162" i="13" s="1"/>
  <c r="AA158" i="1"/>
  <c r="Y160" i="1"/>
  <c r="AC159" i="1"/>
  <c r="C162" i="13" l="1"/>
  <c r="E161" i="13"/>
  <c r="D163" i="13"/>
  <c r="B162" i="13"/>
  <c r="B163" i="13" s="1"/>
  <c r="AC160" i="1"/>
  <c r="Y161" i="1"/>
  <c r="AA159" i="1"/>
  <c r="E162" i="13" l="1"/>
  <c r="C163" i="13"/>
  <c r="AA160" i="1"/>
  <c r="Y162" i="1"/>
  <c r="AC161" i="1"/>
  <c r="E163" i="13" l="1"/>
  <c r="C164" i="13"/>
  <c r="D164" i="13"/>
  <c r="B164" i="13"/>
  <c r="Y163" i="1"/>
  <c r="AC162" i="1"/>
  <c r="AA161" i="1"/>
  <c r="B165" i="13" l="1"/>
  <c r="C165" i="13"/>
  <c r="E164" i="13"/>
  <c r="D165" i="13"/>
  <c r="AC163" i="1"/>
  <c r="AA162" i="1"/>
  <c r="Y164" i="1"/>
  <c r="D166" i="13" l="1"/>
  <c r="E165" i="13"/>
  <c r="C166" i="13"/>
  <c r="B166" i="13"/>
  <c r="AA163" i="1"/>
  <c r="Y165" i="1"/>
  <c r="AC164" i="1"/>
  <c r="B167" i="13" l="1"/>
  <c r="E166" i="13"/>
  <c r="C167" i="13"/>
  <c r="D167" i="13"/>
  <c r="Y166" i="1"/>
  <c r="AC165" i="1"/>
  <c r="AA164" i="1"/>
  <c r="C168" i="13" l="1"/>
  <c r="E167" i="13"/>
  <c r="D168" i="13"/>
  <c r="D169" i="13" s="1"/>
  <c r="B168" i="13"/>
  <c r="B169" i="13" s="1"/>
  <c r="AC166" i="1"/>
  <c r="AA165" i="1"/>
  <c r="Y167" i="1"/>
  <c r="E168" i="13" l="1"/>
  <c r="C169" i="13"/>
  <c r="Y168" i="1"/>
  <c r="AA166" i="1"/>
  <c r="AC167" i="1"/>
  <c r="E169" i="13" l="1"/>
  <c r="C170" i="13"/>
  <c r="D170" i="13"/>
  <c r="B170" i="13"/>
  <c r="AA167" i="1"/>
  <c r="AC168" i="1"/>
  <c r="Y169" i="1"/>
  <c r="B171" i="13" l="1"/>
  <c r="D171" i="13"/>
  <c r="E170" i="13"/>
  <c r="C171" i="13"/>
  <c r="B172" i="13" s="1"/>
  <c r="AC169" i="1"/>
  <c r="Y170" i="1"/>
  <c r="AA168" i="1"/>
  <c r="E171" i="13" l="1"/>
  <c r="C172" i="13"/>
  <c r="D172" i="13"/>
  <c r="Y171" i="1"/>
  <c r="AC170" i="1"/>
  <c r="AA169" i="1"/>
  <c r="E172" i="13" l="1"/>
  <c r="C173" i="13"/>
  <c r="D173" i="13"/>
  <c r="B173" i="13"/>
  <c r="B174" i="13" s="1"/>
  <c r="AC171" i="1"/>
  <c r="AA170" i="1"/>
  <c r="Y172" i="1"/>
  <c r="D174" i="13" l="1"/>
  <c r="C174" i="13"/>
  <c r="E173" i="13"/>
  <c r="Y173" i="1"/>
  <c r="AA171" i="1"/>
  <c r="AC172" i="1"/>
  <c r="E174" i="13" l="1"/>
  <c r="C175" i="13"/>
  <c r="B175" i="13"/>
  <c r="D175" i="13"/>
  <c r="D176" i="13" s="1"/>
  <c r="AA172" i="1"/>
  <c r="AC173" i="1"/>
  <c r="Y174" i="1"/>
  <c r="E175" i="13" l="1"/>
  <c r="C176" i="13"/>
  <c r="B176" i="13"/>
  <c r="AC174" i="1"/>
  <c r="Y175" i="1"/>
  <c r="AA173" i="1"/>
  <c r="E176" i="13" l="1"/>
  <c r="C177" i="13"/>
  <c r="B177" i="13"/>
  <c r="D177" i="13"/>
  <c r="D178" i="13" s="1"/>
  <c r="Y176" i="1"/>
  <c r="AA174" i="1"/>
  <c r="AC175" i="1"/>
  <c r="C178" i="13" l="1"/>
  <c r="E177" i="13"/>
  <c r="B178" i="13"/>
  <c r="B179" i="13" s="1"/>
  <c r="AC176" i="1"/>
  <c r="AA175" i="1"/>
  <c r="Y177" i="1"/>
  <c r="C179" i="13" l="1"/>
  <c r="E178" i="13"/>
  <c r="D179" i="13"/>
  <c r="D180" i="13" s="1"/>
  <c r="AA176" i="1"/>
  <c r="AC177" i="1"/>
  <c r="Y178" i="1"/>
  <c r="E179" i="13" l="1"/>
  <c r="C180" i="13"/>
  <c r="B180" i="13"/>
  <c r="Y179" i="1"/>
  <c r="AA177" i="1"/>
  <c r="AC178" i="1"/>
  <c r="B181" i="13" l="1"/>
  <c r="E180" i="13"/>
  <c r="C181" i="13"/>
  <c r="D181" i="13"/>
  <c r="AC179" i="1"/>
  <c r="AA178" i="1"/>
  <c r="Y180" i="1"/>
  <c r="D182" i="13" l="1"/>
  <c r="E181" i="13"/>
  <c r="C182" i="13"/>
  <c r="B182" i="13"/>
  <c r="AA179" i="1"/>
  <c r="Y181" i="1"/>
  <c r="AC180" i="1"/>
  <c r="B183" i="13" l="1"/>
  <c r="E182" i="13"/>
  <c r="C183" i="13"/>
  <c r="D183" i="13"/>
  <c r="AC181" i="1"/>
  <c r="AA180" i="1"/>
  <c r="Y182" i="1"/>
  <c r="D184" i="13" l="1"/>
  <c r="E183" i="13"/>
  <c r="C184" i="13"/>
  <c r="B184" i="13"/>
  <c r="Y183" i="1"/>
  <c r="AA181" i="1"/>
  <c r="AC182" i="1"/>
  <c r="B185" i="13" l="1"/>
  <c r="C185" i="13"/>
  <c r="E184" i="13"/>
  <c r="B186" i="13"/>
  <c r="D185" i="13"/>
  <c r="D186" i="13" s="1"/>
  <c r="AC183" i="1"/>
  <c r="AA182" i="1"/>
  <c r="Y184" i="1"/>
  <c r="C186" i="13" l="1"/>
  <c r="E185" i="13"/>
  <c r="Y185" i="1"/>
  <c r="AA183" i="1"/>
  <c r="AC184" i="1"/>
  <c r="E186" i="13" l="1"/>
  <c r="C187" i="13"/>
  <c r="B187" i="13"/>
  <c r="D187" i="13"/>
  <c r="D188" i="13" s="1"/>
  <c r="AC185" i="1"/>
  <c r="AA184" i="1"/>
  <c r="Y186" i="1"/>
  <c r="E187" i="13" l="1"/>
  <c r="C188" i="13"/>
  <c r="B188" i="13"/>
  <c r="AA185" i="1"/>
  <c r="AC186" i="1"/>
  <c r="C189" i="13" l="1"/>
  <c r="E188" i="13"/>
  <c r="B189" i="13"/>
  <c r="B190" i="13" s="1"/>
  <c r="D189" i="13"/>
  <c r="D190" i="13" s="1"/>
  <c r="AA186" i="1"/>
  <c r="C190" i="13" l="1"/>
  <c r="E189" i="13"/>
  <c r="B21" i="6"/>
  <c r="E190" i="13" l="1"/>
  <c r="C191" i="13"/>
  <c r="B191" i="13"/>
  <c r="D191" i="13"/>
  <c r="D192" i="13" s="1"/>
  <c r="R26" i="1"/>
  <c r="S26" i="1"/>
  <c r="B32" i="6"/>
  <c r="B33" i="6"/>
  <c r="B192" i="13" l="1"/>
  <c r="E191" i="13"/>
  <c r="C192" i="13"/>
  <c r="T26" i="1"/>
  <c r="B34" i="6"/>
  <c r="N25" i="1" s="1"/>
  <c r="O25" i="1" s="1"/>
  <c r="R27" i="1"/>
  <c r="U27" i="1"/>
  <c r="S27" i="1"/>
  <c r="T27" i="1" s="1"/>
  <c r="N256" i="1" l="1"/>
  <c r="N189" i="1"/>
  <c r="N248" i="1"/>
  <c r="N298" i="1"/>
  <c r="N216" i="1"/>
  <c r="N257" i="1"/>
  <c r="N190" i="1"/>
  <c r="N219" i="1"/>
  <c r="N294" i="1"/>
  <c r="N217" i="1"/>
  <c r="N270" i="1"/>
  <c r="N308" i="1"/>
  <c r="N267" i="1"/>
  <c r="N232" i="1"/>
  <c r="N210" i="1"/>
  <c r="N251" i="1"/>
  <c r="N269" i="1"/>
  <c r="N205" i="1"/>
  <c r="N226" i="1"/>
  <c r="N305" i="1"/>
  <c r="N220" i="1"/>
  <c r="N272" i="1"/>
  <c r="N197" i="1"/>
  <c r="N275" i="1"/>
  <c r="N235" i="1"/>
  <c r="N265" i="1"/>
  <c r="N200" i="1"/>
  <c r="N222" i="1"/>
  <c r="N208" i="1"/>
  <c r="N240" i="1"/>
  <c r="N274" i="1"/>
  <c r="N234" i="1"/>
  <c r="N307" i="1"/>
  <c r="N224" i="1"/>
  <c r="N281" i="1"/>
  <c r="N221" i="1"/>
  <c r="N278" i="1"/>
  <c r="N239" i="1"/>
  <c r="N268" i="1"/>
  <c r="N254" i="1"/>
  <c r="N228" i="1"/>
  <c r="N188" i="1"/>
  <c r="N225" i="1"/>
  <c r="N276" i="1"/>
  <c r="N213" i="1"/>
  <c r="N259" i="1"/>
  <c r="N290" i="1"/>
  <c r="N238" i="1"/>
  <c r="N280" i="1"/>
  <c r="N194" i="1"/>
  <c r="N260" i="1"/>
  <c r="N202" i="1"/>
  <c r="N229" i="1"/>
  <c r="N283" i="1"/>
  <c r="N247" i="1"/>
  <c r="N289" i="1"/>
  <c r="N250" i="1"/>
  <c r="N204" i="1"/>
  <c r="N223" i="1"/>
  <c r="N227" i="1"/>
  <c r="N287" i="1"/>
  <c r="N215" i="1"/>
  <c r="N262" i="1"/>
  <c r="N301" i="1"/>
  <c r="N243" i="1"/>
  <c r="N285" i="1"/>
  <c r="N206" i="1"/>
  <c r="N263" i="1"/>
  <c r="N187" i="1"/>
  <c r="N231" i="1"/>
  <c r="N286" i="1"/>
  <c r="N253" i="1"/>
  <c r="N291" i="1"/>
  <c r="N273" i="1"/>
  <c r="N218" i="1"/>
  <c r="N292" i="1"/>
  <c r="N233" i="1"/>
  <c r="N271" i="1"/>
  <c r="N304" i="1"/>
  <c r="N246" i="1"/>
  <c r="N293" i="1"/>
  <c r="N209" i="1"/>
  <c r="N266" i="1"/>
  <c r="N192" i="1"/>
  <c r="N241" i="1"/>
  <c r="N297" i="1"/>
  <c r="N258" i="1"/>
  <c r="N198" i="1"/>
  <c r="N284" i="1"/>
  <c r="N193" i="1"/>
  <c r="N236" i="1"/>
  <c r="N306" i="1"/>
  <c r="N237" i="1"/>
  <c r="N279" i="1"/>
  <c r="N191" i="1"/>
  <c r="N249" i="1"/>
  <c r="N296" i="1"/>
  <c r="N211" i="1"/>
  <c r="N277" i="1"/>
  <c r="N201" i="1"/>
  <c r="N244" i="1"/>
  <c r="N299" i="1"/>
  <c r="N261" i="1"/>
  <c r="N207" i="1"/>
  <c r="N295" i="1"/>
  <c r="N230" i="1"/>
  <c r="N199" i="1"/>
  <c r="N245" i="1"/>
  <c r="N195" i="1"/>
  <c r="N242" i="1"/>
  <c r="N282" i="1"/>
  <c r="N196" i="1"/>
  <c r="N252" i="1"/>
  <c r="N302" i="1"/>
  <c r="N214" i="1"/>
  <c r="N288" i="1"/>
  <c r="N203" i="1"/>
  <c r="N255" i="1"/>
  <c r="N303" i="1"/>
  <c r="N264" i="1"/>
  <c r="N212" i="1"/>
  <c r="N300" i="1"/>
  <c r="C193" i="13"/>
  <c r="E192" i="13"/>
  <c r="B193" i="13"/>
  <c r="B194" i="13" s="1"/>
  <c r="D193" i="13"/>
  <c r="N73" i="1"/>
  <c r="O73" i="1" s="1"/>
  <c r="M25" i="1"/>
  <c r="S28" i="1"/>
  <c r="U28" i="1"/>
  <c r="R28" i="1"/>
  <c r="N98" i="1"/>
  <c r="O98" i="1" s="1"/>
  <c r="N133" i="1"/>
  <c r="O133" i="1" s="1"/>
  <c r="N150" i="1"/>
  <c r="O150" i="1" s="1"/>
  <c r="N175" i="1"/>
  <c r="O175" i="1" s="1"/>
  <c r="N184" i="1"/>
  <c r="O184" i="1" s="1"/>
  <c r="N82" i="1"/>
  <c r="O82" i="1" s="1"/>
  <c r="N91" i="1"/>
  <c r="O91" i="1" s="1"/>
  <c r="N155" i="1"/>
  <c r="O155" i="1" s="1"/>
  <c r="N157" i="1"/>
  <c r="O157" i="1" s="1"/>
  <c r="N174" i="1"/>
  <c r="O174" i="1" s="1"/>
  <c r="N104" i="1"/>
  <c r="O104" i="1" s="1"/>
  <c r="N137" i="1"/>
  <c r="O137" i="1" s="1"/>
  <c r="N154" i="1"/>
  <c r="O154" i="1" s="1"/>
  <c r="N124" i="1"/>
  <c r="O124" i="1" s="1"/>
  <c r="N149" i="1"/>
  <c r="O149" i="1" s="1"/>
  <c r="N99" i="1"/>
  <c r="O99" i="1" s="1"/>
  <c r="N128" i="1"/>
  <c r="O128" i="1" s="1"/>
  <c r="N132" i="1"/>
  <c r="O132" i="1" s="1"/>
  <c r="N165" i="1"/>
  <c r="O165" i="1" s="1"/>
  <c r="N87" i="1"/>
  <c r="O87" i="1" s="1"/>
  <c r="N96" i="1"/>
  <c r="O96" i="1" s="1"/>
  <c r="N97" i="1"/>
  <c r="O97" i="1" s="1"/>
  <c r="N114" i="1"/>
  <c r="O114" i="1" s="1"/>
  <c r="N107" i="1"/>
  <c r="O107" i="1" s="1"/>
  <c r="N171" i="1"/>
  <c r="O171" i="1" s="1"/>
  <c r="N94" i="1"/>
  <c r="O94" i="1" s="1"/>
  <c r="N111" i="1"/>
  <c r="O111" i="1" s="1"/>
  <c r="N144" i="1"/>
  <c r="O144" i="1" s="1"/>
  <c r="N169" i="1"/>
  <c r="O169" i="1" s="1"/>
  <c r="N178" i="1"/>
  <c r="O178" i="1" s="1"/>
  <c r="N140" i="1"/>
  <c r="O140" i="1" s="1"/>
  <c r="N81" i="1"/>
  <c r="O81" i="1" s="1"/>
  <c r="N181" i="1"/>
  <c r="O181" i="1" s="1"/>
  <c r="N103" i="1"/>
  <c r="O103" i="1" s="1"/>
  <c r="N113" i="1"/>
  <c r="O113" i="1" s="1"/>
  <c r="N130" i="1"/>
  <c r="O130" i="1" s="1"/>
  <c r="N115" i="1"/>
  <c r="O115" i="1" s="1"/>
  <c r="N179" i="1"/>
  <c r="O179" i="1" s="1"/>
  <c r="N110" i="1"/>
  <c r="O110" i="1" s="1"/>
  <c r="N127" i="1"/>
  <c r="N160" i="1"/>
  <c r="O160" i="1" s="1"/>
  <c r="N185" i="1"/>
  <c r="O185" i="1" s="1"/>
  <c r="N84" i="1"/>
  <c r="O84" i="1" s="1"/>
  <c r="N148" i="1"/>
  <c r="O148" i="1" s="1"/>
  <c r="N153" i="1"/>
  <c r="O153" i="1" s="1"/>
  <c r="N86" i="1"/>
  <c r="O86" i="1" s="1"/>
  <c r="N146" i="1"/>
  <c r="O146" i="1" s="1"/>
  <c r="N93" i="1"/>
  <c r="O93" i="1" s="1"/>
  <c r="N126" i="1"/>
  <c r="N143" i="1"/>
  <c r="O143" i="1" s="1"/>
  <c r="N176" i="1"/>
  <c r="O176" i="1" s="1"/>
  <c r="N90" i="1"/>
  <c r="O90" i="1" s="1"/>
  <c r="N92" i="1"/>
  <c r="O92" i="1" s="1"/>
  <c r="N156" i="1"/>
  <c r="O156" i="1" s="1"/>
  <c r="N80" i="1"/>
  <c r="O80" i="1" s="1"/>
  <c r="N95" i="1"/>
  <c r="O95" i="1" s="1"/>
  <c r="N112" i="1"/>
  <c r="O112" i="1" s="1"/>
  <c r="N120" i="1"/>
  <c r="O120" i="1" s="1"/>
  <c r="N102" i="1"/>
  <c r="O102" i="1" s="1"/>
  <c r="N136" i="1"/>
  <c r="O136" i="1" s="1"/>
  <c r="N145" i="1"/>
  <c r="O145" i="1" s="1"/>
  <c r="N170" i="1"/>
  <c r="O170" i="1" s="1"/>
  <c r="N131" i="1"/>
  <c r="O131" i="1" s="1"/>
  <c r="N109" i="1"/>
  <c r="O109" i="1" s="1"/>
  <c r="N142" i="1"/>
  <c r="O142" i="1" s="1"/>
  <c r="N159" i="1"/>
  <c r="O159" i="1" s="1"/>
  <c r="N89" i="1"/>
  <c r="O89" i="1" s="1"/>
  <c r="N106" i="1"/>
  <c r="O106" i="1" s="1"/>
  <c r="N100" i="1"/>
  <c r="O100" i="1" s="1"/>
  <c r="N164" i="1"/>
  <c r="O164" i="1" s="1"/>
  <c r="N129" i="1"/>
  <c r="O129" i="1" s="1"/>
  <c r="N85" i="1"/>
  <c r="O85" i="1" s="1"/>
  <c r="N101" i="1"/>
  <c r="O101" i="1" s="1"/>
  <c r="N151" i="1"/>
  <c r="O151" i="1" s="1"/>
  <c r="N161" i="1"/>
  <c r="O161" i="1" s="1"/>
  <c r="N186" i="1"/>
  <c r="O186" i="1" s="1"/>
  <c r="N139" i="1"/>
  <c r="O139" i="1" s="1"/>
  <c r="N125" i="1"/>
  <c r="O125" i="1" s="1"/>
  <c r="N158" i="1"/>
  <c r="O158" i="1" s="1"/>
  <c r="N183" i="1"/>
  <c r="O183" i="1" s="1"/>
  <c r="N105" i="1"/>
  <c r="O105" i="1" s="1"/>
  <c r="N122" i="1"/>
  <c r="O122" i="1" s="1"/>
  <c r="N108" i="1"/>
  <c r="O108" i="1" s="1"/>
  <c r="N172" i="1"/>
  <c r="O172" i="1" s="1"/>
  <c r="N182" i="1"/>
  <c r="O182" i="1" s="1"/>
  <c r="N163" i="1"/>
  <c r="O163" i="1" s="1"/>
  <c r="N162" i="1"/>
  <c r="O162" i="1" s="1"/>
  <c r="N173" i="1"/>
  <c r="O173" i="1" s="1"/>
  <c r="N119" i="1"/>
  <c r="O119" i="1" s="1"/>
  <c r="N123" i="1"/>
  <c r="O123" i="1" s="1"/>
  <c r="N135" i="1"/>
  <c r="O135" i="1" s="1"/>
  <c r="N118" i="1"/>
  <c r="O118" i="1" s="1"/>
  <c r="N152" i="1"/>
  <c r="O152" i="1" s="1"/>
  <c r="N117" i="1"/>
  <c r="O117" i="1" s="1"/>
  <c r="N134" i="1"/>
  <c r="O134" i="1" s="1"/>
  <c r="N167" i="1"/>
  <c r="O167" i="1" s="1"/>
  <c r="N168" i="1"/>
  <c r="O168" i="1" s="1"/>
  <c r="N177" i="1"/>
  <c r="O177" i="1" s="1"/>
  <c r="N83" i="1"/>
  <c r="O83" i="1" s="1"/>
  <c r="N147" i="1"/>
  <c r="O147" i="1" s="1"/>
  <c r="N141" i="1"/>
  <c r="O141" i="1" s="1"/>
  <c r="N166" i="1"/>
  <c r="O166" i="1" s="1"/>
  <c r="N88" i="1"/>
  <c r="O88" i="1" s="1"/>
  <c r="N121" i="1"/>
  <c r="O121" i="1" s="1"/>
  <c r="N138" i="1"/>
  <c r="O138" i="1" s="1"/>
  <c r="N116" i="1"/>
  <c r="O116" i="1" s="1"/>
  <c r="N180" i="1"/>
  <c r="O180" i="1" s="1"/>
  <c r="N34" i="1"/>
  <c r="O34" i="1" s="1"/>
  <c r="N51" i="1"/>
  <c r="O51" i="1" s="1"/>
  <c r="N47" i="1"/>
  <c r="O47" i="1" s="1"/>
  <c r="N56" i="1"/>
  <c r="O56" i="1" s="1"/>
  <c r="N44" i="1"/>
  <c r="O44" i="1" s="1"/>
  <c r="N53" i="1"/>
  <c r="O53" i="1" s="1"/>
  <c r="N70" i="1"/>
  <c r="O70" i="1" s="1"/>
  <c r="N63" i="1"/>
  <c r="O63" i="1" s="1"/>
  <c r="N68" i="1"/>
  <c r="O68" i="1" s="1"/>
  <c r="N55" i="1"/>
  <c r="O55" i="1" s="1"/>
  <c r="N64" i="1"/>
  <c r="O64" i="1" s="1"/>
  <c r="N67" i="1"/>
  <c r="O67" i="1" s="1"/>
  <c r="N69" i="1"/>
  <c r="O69" i="1" s="1"/>
  <c r="N71" i="1"/>
  <c r="O71" i="1" s="1"/>
  <c r="N72" i="1"/>
  <c r="O72" i="1" s="1"/>
  <c r="N45" i="1"/>
  <c r="O45" i="1" s="1"/>
  <c r="N26" i="1"/>
  <c r="N36" i="1"/>
  <c r="O36" i="1" s="1"/>
  <c r="N46" i="1"/>
  <c r="O46" i="1" s="1"/>
  <c r="N41" i="1"/>
  <c r="O41" i="1" s="1"/>
  <c r="N42" i="1"/>
  <c r="O42" i="1" s="1"/>
  <c r="N52" i="1"/>
  <c r="O52" i="1" s="1"/>
  <c r="N62" i="1"/>
  <c r="O62" i="1" s="1"/>
  <c r="N49" i="1"/>
  <c r="O49" i="1" s="1"/>
  <c r="N50" i="1"/>
  <c r="O50" i="1" s="1"/>
  <c r="N75" i="1"/>
  <c r="O75" i="1" s="1"/>
  <c r="N79" i="1"/>
  <c r="O79" i="1" s="1"/>
  <c r="N32" i="1"/>
  <c r="O32" i="1" s="1"/>
  <c r="N58" i="1"/>
  <c r="O58" i="1" s="1"/>
  <c r="N60" i="1"/>
  <c r="O60" i="1" s="1"/>
  <c r="N78" i="1"/>
  <c r="O78" i="1" s="1"/>
  <c r="N57" i="1"/>
  <c r="O57" i="1" s="1"/>
  <c r="N29" i="1"/>
  <c r="O29" i="1" s="1"/>
  <c r="N33" i="1"/>
  <c r="O33" i="1" s="1"/>
  <c r="N61" i="1"/>
  <c r="O61" i="1" s="1"/>
  <c r="N77" i="1"/>
  <c r="O77" i="1" s="1"/>
  <c r="N59" i="1"/>
  <c r="O59" i="1" s="1"/>
  <c r="N38" i="1"/>
  <c r="O38" i="1" s="1"/>
  <c r="N40" i="1"/>
  <c r="O40" i="1" s="1"/>
  <c r="N74" i="1"/>
  <c r="O74" i="1" s="1"/>
  <c r="N76" i="1"/>
  <c r="O76" i="1" s="1"/>
  <c r="N31" i="1"/>
  <c r="O31" i="1" s="1"/>
  <c r="N65" i="1"/>
  <c r="O65" i="1" s="1"/>
  <c r="N30" i="1"/>
  <c r="O30" i="1" s="1"/>
  <c r="N66" i="1"/>
  <c r="O66" i="1" s="1"/>
  <c r="N27" i="1"/>
  <c r="O27" i="1" s="1"/>
  <c r="N43" i="1"/>
  <c r="O43" i="1" s="1"/>
  <c r="N28" i="1"/>
  <c r="O28" i="1" s="1"/>
  <c r="N54" i="1"/>
  <c r="O54" i="1" s="1"/>
  <c r="N48" i="1"/>
  <c r="O48" i="1" s="1"/>
  <c r="N35" i="1"/>
  <c r="O35" i="1" s="1"/>
  <c r="N37" i="1"/>
  <c r="O37" i="1" s="1"/>
  <c r="N39" i="1"/>
  <c r="O39" i="1" s="1"/>
  <c r="D194" i="13" l="1"/>
  <c r="M264" i="1"/>
  <c r="O264" i="1"/>
  <c r="M196" i="1"/>
  <c r="O196" i="1"/>
  <c r="O207" i="1"/>
  <c r="M207" i="1"/>
  <c r="O249" i="1"/>
  <c r="M249" i="1"/>
  <c r="M198" i="1"/>
  <c r="O198" i="1"/>
  <c r="M246" i="1"/>
  <c r="O246" i="1"/>
  <c r="O253" i="1"/>
  <c r="M253" i="1"/>
  <c r="M301" i="1"/>
  <c r="O301" i="1"/>
  <c r="O289" i="1"/>
  <c r="M289" i="1"/>
  <c r="O238" i="1"/>
  <c r="M238" i="1"/>
  <c r="M254" i="1"/>
  <c r="O254" i="1"/>
  <c r="O234" i="1"/>
  <c r="M234" i="1"/>
  <c r="O275" i="1"/>
  <c r="M275" i="1"/>
  <c r="O251" i="1"/>
  <c r="M251" i="1"/>
  <c r="O219" i="1"/>
  <c r="M219" i="1"/>
  <c r="M303" i="1"/>
  <c r="O303" i="1"/>
  <c r="M282" i="1"/>
  <c r="O282" i="1"/>
  <c r="O261" i="1"/>
  <c r="M261" i="1"/>
  <c r="M191" i="1"/>
  <c r="O191" i="1"/>
  <c r="O258" i="1"/>
  <c r="M258" i="1"/>
  <c r="M304" i="1"/>
  <c r="O304" i="1"/>
  <c r="O286" i="1"/>
  <c r="M286" i="1"/>
  <c r="O262" i="1"/>
  <c r="M262" i="1"/>
  <c r="O247" i="1"/>
  <c r="M247" i="1"/>
  <c r="M290" i="1"/>
  <c r="O290" i="1"/>
  <c r="M268" i="1"/>
  <c r="O268" i="1"/>
  <c r="O274" i="1"/>
  <c r="M274" i="1"/>
  <c r="M197" i="1"/>
  <c r="O197" i="1"/>
  <c r="O210" i="1"/>
  <c r="M210" i="1"/>
  <c r="O190" i="1"/>
  <c r="M190" i="1"/>
  <c r="O255" i="1"/>
  <c r="M255" i="1"/>
  <c r="M242" i="1"/>
  <c r="O242" i="1"/>
  <c r="O299" i="1"/>
  <c r="M299" i="1"/>
  <c r="M279" i="1"/>
  <c r="O279" i="1"/>
  <c r="O297" i="1"/>
  <c r="M297" i="1"/>
  <c r="O271" i="1"/>
  <c r="M271" i="1"/>
  <c r="O231" i="1"/>
  <c r="M231" i="1"/>
  <c r="O215" i="1"/>
  <c r="M215" i="1"/>
  <c r="O283" i="1"/>
  <c r="M283" i="1"/>
  <c r="O259" i="1"/>
  <c r="M259" i="1"/>
  <c r="O239" i="1"/>
  <c r="M239" i="1"/>
  <c r="O240" i="1"/>
  <c r="M240" i="1"/>
  <c r="M272" i="1"/>
  <c r="O272" i="1"/>
  <c r="M232" i="1"/>
  <c r="O232" i="1"/>
  <c r="O257" i="1"/>
  <c r="M257" i="1"/>
  <c r="M203" i="1"/>
  <c r="O203" i="1"/>
  <c r="M195" i="1"/>
  <c r="O195" i="1"/>
  <c r="M244" i="1"/>
  <c r="O244" i="1"/>
  <c r="O237" i="1"/>
  <c r="M237" i="1"/>
  <c r="M241" i="1"/>
  <c r="O241" i="1"/>
  <c r="M233" i="1"/>
  <c r="O233" i="1"/>
  <c r="O187" i="1"/>
  <c r="M187" i="1"/>
  <c r="M287" i="1"/>
  <c r="O287" i="1"/>
  <c r="M229" i="1"/>
  <c r="O229" i="1"/>
  <c r="M213" i="1"/>
  <c r="O213" i="1"/>
  <c r="O278" i="1"/>
  <c r="M278" i="1"/>
  <c r="O208" i="1"/>
  <c r="M208" i="1"/>
  <c r="M220" i="1"/>
  <c r="O220" i="1"/>
  <c r="O267" i="1"/>
  <c r="M267" i="1"/>
  <c r="M216" i="1"/>
  <c r="O216" i="1"/>
  <c r="M288" i="1"/>
  <c r="O288" i="1"/>
  <c r="M245" i="1"/>
  <c r="O245" i="1"/>
  <c r="O201" i="1"/>
  <c r="M201" i="1"/>
  <c r="M306" i="1"/>
  <c r="O306" i="1"/>
  <c r="O192" i="1"/>
  <c r="M192" i="1"/>
  <c r="O292" i="1"/>
  <c r="M292" i="1"/>
  <c r="O263" i="1"/>
  <c r="M263" i="1"/>
  <c r="O227" i="1"/>
  <c r="M227" i="1"/>
  <c r="O202" i="1"/>
  <c r="M202" i="1"/>
  <c r="M276" i="1"/>
  <c r="O276" i="1"/>
  <c r="M221" i="1"/>
  <c r="O221" i="1"/>
  <c r="O222" i="1"/>
  <c r="M222" i="1"/>
  <c r="O305" i="1"/>
  <c r="M305" i="1"/>
  <c r="O308" i="1"/>
  <c r="M308" i="1"/>
  <c r="M298" i="1"/>
  <c r="O298" i="1"/>
  <c r="O214" i="1"/>
  <c r="M214" i="1"/>
  <c r="M199" i="1"/>
  <c r="O199" i="1"/>
  <c r="O277" i="1"/>
  <c r="M277" i="1"/>
  <c r="M236" i="1"/>
  <c r="O236" i="1"/>
  <c r="M266" i="1"/>
  <c r="O266" i="1"/>
  <c r="O218" i="1"/>
  <c r="M218" i="1"/>
  <c r="O206" i="1"/>
  <c r="M206" i="1"/>
  <c r="O223" i="1"/>
  <c r="M223" i="1"/>
  <c r="M260" i="1"/>
  <c r="O260" i="1"/>
  <c r="M225" i="1"/>
  <c r="O225" i="1"/>
  <c r="O281" i="1"/>
  <c r="M281" i="1"/>
  <c r="O200" i="1"/>
  <c r="M200" i="1"/>
  <c r="O226" i="1"/>
  <c r="M226" i="1"/>
  <c r="O270" i="1"/>
  <c r="M270" i="1"/>
  <c r="O248" i="1"/>
  <c r="M248" i="1"/>
  <c r="O300" i="1"/>
  <c r="M300" i="1"/>
  <c r="O302" i="1"/>
  <c r="M302" i="1"/>
  <c r="M230" i="1"/>
  <c r="O230" i="1"/>
  <c r="O211" i="1"/>
  <c r="M211" i="1"/>
  <c r="O193" i="1"/>
  <c r="M193" i="1"/>
  <c r="M209" i="1"/>
  <c r="O209" i="1"/>
  <c r="M273" i="1"/>
  <c r="O273" i="1"/>
  <c r="O285" i="1"/>
  <c r="M285" i="1"/>
  <c r="M204" i="1"/>
  <c r="O204" i="1"/>
  <c r="O194" i="1"/>
  <c r="M194" i="1"/>
  <c r="M188" i="1"/>
  <c r="O188" i="1"/>
  <c r="O224" i="1"/>
  <c r="M224" i="1"/>
  <c r="M265" i="1"/>
  <c r="O265" i="1"/>
  <c r="M205" i="1"/>
  <c r="O205" i="1"/>
  <c r="M217" i="1"/>
  <c r="O217" i="1"/>
  <c r="M189" i="1"/>
  <c r="O189" i="1"/>
  <c r="M212" i="1"/>
  <c r="O212" i="1"/>
  <c r="M252" i="1"/>
  <c r="O252" i="1"/>
  <c r="M295" i="1"/>
  <c r="O295" i="1"/>
  <c r="M296" i="1"/>
  <c r="O296" i="1"/>
  <c r="M284" i="1"/>
  <c r="O284" i="1"/>
  <c r="M293" i="1"/>
  <c r="O293" i="1"/>
  <c r="O291" i="1"/>
  <c r="M291" i="1"/>
  <c r="O243" i="1"/>
  <c r="M243" i="1"/>
  <c r="M250" i="1"/>
  <c r="O250" i="1"/>
  <c r="M280" i="1"/>
  <c r="O280" i="1"/>
  <c r="O228" i="1"/>
  <c r="M228" i="1"/>
  <c r="M307" i="1"/>
  <c r="O307" i="1"/>
  <c r="O235" i="1"/>
  <c r="M235" i="1"/>
  <c r="O269" i="1"/>
  <c r="M269" i="1"/>
  <c r="O294" i="1"/>
  <c r="M294" i="1"/>
  <c r="O256" i="1"/>
  <c r="M256" i="1"/>
  <c r="E193" i="13"/>
  <c r="C194" i="13"/>
  <c r="M73" i="1"/>
  <c r="O26" i="1"/>
  <c r="T28" i="1"/>
  <c r="R29" i="1"/>
  <c r="U29" i="1"/>
  <c r="M27" i="1"/>
  <c r="M43" i="1"/>
  <c r="M40" i="1"/>
  <c r="M78" i="1"/>
  <c r="M62" i="1"/>
  <c r="M72" i="1"/>
  <c r="M70" i="1"/>
  <c r="M116" i="1"/>
  <c r="M177" i="1"/>
  <c r="M123" i="1"/>
  <c r="M122" i="1"/>
  <c r="M151" i="1"/>
  <c r="M159" i="1"/>
  <c r="M120" i="1"/>
  <c r="M143" i="1"/>
  <c r="M185" i="1"/>
  <c r="M103" i="1"/>
  <c r="M94" i="1"/>
  <c r="M132" i="1"/>
  <c r="M174" i="1"/>
  <c r="M133" i="1"/>
  <c r="M38" i="1"/>
  <c r="M60" i="1"/>
  <c r="M52" i="1"/>
  <c r="M71" i="1"/>
  <c r="M53" i="1"/>
  <c r="M138" i="1"/>
  <c r="M168" i="1"/>
  <c r="M119" i="1"/>
  <c r="M105" i="1"/>
  <c r="M101" i="1"/>
  <c r="M142" i="1"/>
  <c r="M112" i="1"/>
  <c r="M126" i="1"/>
  <c r="M160" i="1"/>
  <c r="M181" i="1"/>
  <c r="M171" i="1"/>
  <c r="M128" i="1"/>
  <c r="M157" i="1"/>
  <c r="M98" i="1"/>
  <c r="M66" i="1"/>
  <c r="M59" i="1"/>
  <c r="M58" i="1"/>
  <c r="M42" i="1"/>
  <c r="M69" i="1"/>
  <c r="M44" i="1"/>
  <c r="M121" i="1"/>
  <c r="M167" i="1"/>
  <c r="M173" i="1"/>
  <c r="M183" i="1"/>
  <c r="M85" i="1"/>
  <c r="M109" i="1"/>
  <c r="M95" i="1"/>
  <c r="M93" i="1"/>
  <c r="M127" i="1"/>
  <c r="M81" i="1"/>
  <c r="M107" i="1"/>
  <c r="M99" i="1"/>
  <c r="M155" i="1"/>
  <c r="M37" i="1"/>
  <c r="M30" i="1"/>
  <c r="M77" i="1"/>
  <c r="M32" i="1"/>
  <c r="M41" i="1"/>
  <c r="M67" i="1"/>
  <c r="M56" i="1"/>
  <c r="M88" i="1"/>
  <c r="M134" i="1"/>
  <c r="M162" i="1"/>
  <c r="M158" i="1"/>
  <c r="M129" i="1"/>
  <c r="M131" i="1"/>
  <c r="M80" i="1"/>
  <c r="M146" i="1"/>
  <c r="M110" i="1"/>
  <c r="M140" i="1"/>
  <c r="M114" i="1"/>
  <c r="M149" i="1"/>
  <c r="M91" i="1"/>
  <c r="M39" i="1"/>
  <c r="M35" i="1"/>
  <c r="M65" i="1"/>
  <c r="M61" i="1"/>
  <c r="M79" i="1"/>
  <c r="M46" i="1"/>
  <c r="M64" i="1"/>
  <c r="M47" i="1"/>
  <c r="M166" i="1"/>
  <c r="M117" i="1"/>
  <c r="M163" i="1"/>
  <c r="M125" i="1"/>
  <c r="M164" i="1"/>
  <c r="M170" i="1"/>
  <c r="M156" i="1"/>
  <c r="M86" i="1"/>
  <c r="M179" i="1"/>
  <c r="M178" i="1"/>
  <c r="M97" i="1"/>
  <c r="M124" i="1"/>
  <c r="M82" i="1"/>
  <c r="M31" i="1"/>
  <c r="M33" i="1"/>
  <c r="M75" i="1"/>
  <c r="M36" i="1"/>
  <c r="M55" i="1"/>
  <c r="M51" i="1"/>
  <c r="M141" i="1"/>
  <c r="M152" i="1"/>
  <c r="M182" i="1"/>
  <c r="M139" i="1"/>
  <c r="M100" i="1"/>
  <c r="M145" i="1"/>
  <c r="M92" i="1"/>
  <c r="M153" i="1"/>
  <c r="M115" i="1"/>
  <c r="M169" i="1"/>
  <c r="M96" i="1"/>
  <c r="M154" i="1"/>
  <c r="M184" i="1"/>
  <c r="M48" i="1"/>
  <c r="M54" i="1"/>
  <c r="M76" i="1"/>
  <c r="M29" i="1"/>
  <c r="M50" i="1"/>
  <c r="M26" i="1"/>
  <c r="M68" i="1"/>
  <c r="M34" i="1"/>
  <c r="M147" i="1"/>
  <c r="M118" i="1"/>
  <c r="M172" i="1"/>
  <c r="M186" i="1"/>
  <c r="M106" i="1"/>
  <c r="M136" i="1"/>
  <c r="M90" i="1"/>
  <c r="M148" i="1"/>
  <c r="M130" i="1"/>
  <c r="M144" i="1"/>
  <c r="M87" i="1"/>
  <c r="M137" i="1"/>
  <c r="M175" i="1"/>
  <c r="M28" i="1"/>
  <c r="M74" i="1"/>
  <c r="M57" i="1"/>
  <c r="M49" i="1"/>
  <c r="M45" i="1"/>
  <c r="M63" i="1"/>
  <c r="M180" i="1"/>
  <c r="M83" i="1"/>
  <c r="M135" i="1"/>
  <c r="M108" i="1"/>
  <c r="M161" i="1"/>
  <c r="M89" i="1"/>
  <c r="M102" i="1"/>
  <c r="M176" i="1"/>
  <c r="M84" i="1"/>
  <c r="M113" i="1"/>
  <c r="M111" i="1"/>
  <c r="M165" i="1"/>
  <c r="M104" i="1"/>
  <c r="M150" i="1"/>
  <c r="S29" i="1"/>
  <c r="T29" i="1" s="1"/>
  <c r="E194" i="13" l="1"/>
  <c r="C195" i="13"/>
  <c r="B195" i="13"/>
  <c r="D195" i="13"/>
  <c r="D196" i="13" s="1"/>
  <c r="S30" i="1"/>
  <c r="U30" i="1"/>
  <c r="R30" i="1"/>
  <c r="B196" i="13" l="1"/>
  <c r="C196" i="13"/>
  <c r="B197" i="13" s="1"/>
  <c r="E195" i="13"/>
  <c r="R31" i="1"/>
  <c r="U31" i="1"/>
  <c r="T30" i="1"/>
  <c r="S31" i="1"/>
  <c r="T31" i="1" s="1"/>
  <c r="E196" i="13" l="1"/>
  <c r="C197" i="13"/>
  <c r="B198" i="13" s="1"/>
  <c r="D197" i="13"/>
  <c r="S32" i="1"/>
  <c r="U32" i="1"/>
  <c r="R32" i="1"/>
  <c r="D198" i="13" l="1"/>
  <c r="C198" i="13"/>
  <c r="E197" i="13"/>
  <c r="B199" i="13"/>
  <c r="T32" i="1"/>
  <c r="R33" i="1"/>
  <c r="U33" i="1"/>
  <c r="S33" i="1"/>
  <c r="T33" i="1" s="1"/>
  <c r="E198" i="13" l="1"/>
  <c r="C199" i="13"/>
  <c r="D199" i="13"/>
  <c r="S34" i="1"/>
  <c r="U34" i="1"/>
  <c r="R34" i="1"/>
  <c r="C200" i="13" l="1"/>
  <c r="E199" i="13"/>
  <c r="D200" i="13"/>
  <c r="D201" i="13" s="1"/>
  <c r="B200" i="13"/>
  <c r="B201" i="13" s="1"/>
  <c r="U35" i="1"/>
  <c r="R35" i="1"/>
  <c r="T34" i="1"/>
  <c r="S35" i="1"/>
  <c r="T35" i="1" s="1"/>
  <c r="E200" i="13" l="1"/>
  <c r="C201" i="13"/>
  <c r="S36" i="1"/>
  <c r="U36" i="1"/>
  <c r="R36" i="1"/>
  <c r="E201" i="13" l="1"/>
  <c r="C202" i="13"/>
  <c r="D202" i="13"/>
  <c r="B202" i="13"/>
  <c r="B203" i="13" s="1"/>
  <c r="U37" i="1"/>
  <c r="R37" i="1"/>
  <c r="T36" i="1"/>
  <c r="S37" i="1"/>
  <c r="T37" i="1" s="1"/>
  <c r="D203" i="13" l="1"/>
  <c r="E202" i="13"/>
  <c r="C203" i="13"/>
  <c r="B204" i="13" s="1"/>
  <c r="S38" i="1"/>
  <c r="U38" i="1"/>
  <c r="R38" i="1"/>
  <c r="C204" i="13" l="1"/>
  <c r="E203" i="13"/>
  <c r="D204" i="13"/>
  <c r="D205" i="13" s="1"/>
  <c r="U39" i="1"/>
  <c r="R39" i="1"/>
  <c r="T38" i="1"/>
  <c r="S39" i="1"/>
  <c r="T39" i="1" s="1"/>
  <c r="E204" i="13" l="1"/>
  <c r="C205" i="13"/>
  <c r="B205" i="13"/>
  <c r="B206" i="13" s="1"/>
  <c r="S40" i="1"/>
  <c r="U40" i="1"/>
  <c r="R40" i="1"/>
  <c r="D206" i="13" l="1"/>
  <c r="E205" i="13"/>
  <c r="C206" i="13"/>
  <c r="B207" i="13" s="1"/>
  <c r="R41" i="1"/>
  <c r="T40" i="1"/>
  <c r="U41" i="1"/>
  <c r="S41" i="1"/>
  <c r="T41" i="1" s="1"/>
  <c r="C207" i="13" l="1"/>
  <c r="E206" i="13"/>
  <c r="D207" i="13"/>
  <c r="D208" i="13" s="1"/>
  <c r="S42" i="1"/>
  <c r="R42" i="1"/>
  <c r="U42" i="1"/>
  <c r="C208" i="13" l="1"/>
  <c r="E207" i="13"/>
  <c r="B208" i="13"/>
  <c r="B209" i="13" s="1"/>
  <c r="R43" i="1"/>
  <c r="T42" i="1"/>
  <c r="U43" i="1"/>
  <c r="S43" i="1"/>
  <c r="T43" i="1" s="1"/>
  <c r="E208" i="13" l="1"/>
  <c r="C209" i="13"/>
  <c r="D209" i="13"/>
  <c r="D210" i="13" s="1"/>
  <c r="S44" i="1"/>
  <c r="U44" i="1"/>
  <c r="R44" i="1"/>
  <c r="E209" i="13" l="1"/>
  <c r="C210" i="13"/>
  <c r="B210" i="13"/>
  <c r="T44" i="1"/>
  <c r="U45" i="1"/>
  <c r="R45" i="1"/>
  <c r="S45" i="1"/>
  <c r="T45" i="1" s="1"/>
  <c r="B211" i="13" l="1"/>
  <c r="E210" i="13"/>
  <c r="C211" i="13"/>
  <c r="D211" i="13"/>
  <c r="D212" i="13" s="1"/>
  <c r="S46" i="1"/>
  <c r="U46" i="1"/>
  <c r="R46" i="1"/>
  <c r="E211" i="13" l="1"/>
  <c r="C212" i="13"/>
  <c r="B212" i="13"/>
  <c r="B213" i="13" s="1"/>
  <c r="U47" i="1"/>
  <c r="R47" i="1"/>
  <c r="T46" i="1"/>
  <c r="S47" i="1"/>
  <c r="T47" i="1" s="1"/>
  <c r="C213" i="13" l="1"/>
  <c r="E212" i="13"/>
  <c r="B214" i="13"/>
  <c r="D213" i="13"/>
  <c r="D214" i="13" s="1"/>
  <c r="S48" i="1"/>
  <c r="U48" i="1"/>
  <c r="R48" i="1"/>
  <c r="C214" i="13" l="1"/>
  <c r="E213" i="13"/>
  <c r="R49" i="1"/>
  <c r="T48" i="1"/>
  <c r="U49" i="1"/>
  <c r="S49" i="1"/>
  <c r="T49" i="1" s="1"/>
  <c r="C215" i="13" l="1"/>
  <c r="E214" i="13"/>
  <c r="B215" i="13"/>
  <c r="B216" i="13" s="1"/>
  <c r="D215" i="13"/>
  <c r="D216" i="13" s="1"/>
  <c r="S50" i="1"/>
  <c r="R50" i="1"/>
  <c r="U50" i="1"/>
  <c r="C216" i="13" l="1"/>
  <c r="E215" i="13"/>
  <c r="R51" i="1"/>
  <c r="T50" i="1"/>
  <c r="U51" i="1"/>
  <c r="S51" i="1"/>
  <c r="T51" i="1" s="1"/>
  <c r="E216" i="13" l="1"/>
  <c r="C217" i="13"/>
  <c r="B217" i="13"/>
  <c r="B218" i="13" s="1"/>
  <c r="D217" i="13"/>
  <c r="D218" i="13" s="1"/>
  <c r="S52" i="1"/>
  <c r="U52" i="1"/>
  <c r="R52" i="1"/>
  <c r="E217" i="13" l="1"/>
  <c r="C218" i="13"/>
  <c r="U53" i="1"/>
  <c r="R53" i="1"/>
  <c r="T52" i="1"/>
  <c r="S53" i="1"/>
  <c r="T53" i="1" s="1"/>
  <c r="E218" i="13" l="1"/>
  <c r="C219" i="13"/>
  <c r="B219" i="13"/>
  <c r="B220" i="13" s="1"/>
  <c r="D219" i="13"/>
  <c r="D220" i="13" s="1"/>
  <c r="S54" i="1"/>
  <c r="U54" i="1"/>
  <c r="R54" i="1"/>
  <c r="C220" i="13" l="1"/>
  <c r="E219" i="13"/>
  <c r="B221" i="13"/>
  <c r="U55" i="1"/>
  <c r="R55" i="1"/>
  <c r="T54" i="1"/>
  <c r="S55" i="1"/>
  <c r="T55" i="1" s="1"/>
  <c r="C221" i="13" l="1"/>
  <c r="E220" i="13"/>
  <c r="D221" i="13"/>
  <c r="S56" i="1"/>
  <c r="U56" i="1"/>
  <c r="R56" i="1"/>
  <c r="D222" i="13" l="1"/>
  <c r="E221" i="13"/>
  <c r="C222" i="13"/>
  <c r="B222" i="13"/>
  <c r="B223" i="13" s="1"/>
  <c r="R57" i="1"/>
  <c r="U57" i="1"/>
  <c r="T56" i="1"/>
  <c r="S57" i="1"/>
  <c r="T57" i="1" s="1"/>
  <c r="C223" i="13" l="1"/>
  <c r="E222" i="13"/>
  <c r="D223" i="13"/>
  <c r="D224" i="13" s="1"/>
  <c r="S58" i="1"/>
  <c r="U58" i="1"/>
  <c r="R58" i="1"/>
  <c r="B224" i="13" l="1"/>
  <c r="C224" i="13"/>
  <c r="E223" i="13"/>
  <c r="U59" i="1"/>
  <c r="R59" i="1"/>
  <c r="T58" i="1"/>
  <c r="S59" i="1"/>
  <c r="T59" i="1" s="1"/>
  <c r="E224" i="13" l="1"/>
  <c r="C225" i="13"/>
  <c r="B225" i="13"/>
  <c r="D225" i="13"/>
  <c r="D226" i="13" s="1"/>
  <c r="S60" i="1"/>
  <c r="U60" i="1"/>
  <c r="R60" i="1"/>
  <c r="E225" i="13" l="1"/>
  <c r="C226" i="13"/>
  <c r="B226" i="13"/>
  <c r="B227" i="13" s="1"/>
  <c r="U61" i="1"/>
  <c r="R61" i="1"/>
  <c r="T60" i="1"/>
  <c r="S61" i="1"/>
  <c r="T61" i="1" s="1"/>
  <c r="E226" i="13" l="1"/>
  <c r="C227" i="13"/>
  <c r="D227" i="13"/>
  <c r="D228" i="13" s="1"/>
  <c r="S62" i="1"/>
  <c r="U62" i="1"/>
  <c r="R62" i="1"/>
  <c r="C228" i="13" l="1"/>
  <c r="E227" i="13"/>
  <c r="B228" i="13"/>
  <c r="B229" i="13" s="1"/>
  <c r="U63" i="1"/>
  <c r="R63" i="1"/>
  <c r="T62" i="1"/>
  <c r="S63" i="1"/>
  <c r="T63" i="1" s="1"/>
  <c r="D229" i="13" l="1"/>
  <c r="C229" i="13"/>
  <c r="E228" i="13"/>
  <c r="S64" i="1"/>
  <c r="U64" i="1"/>
  <c r="R64" i="1"/>
  <c r="E229" i="13" l="1"/>
  <c r="C230" i="13"/>
  <c r="D230" i="13"/>
  <c r="B230" i="13"/>
  <c r="B231" i="13" s="1"/>
  <c r="R65" i="1"/>
  <c r="U65" i="1"/>
  <c r="T64" i="1"/>
  <c r="S65" i="1"/>
  <c r="T65" i="1" s="1"/>
  <c r="C231" i="13" l="1"/>
  <c r="E230" i="13"/>
  <c r="D231" i="13"/>
  <c r="D232" i="13" s="1"/>
  <c r="S66" i="1"/>
  <c r="U66" i="1"/>
  <c r="R66" i="1"/>
  <c r="E231" i="13" l="1"/>
  <c r="C232" i="13"/>
  <c r="B232" i="13"/>
  <c r="B233" i="13" s="1"/>
  <c r="T66" i="1"/>
  <c r="R67" i="1"/>
  <c r="U67" i="1"/>
  <c r="S67" i="1"/>
  <c r="T67" i="1" s="1"/>
  <c r="C233" i="13" l="1"/>
  <c r="E232" i="13"/>
  <c r="B234" i="13"/>
  <c r="D233" i="13"/>
  <c r="D234" i="13" s="1"/>
  <c r="S68" i="1"/>
  <c r="R68" i="1"/>
  <c r="U68" i="1"/>
  <c r="E233" i="13" l="1"/>
  <c r="C234" i="13"/>
  <c r="R69" i="1"/>
  <c r="U69" i="1"/>
  <c r="T68" i="1"/>
  <c r="S69" i="1"/>
  <c r="T69" i="1" s="1"/>
  <c r="D235" i="13" l="1"/>
  <c r="C235" i="13"/>
  <c r="E234" i="13"/>
  <c r="B235" i="13"/>
  <c r="B236" i="13" s="1"/>
  <c r="S70" i="1"/>
  <c r="R70" i="1"/>
  <c r="U70" i="1"/>
  <c r="C236" i="13" l="1"/>
  <c r="E235" i="13"/>
  <c r="D236" i="13"/>
  <c r="D237" i="13" s="1"/>
  <c r="R71" i="1"/>
  <c r="U71" i="1"/>
  <c r="T70" i="1"/>
  <c r="S71" i="1"/>
  <c r="T71" i="1" s="1"/>
  <c r="C237" i="13" l="1"/>
  <c r="E236" i="13"/>
  <c r="B237" i="13"/>
  <c r="B238" i="13" s="1"/>
  <c r="S72" i="1"/>
  <c r="R72" i="1"/>
  <c r="U72" i="1"/>
  <c r="E237" i="13" l="1"/>
  <c r="C238" i="13"/>
  <c r="D238" i="13"/>
  <c r="D239" i="13" s="1"/>
  <c r="R73" i="1"/>
  <c r="U73" i="1"/>
  <c r="T72" i="1"/>
  <c r="S73" i="1"/>
  <c r="T73" i="1" s="1"/>
  <c r="E238" i="13" l="1"/>
  <c r="C239" i="13"/>
  <c r="B239" i="13"/>
  <c r="B240" i="13" s="1"/>
  <c r="S74" i="1"/>
  <c r="R74" i="1"/>
  <c r="U74" i="1"/>
  <c r="C240" i="13" l="1"/>
  <c r="E239" i="13"/>
  <c r="B241" i="13"/>
  <c r="D240" i="13"/>
  <c r="R75" i="1"/>
  <c r="T74" i="1"/>
  <c r="U75" i="1"/>
  <c r="S75" i="1"/>
  <c r="T75" i="1" s="1"/>
  <c r="D241" i="13" l="1"/>
  <c r="E240" i="13"/>
  <c r="C241" i="13"/>
  <c r="S76" i="1"/>
  <c r="R76" i="1"/>
  <c r="U76" i="1"/>
  <c r="C242" i="13" l="1"/>
  <c r="E241" i="13"/>
  <c r="D242" i="13"/>
  <c r="D243" i="13" s="1"/>
  <c r="B242" i="13"/>
  <c r="B243" i="13" s="1"/>
  <c r="U77" i="1"/>
  <c r="T76" i="1"/>
  <c r="R77" i="1"/>
  <c r="S77" i="1"/>
  <c r="T77" i="1" s="1"/>
  <c r="C243" i="13" l="1"/>
  <c r="E242" i="13"/>
  <c r="S78" i="1"/>
  <c r="R78" i="1"/>
  <c r="U78" i="1"/>
  <c r="C244" i="13" l="1"/>
  <c r="E243" i="13"/>
  <c r="B244" i="13"/>
  <c r="B245" i="13" s="1"/>
  <c r="D244" i="13"/>
  <c r="D245" i="13" s="1"/>
  <c r="R79" i="1"/>
  <c r="U79" i="1"/>
  <c r="T78" i="1"/>
  <c r="S79" i="1"/>
  <c r="T79" i="1" s="1"/>
  <c r="C245" i="13" l="1"/>
  <c r="E244" i="13"/>
  <c r="S80" i="1"/>
  <c r="R80" i="1"/>
  <c r="U80" i="1"/>
  <c r="C246" i="13" l="1"/>
  <c r="E245" i="13"/>
  <c r="B246" i="13"/>
  <c r="B247" i="13" s="1"/>
  <c r="D246" i="13"/>
  <c r="R81" i="1"/>
  <c r="U81" i="1"/>
  <c r="T80" i="1"/>
  <c r="S81" i="1"/>
  <c r="T81" i="1" s="1"/>
  <c r="D247" i="13" l="1"/>
  <c r="C247" i="13"/>
  <c r="E246" i="13"/>
  <c r="S82" i="1"/>
  <c r="R82" i="1"/>
  <c r="U82" i="1"/>
  <c r="E247" i="13" l="1"/>
  <c r="C248" i="13"/>
  <c r="D248" i="13"/>
  <c r="B248" i="13"/>
  <c r="B249" i="13" s="1"/>
  <c r="R83" i="1"/>
  <c r="T82" i="1"/>
  <c r="U83" i="1"/>
  <c r="S83" i="1"/>
  <c r="T83" i="1" s="1"/>
  <c r="E248" i="13" l="1"/>
  <c r="C249" i="13"/>
  <c r="D249" i="13"/>
  <c r="S84" i="1"/>
  <c r="R84" i="1"/>
  <c r="U84" i="1"/>
  <c r="B250" i="13" l="1"/>
  <c r="E249" i="13"/>
  <c r="C250" i="13"/>
  <c r="D250" i="13"/>
  <c r="D251" i="13" s="1"/>
  <c r="R85" i="1"/>
  <c r="U85" i="1"/>
  <c r="T84" i="1"/>
  <c r="S85" i="1"/>
  <c r="T85" i="1" s="1"/>
  <c r="C251" i="13" l="1"/>
  <c r="E250" i="13"/>
  <c r="B251" i="13"/>
  <c r="B252" i="13" s="1"/>
  <c r="S86" i="1"/>
  <c r="R86" i="1"/>
  <c r="U86" i="1"/>
  <c r="E251" i="13" l="1"/>
  <c r="C252" i="13"/>
  <c r="D252" i="13"/>
  <c r="D253" i="13" s="1"/>
  <c r="U87" i="1"/>
  <c r="T86" i="1"/>
  <c r="R87" i="1"/>
  <c r="S87" i="1"/>
  <c r="C253" i="13" l="1"/>
  <c r="E252" i="13"/>
  <c r="D254" i="13"/>
  <c r="B253" i="13"/>
  <c r="B254" i="13" s="1"/>
  <c r="T87" i="1"/>
  <c r="U88" i="1"/>
  <c r="S88" i="1"/>
  <c r="R88" i="1"/>
  <c r="E253" i="13" l="1"/>
  <c r="C254" i="13"/>
  <c r="T88" i="1"/>
  <c r="R89" i="1"/>
  <c r="S89" i="1"/>
  <c r="U89" i="1"/>
  <c r="B255" i="13" l="1"/>
  <c r="E254" i="13"/>
  <c r="C255" i="13"/>
  <c r="D255" i="13"/>
  <c r="D256" i="13" s="1"/>
  <c r="T89" i="1"/>
  <c r="S90" i="1"/>
  <c r="U90" i="1"/>
  <c r="R90" i="1"/>
  <c r="E255" i="13" l="1"/>
  <c r="C256" i="13"/>
  <c r="B256" i="13"/>
  <c r="B257" i="13" s="1"/>
  <c r="T90" i="1"/>
  <c r="R91" i="1"/>
  <c r="U91" i="1"/>
  <c r="S91" i="1"/>
  <c r="E256" i="13" l="1"/>
  <c r="C257" i="13"/>
  <c r="D257" i="13"/>
  <c r="T91" i="1"/>
  <c r="S92" i="1"/>
  <c r="U92" i="1"/>
  <c r="R92" i="1"/>
  <c r="C258" i="13" l="1"/>
  <c r="E257" i="13"/>
  <c r="D258" i="13"/>
  <c r="D259" i="13" s="1"/>
  <c r="B258" i="13"/>
  <c r="B259" i="13" s="1"/>
  <c r="T92" i="1"/>
  <c r="R93" i="1"/>
  <c r="U93" i="1"/>
  <c r="S93" i="1"/>
  <c r="C259" i="13" l="1"/>
  <c r="E258" i="13"/>
  <c r="T93" i="1"/>
  <c r="S94" i="1"/>
  <c r="U94" i="1"/>
  <c r="R94" i="1"/>
  <c r="C260" i="13" l="1"/>
  <c r="E259" i="13"/>
  <c r="D260" i="13"/>
  <c r="D261" i="13" s="1"/>
  <c r="B260" i="13"/>
  <c r="B261" i="13" s="1"/>
  <c r="T94" i="1"/>
  <c r="R95" i="1"/>
  <c r="U95" i="1"/>
  <c r="S95" i="1"/>
  <c r="C261" i="13" l="1"/>
  <c r="E260" i="13"/>
  <c r="T95" i="1"/>
  <c r="S96" i="1"/>
  <c r="U96" i="1"/>
  <c r="R96" i="1"/>
  <c r="B262" i="13" l="1"/>
  <c r="E261" i="13"/>
  <c r="C262" i="13"/>
  <c r="D262" i="13"/>
  <c r="T96" i="1"/>
  <c r="R97" i="1"/>
  <c r="U97" i="1"/>
  <c r="S97" i="1"/>
  <c r="E262" i="13" l="1"/>
  <c r="C263" i="13"/>
  <c r="D263" i="13"/>
  <c r="B263" i="13"/>
  <c r="B264" i="13" s="1"/>
  <c r="T97" i="1"/>
  <c r="S98" i="1"/>
  <c r="U98" i="1"/>
  <c r="R98" i="1"/>
  <c r="E263" i="13" l="1"/>
  <c r="C264" i="13"/>
  <c r="D264" i="13"/>
  <c r="T98" i="1"/>
  <c r="R99" i="1"/>
  <c r="U99" i="1"/>
  <c r="S99" i="1"/>
  <c r="E264" i="13" l="1"/>
  <c r="C265" i="13"/>
  <c r="D265" i="13"/>
  <c r="D266" i="13" s="1"/>
  <c r="B265" i="13"/>
  <c r="B266" i="13" s="1"/>
  <c r="T99" i="1"/>
  <c r="S100" i="1"/>
  <c r="U100" i="1"/>
  <c r="R100" i="1"/>
  <c r="E265" i="13" l="1"/>
  <c r="C266" i="13"/>
  <c r="U101" i="1"/>
  <c r="T100" i="1"/>
  <c r="R101" i="1"/>
  <c r="S101" i="1"/>
  <c r="T101" i="1" s="1"/>
  <c r="C267" i="13" l="1"/>
  <c r="E266" i="13"/>
  <c r="D267" i="13"/>
  <c r="B267" i="13"/>
  <c r="B268" i="13" s="1"/>
  <c r="S102" i="1"/>
  <c r="U102" i="1"/>
  <c r="R102" i="1"/>
  <c r="D268" i="13" l="1"/>
  <c r="C268" i="13"/>
  <c r="E267" i="13"/>
  <c r="T102" i="1"/>
  <c r="U103" i="1"/>
  <c r="R103" i="1"/>
  <c r="S103" i="1"/>
  <c r="T103" i="1" s="1"/>
  <c r="C269" i="13" l="1"/>
  <c r="E268" i="13"/>
  <c r="D269" i="13"/>
  <c r="D270" i="13" s="1"/>
  <c r="B269" i="13"/>
  <c r="B270" i="13" s="1"/>
  <c r="S104" i="1"/>
  <c r="U104" i="1"/>
  <c r="R104" i="1"/>
  <c r="E269" i="13" l="1"/>
  <c r="C270" i="13"/>
  <c r="R105" i="1"/>
  <c r="T104" i="1"/>
  <c r="U105" i="1"/>
  <c r="S105" i="1"/>
  <c r="T105" i="1" s="1"/>
  <c r="E270" i="13" l="1"/>
  <c r="C271" i="13"/>
  <c r="D271" i="13"/>
  <c r="B271" i="13"/>
  <c r="B272" i="13" s="1"/>
  <c r="S106" i="1"/>
  <c r="U106" i="1"/>
  <c r="R106" i="1"/>
  <c r="E271" i="13" l="1"/>
  <c r="C272" i="13"/>
  <c r="D272" i="13"/>
  <c r="D273" i="13" s="1"/>
  <c r="T106" i="1"/>
  <c r="U107" i="1"/>
  <c r="R107" i="1"/>
  <c r="S107" i="1"/>
  <c r="T107" i="1" s="1"/>
  <c r="E272" i="13" l="1"/>
  <c r="C273" i="13"/>
  <c r="B273" i="13"/>
  <c r="B274" i="13" s="1"/>
  <c r="S108" i="1"/>
  <c r="U108" i="1"/>
  <c r="R108" i="1"/>
  <c r="C274" i="13" l="1"/>
  <c r="E273" i="13"/>
  <c r="B275" i="13"/>
  <c r="D274" i="13"/>
  <c r="D275" i="13" s="1"/>
  <c r="T108" i="1"/>
  <c r="U109" i="1"/>
  <c r="R109" i="1"/>
  <c r="S109" i="1"/>
  <c r="T109" i="1" s="1"/>
  <c r="C275" i="13" l="1"/>
  <c r="E274" i="13"/>
  <c r="S110" i="1"/>
  <c r="U110" i="1"/>
  <c r="R110" i="1"/>
  <c r="C276" i="13" l="1"/>
  <c r="E275" i="13"/>
  <c r="B276" i="13"/>
  <c r="B277" i="13" s="1"/>
  <c r="D276" i="13"/>
  <c r="D277" i="13" s="1"/>
  <c r="T110" i="1"/>
  <c r="U111" i="1"/>
  <c r="R111" i="1"/>
  <c r="S111" i="1"/>
  <c r="T111" i="1" s="1"/>
  <c r="C277" i="13" l="1"/>
  <c r="E276" i="13"/>
  <c r="S112" i="1"/>
  <c r="U112" i="1"/>
  <c r="R112" i="1"/>
  <c r="E277" i="13" l="1"/>
  <c r="C278" i="13"/>
  <c r="B278" i="13"/>
  <c r="D278" i="13"/>
  <c r="D279" i="13" s="1"/>
  <c r="T112" i="1"/>
  <c r="U113" i="1"/>
  <c r="R113" i="1"/>
  <c r="S113" i="1"/>
  <c r="T113" i="1" s="1"/>
  <c r="E278" i="13" l="1"/>
  <c r="C279" i="13"/>
  <c r="B279" i="13"/>
  <c r="B280" i="13" s="1"/>
  <c r="S114" i="1"/>
  <c r="U114" i="1"/>
  <c r="R114" i="1"/>
  <c r="E279" i="13" l="1"/>
  <c r="C280" i="13"/>
  <c r="D280" i="13"/>
  <c r="T114" i="1"/>
  <c r="U115" i="1"/>
  <c r="R115" i="1"/>
  <c r="S115" i="1"/>
  <c r="T115" i="1" s="1"/>
  <c r="E280" i="13" l="1"/>
  <c r="C281" i="13"/>
  <c r="D281" i="13"/>
  <c r="B281" i="13"/>
  <c r="B282" i="13" s="1"/>
  <c r="S116" i="1"/>
  <c r="U116" i="1"/>
  <c r="R116" i="1"/>
  <c r="E281" i="13" l="1"/>
  <c r="C282" i="13"/>
  <c r="D282" i="13"/>
  <c r="D283" i="13" s="1"/>
  <c r="T116" i="1"/>
  <c r="U117" i="1"/>
  <c r="R117" i="1"/>
  <c r="S117" i="1"/>
  <c r="T117" i="1" s="1"/>
  <c r="B283" i="13" l="1"/>
  <c r="B284" i="13" s="1"/>
  <c r="C283" i="13"/>
  <c r="E282" i="13"/>
  <c r="S118" i="1"/>
  <c r="U118" i="1"/>
  <c r="R118" i="1"/>
  <c r="C284" i="13" l="1"/>
  <c r="E283" i="13"/>
  <c r="B285" i="13"/>
  <c r="D284" i="13"/>
  <c r="D285" i="13" s="1"/>
  <c r="T118" i="1"/>
  <c r="U119" i="1"/>
  <c r="R119" i="1"/>
  <c r="S119" i="1"/>
  <c r="T119" i="1" s="1"/>
  <c r="C285" i="13" l="1"/>
  <c r="E284" i="13"/>
  <c r="S120" i="1"/>
  <c r="U120" i="1"/>
  <c r="R120" i="1"/>
  <c r="C286" i="13" l="1"/>
  <c r="E285" i="13"/>
  <c r="B286" i="13"/>
  <c r="D286" i="13"/>
  <c r="D287" i="13" s="1"/>
  <c r="T120" i="1"/>
  <c r="U121" i="1"/>
  <c r="R121" i="1"/>
  <c r="S121" i="1"/>
  <c r="T121" i="1" s="1"/>
  <c r="B287" i="13" l="1"/>
  <c r="C287" i="13"/>
  <c r="E286" i="13"/>
  <c r="S122" i="1"/>
  <c r="U122" i="1"/>
  <c r="R122" i="1"/>
  <c r="E287" i="13" l="1"/>
  <c r="C288" i="13"/>
  <c r="B288" i="13"/>
  <c r="D288" i="13"/>
  <c r="D289" i="13" s="1"/>
  <c r="R123" i="1"/>
  <c r="T122" i="1"/>
  <c r="U123" i="1"/>
  <c r="S123" i="1"/>
  <c r="T123" i="1" s="1"/>
  <c r="C289" i="13" l="1"/>
  <c r="E288" i="13"/>
  <c r="B289" i="13"/>
  <c r="B290" i="13" s="1"/>
  <c r="S124" i="1"/>
  <c r="U124" i="1"/>
  <c r="R124" i="1"/>
  <c r="D290" i="13" l="1"/>
  <c r="C290" i="13"/>
  <c r="E289" i="13"/>
  <c r="T124" i="1"/>
  <c r="R125" i="1"/>
  <c r="U125" i="1"/>
  <c r="S125" i="1"/>
  <c r="T125" i="1" s="1"/>
  <c r="E290" i="13" l="1"/>
  <c r="C291" i="13"/>
  <c r="D291" i="13"/>
  <c r="D292" i="13" s="1"/>
  <c r="B291" i="13"/>
  <c r="B292" i="13" s="1"/>
  <c r="S126" i="1"/>
  <c r="U126" i="1"/>
  <c r="R126" i="1"/>
  <c r="C292" i="13" l="1"/>
  <c r="E291" i="13"/>
  <c r="D293" i="13"/>
  <c r="U127" i="1"/>
  <c r="R127" i="1"/>
  <c r="S127" i="1"/>
  <c r="E292" i="13" l="1"/>
  <c r="C293" i="13"/>
  <c r="B293" i="13"/>
  <c r="B294" i="13" s="1"/>
  <c r="S128" i="1"/>
  <c r="U128" i="1"/>
  <c r="R128" i="1"/>
  <c r="C294" i="13" l="1"/>
  <c r="E293" i="13"/>
  <c r="B295" i="13"/>
  <c r="D294" i="13"/>
  <c r="D295" i="13" s="1"/>
  <c r="T128" i="1"/>
  <c r="U129" i="1"/>
  <c r="R129" i="1"/>
  <c r="S129" i="1"/>
  <c r="T129" i="1" s="1"/>
  <c r="E294" i="13" l="1"/>
  <c r="C295" i="13"/>
  <c r="S130" i="1"/>
  <c r="U130" i="1"/>
  <c r="R130" i="1"/>
  <c r="E295" i="13" l="1"/>
  <c r="C296" i="13"/>
  <c r="B296" i="13"/>
  <c r="D296" i="13"/>
  <c r="D297" i="13" s="1"/>
  <c r="T130" i="1"/>
  <c r="U131" i="1"/>
  <c r="R131" i="1"/>
  <c r="S131" i="1"/>
  <c r="T131" i="1" s="1"/>
  <c r="B297" i="13" l="1"/>
  <c r="C297" i="13"/>
  <c r="E296" i="13"/>
  <c r="S132" i="1"/>
  <c r="U132" i="1"/>
  <c r="R132" i="1"/>
  <c r="C298" i="13" l="1"/>
  <c r="E297" i="13"/>
  <c r="B298" i="13"/>
  <c r="B299" i="13" s="1"/>
  <c r="D298" i="13"/>
  <c r="D299" i="13" s="1"/>
  <c r="U133" i="1"/>
  <c r="R133" i="1"/>
  <c r="T132" i="1"/>
  <c r="S133" i="1"/>
  <c r="T133" i="1" s="1"/>
  <c r="C299" i="13" l="1"/>
  <c r="E298" i="13"/>
  <c r="S134" i="1"/>
  <c r="U134" i="1"/>
  <c r="R134" i="1"/>
  <c r="C300" i="13" l="1"/>
  <c r="E299" i="13"/>
  <c r="D300" i="13"/>
  <c r="D301" i="13" s="1"/>
  <c r="B300" i="13"/>
  <c r="B301" i="13" s="1"/>
  <c r="U135" i="1"/>
  <c r="R135" i="1"/>
  <c r="T134" i="1"/>
  <c r="S135" i="1"/>
  <c r="T135" i="1" s="1"/>
  <c r="E300" i="13" l="1"/>
  <c r="C301" i="13"/>
  <c r="S136" i="1"/>
  <c r="R136" i="1"/>
  <c r="U136" i="1"/>
  <c r="E301" i="13" l="1"/>
  <c r="C302" i="13"/>
  <c r="D302" i="13"/>
  <c r="B302" i="13"/>
  <c r="B303" i="13" s="1"/>
  <c r="T136" i="1"/>
  <c r="R137" i="1"/>
  <c r="U137" i="1"/>
  <c r="S137" i="1"/>
  <c r="T137" i="1" s="1"/>
  <c r="E302" i="13" l="1"/>
  <c r="C303" i="13"/>
  <c r="D303" i="13"/>
  <c r="D304" i="13" s="1"/>
  <c r="S138" i="1"/>
  <c r="R138" i="1"/>
  <c r="U138" i="1"/>
  <c r="C304" i="13" l="1"/>
  <c r="E303" i="13"/>
  <c r="D305" i="13"/>
  <c r="B304" i="13"/>
  <c r="B305" i="13" s="1"/>
  <c r="T138" i="1"/>
  <c r="R139" i="1"/>
  <c r="U139" i="1"/>
  <c r="S139" i="1"/>
  <c r="T139" i="1" s="1"/>
  <c r="E304" i="13" l="1"/>
  <c r="C305" i="13"/>
  <c r="S140" i="1"/>
  <c r="R140" i="1"/>
  <c r="U140" i="1"/>
  <c r="D306" i="13" l="1"/>
  <c r="C306" i="13"/>
  <c r="E305" i="13"/>
  <c r="B306" i="13"/>
  <c r="B307" i="13" s="1"/>
  <c r="R141" i="1"/>
  <c r="U141" i="1"/>
  <c r="T140" i="1"/>
  <c r="S141" i="1"/>
  <c r="T141" i="1" s="1"/>
  <c r="C307" i="13" l="1"/>
  <c r="E306" i="13"/>
  <c r="D307" i="13"/>
  <c r="D308" i="13" s="1"/>
  <c r="S142" i="1"/>
  <c r="R142" i="1"/>
  <c r="U142" i="1"/>
  <c r="C308" i="13" l="1"/>
  <c r="E307" i="13"/>
  <c r="B308" i="13"/>
  <c r="B309" i="13" s="1"/>
  <c r="T142" i="1"/>
  <c r="U143" i="1"/>
  <c r="R143" i="1"/>
  <c r="S143" i="1"/>
  <c r="T143" i="1" s="1"/>
  <c r="E308" i="13" l="1"/>
  <c r="C309" i="13"/>
  <c r="D309" i="13"/>
  <c r="D310" i="13" s="1"/>
  <c r="S144" i="1"/>
  <c r="R144" i="1"/>
  <c r="U144" i="1"/>
  <c r="E309" i="13" l="1"/>
  <c r="C310" i="13"/>
  <c r="B310" i="13"/>
  <c r="B311" i="13" s="1"/>
  <c r="T144" i="1"/>
  <c r="R145" i="1"/>
  <c r="U145" i="1"/>
  <c r="S145" i="1"/>
  <c r="T145" i="1" s="1"/>
  <c r="E310" i="13" l="1"/>
  <c r="C311" i="13"/>
  <c r="D311" i="13"/>
  <c r="D312" i="13" s="1"/>
  <c r="S146" i="1"/>
  <c r="R146" i="1"/>
  <c r="U146" i="1"/>
  <c r="E311" i="13" l="1"/>
  <c r="C312" i="13"/>
  <c r="B312" i="13"/>
  <c r="B313" i="13" s="1"/>
  <c r="R147" i="1"/>
  <c r="U147" i="1"/>
  <c r="T146" i="1"/>
  <c r="S147" i="1"/>
  <c r="T147" i="1" s="1"/>
  <c r="E312" i="13" l="1"/>
  <c r="C313" i="13"/>
  <c r="D313" i="13"/>
  <c r="S148" i="1"/>
  <c r="R148" i="1"/>
  <c r="U148" i="1"/>
  <c r="D314" i="13" l="1"/>
  <c r="C314" i="13"/>
  <c r="E313" i="13"/>
  <c r="B314" i="13"/>
  <c r="B315" i="13" s="1"/>
  <c r="R149" i="1"/>
  <c r="U149" i="1"/>
  <c r="T148" i="1"/>
  <c r="S149" i="1"/>
  <c r="T149" i="1" s="1"/>
  <c r="C315" i="13" l="1"/>
  <c r="E314" i="13"/>
  <c r="D315" i="13"/>
  <c r="D316" i="13" s="1"/>
  <c r="S150" i="1"/>
  <c r="R150" i="1"/>
  <c r="U150" i="1"/>
  <c r="C316" i="13" l="1"/>
  <c r="E315" i="13"/>
  <c r="B316" i="13"/>
  <c r="B317" i="13" s="1"/>
  <c r="T150" i="1"/>
  <c r="R151" i="1"/>
  <c r="U151" i="1"/>
  <c r="S151" i="1"/>
  <c r="T151" i="1" s="1"/>
  <c r="E316" i="13" l="1"/>
  <c r="C317" i="13"/>
  <c r="D317" i="13"/>
  <c r="D318" i="13" s="1"/>
  <c r="S152" i="1"/>
  <c r="U152" i="1"/>
  <c r="R152" i="1"/>
  <c r="E317" i="13" l="1"/>
  <c r="C318" i="13"/>
  <c r="B318" i="13"/>
  <c r="B319" i="13" s="1"/>
  <c r="U153" i="1"/>
  <c r="T152" i="1"/>
  <c r="R153" i="1"/>
  <c r="S153" i="1"/>
  <c r="T153" i="1" s="1"/>
  <c r="E318" i="13" l="1"/>
  <c r="C319" i="13"/>
  <c r="D319" i="13"/>
  <c r="D320" i="13" s="1"/>
  <c r="S154" i="1"/>
  <c r="R154" i="1"/>
  <c r="U154" i="1"/>
  <c r="E319" i="13" l="1"/>
  <c r="C320" i="13"/>
  <c r="B320" i="13"/>
  <c r="B321" i="13" s="1"/>
  <c r="T154" i="1"/>
  <c r="U155" i="1"/>
  <c r="R155" i="1"/>
  <c r="S155" i="1"/>
  <c r="T155" i="1" s="1"/>
  <c r="D321" i="13" l="1"/>
  <c r="C321" i="13"/>
  <c r="E320" i="13"/>
  <c r="B322" i="13"/>
  <c r="S156" i="1"/>
  <c r="R156" i="1"/>
  <c r="U156" i="1"/>
  <c r="C322" i="13" l="1"/>
  <c r="E321" i="13"/>
  <c r="D322" i="13"/>
  <c r="D323" i="13" s="1"/>
  <c r="T156" i="1"/>
  <c r="R157" i="1"/>
  <c r="U157" i="1"/>
  <c r="S157" i="1"/>
  <c r="T157" i="1" s="1"/>
  <c r="C323" i="13" l="1"/>
  <c r="E322" i="13"/>
  <c r="B323" i="13"/>
  <c r="B324" i="13" s="1"/>
  <c r="S158" i="1"/>
  <c r="R158" i="1"/>
  <c r="U158" i="1"/>
  <c r="E323" i="13" l="1"/>
  <c r="C324" i="13"/>
  <c r="D324" i="13"/>
  <c r="D325" i="13" s="1"/>
  <c r="T158" i="1"/>
  <c r="R159" i="1"/>
  <c r="U159" i="1"/>
  <c r="S159" i="1"/>
  <c r="T159" i="1" s="1"/>
  <c r="E324" i="13" l="1"/>
  <c r="C325" i="13"/>
  <c r="B325" i="13"/>
  <c r="B326" i="13" s="1"/>
  <c r="S160" i="1"/>
  <c r="R160" i="1"/>
  <c r="U160" i="1"/>
  <c r="C326" i="13" l="1"/>
  <c r="E326" i="13" s="1"/>
  <c r="E325" i="13"/>
  <c r="D326" i="13"/>
  <c r="T160" i="1"/>
  <c r="R161" i="1"/>
  <c r="U161" i="1"/>
  <c r="S161" i="1"/>
  <c r="T161" i="1" s="1"/>
  <c r="S162" i="1" l="1"/>
  <c r="R162" i="1"/>
  <c r="U162" i="1"/>
  <c r="T162" i="1" l="1"/>
  <c r="U163" i="1"/>
  <c r="R163" i="1"/>
  <c r="S163" i="1"/>
  <c r="T163" i="1" s="1"/>
  <c r="S164" i="1" l="1"/>
  <c r="R164" i="1"/>
  <c r="U164" i="1"/>
  <c r="T164" i="1" l="1"/>
  <c r="R165" i="1"/>
  <c r="U165" i="1"/>
  <c r="S165" i="1"/>
  <c r="T165" i="1" s="1"/>
  <c r="S166" i="1" l="1"/>
  <c r="R166" i="1"/>
  <c r="U166" i="1"/>
  <c r="T166" i="1" l="1"/>
  <c r="U167" i="1"/>
  <c r="R167" i="1"/>
  <c r="S167" i="1"/>
  <c r="T167" i="1" s="1"/>
  <c r="S168" i="1" l="1"/>
  <c r="R168" i="1"/>
  <c r="U168" i="1"/>
  <c r="T168" i="1" l="1"/>
  <c r="U169" i="1"/>
  <c r="R169" i="1"/>
  <c r="S169" i="1"/>
  <c r="T169" i="1" s="1"/>
  <c r="S170" i="1" l="1"/>
  <c r="R170" i="1"/>
  <c r="U170" i="1"/>
  <c r="T170" i="1" l="1"/>
  <c r="R171" i="1"/>
  <c r="U171" i="1"/>
  <c r="S171" i="1"/>
  <c r="T171" i="1" s="1"/>
  <c r="S172" i="1" l="1"/>
  <c r="R172" i="1"/>
  <c r="U172" i="1"/>
  <c r="T172" i="1" l="1"/>
  <c r="R173" i="1"/>
  <c r="U173" i="1"/>
  <c r="S173" i="1"/>
  <c r="T173" i="1" s="1"/>
  <c r="U174" i="1" l="1"/>
  <c r="R174" i="1"/>
  <c r="S174" i="1"/>
  <c r="T174" i="1" l="1"/>
  <c r="S175" i="1"/>
  <c r="R175" i="1"/>
  <c r="U175" i="1"/>
  <c r="T175" i="1" l="1"/>
  <c r="U176" i="1"/>
  <c r="R176" i="1"/>
  <c r="S176" i="1"/>
  <c r="T176" i="1" s="1"/>
  <c r="S177" i="1" l="1"/>
  <c r="R177" i="1"/>
  <c r="U177" i="1"/>
  <c r="T177" i="1" l="1"/>
  <c r="R178" i="1"/>
  <c r="U178" i="1"/>
  <c r="S178" i="1"/>
  <c r="T178" i="1" s="1"/>
  <c r="S179" i="1" l="1"/>
  <c r="R179" i="1"/>
  <c r="U179" i="1"/>
  <c r="T179" i="1" l="1"/>
  <c r="R180" i="1"/>
  <c r="U180" i="1"/>
  <c r="S180" i="1"/>
  <c r="T180" i="1" s="1"/>
  <c r="S181" i="1" l="1"/>
  <c r="R181" i="1"/>
  <c r="U181" i="1"/>
  <c r="T181" i="1" l="1"/>
  <c r="R182" i="1"/>
  <c r="U182" i="1"/>
  <c r="S182" i="1"/>
  <c r="T182" i="1" s="1"/>
  <c r="S183" i="1" l="1"/>
  <c r="R183" i="1"/>
  <c r="U183" i="1"/>
  <c r="T183" i="1" l="1"/>
  <c r="R184" i="1"/>
  <c r="U184" i="1"/>
  <c r="S184" i="1"/>
  <c r="T184" i="1" s="1"/>
  <c r="S185" i="1" l="1"/>
  <c r="R185" i="1"/>
  <c r="U185" i="1"/>
  <c r="T185" i="1" l="1"/>
  <c r="U186" i="1"/>
  <c r="R186" i="1"/>
  <c r="S186" i="1"/>
  <c r="S187" i="1" l="1"/>
  <c r="T187" i="1" s="1"/>
  <c r="U187" i="1"/>
  <c r="R187" i="1"/>
  <c r="R188" i="1" s="1"/>
  <c r="T186" i="1"/>
  <c r="U188" i="1" l="1"/>
  <c r="S188" i="1"/>
  <c r="B126" i="1"/>
  <c r="R189" i="1" l="1"/>
  <c r="T188" i="1"/>
  <c r="S189" i="1"/>
  <c r="U189" i="1"/>
  <c r="D126" i="1"/>
  <c r="K126" i="1"/>
  <c r="F126" i="1"/>
  <c r="O126" i="1"/>
  <c r="T126" i="1"/>
  <c r="E126" i="1"/>
  <c r="B127" i="1"/>
  <c r="F127" i="1" l="1"/>
  <c r="U190" i="1"/>
  <c r="E18" i="6"/>
  <c r="E17" i="6"/>
  <c r="T189" i="1"/>
  <c r="S190" i="1"/>
  <c r="R190" i="1"/>
  <c r="I15" i="6"/>
  <c r="E127" i="1"/>
  <c r="K127" i="1"/>
  <c r="I18" i="6" s="1"/>
  <c r="D128" i="1"/>
  <c r="D127" i="1"/>
  <c r="E13" i="6"/>
  <c r="E15" i="6"/>
  <c r="E14" i="6"/>
  <c r="T127" i="1"/>
  <c r="C128" i="1"/>
  <c r="O127" i="1"/>
  <c r="I17" i="6" l="1"/>
  <c r="I14" i="6"/>
  <c r="P208" i="1" s="1"/>
  <c r="Q208" i="1" s="1"/>
  <c r="I13" i="6"/>
  <c r="AG5" i="10"/>
  <c r="AG7" i="10"/>
  <c r="AG18" i="10"/>
  <c r="R191" i="1"/>
  <c r="G128" i="1"/>
  <c r="F15" i="6" s="1"/>
  <c r="AG4" i="10"/>
  <c r="AG6" i="10"/>
  <c r="S191" i="1"/>
  <c r="T190" i="1"/>
  <c r="U191" i="1"/>
  <c r="B17" i="6"/>
  <c r="E128" i="1"/>
  <c r="B13" i="6"/>
  <c r="B18" i="6"/>
  <c r="B14" i="6"/>
  <c r="B15" i="6"/>
  <c r="C17" i="6"/>
  <c r="C14" i="6"/>
  <c r="C18" i="6"/>
  <c r="C15" i="6"/>
  <c r="C13" i="6"/>
  <c r="V186" i="1" l="1"/>
  <c r="W186" i="1" s="1"/>
  <c r="V168" i="1"/>
  <c r="W168" i="1" s="1"/>
  <c r="V145" i="1"/>
  <c r="W145" i="1" s="1"/>
  <c r="V113" i="1"/>
  <c r="W113" i="1" s="1"/>
  <c r="V81" i="1"/>
  <c r="W81" i="1" s="1"/>
  <c r="V49" i="1"/>
  <c r="W49" i="1" s="1"/>
  <c r="P36" i="1"/>
  <c r="Q36" i="1" s="1"/>
  <c r="P87" i="1"/>
  <c r="Q87" i="1" s="1"/>
  <c r="P58" i="1"/>
  <c r="Q58" i="1" s="1"/>
  <c r="V28" i="1"/>
  <c r="W28" i="1" s="1"/>
  <c r="P199" i="1"/>
  <c r="Q199" i="1" s="1"/>
  <c r="P299" i="1"/>
  <c r="Q299" i="1" s="1"/>
  <c r="V170" i="1"/>
  <c r="W170" i="1" s="1"/>
  <c r="V89" i="1"/>
  <c r="W89" i="1" s="1"/>
  <c r="P183" i="1"/>
  <c r="Q183" i="1" s="1"/>
  <c r="P300" i="1"/>
  <c r="Q300" i="1" s="1"/>
  <c r="V169" i="1"/>
  <c r="W169" i="1" s="1"/>
  <c r="V146" i="1"/>
  <c r="W146" i="1" s="1"/>
  <c r="V88" i="1"/>
  <c r="W88" i="1" s="1"/>
  <c r="V56" i="1"/>
  <c r="W56" i="1" s="1"/>
  <c r="P78" i="1"/>
  <c r="Q78" i="1" s="1"/>
  <c r="P129" i="1"/>
  <c r="Q129" i="1" s="1"/>
  <c r="P187" i="1"/>
  <c r="Q187" i="1" s="1"/>
  <c r="V185" i="1"/>
  <c r="W185" i="1" s="1"/>
  <c r="V162" i="1"/>
  <c r="W162" i="1" s="1"/>
  <c r="V144" i="1"/>
  <c r="W144" i="1" s="1"/>
  <c r="V112" i="1"/>
  <c r="W112" i="1" s="1"/>
  <c r="V80" i="1"/>
  <c r="W80" i="1" s="1"/>
  <c r="V48" i="1"/>
  <c r="W48" i="1" s="1"/>
  <c r="P82" i="1"/>
  <c r="Q82" i="1" s="1"/>
  <c r="P150" i="1"/>
  <c r="Q150" i="1" s="1"/>
  <c r="P157" i="1"/>
  <c r="Q157" i="1" s="1"/>
  <c r="P92" i="1"/>
  <c r="Q92" i="1" s="1"/>
  <c r="P295" i="1"/>
  <c r="Q295" i="1" s="1"/>
  <c r="V184" i="1"/>
  <c r="W184" i="1" s="1"/>
  <c r="V161" i="1"/>
  <c r="W161" i="1" s="1"/>
  <c r="V137" i="1"/>
  <c r="W137" i="1" s="1"/>
  <c r="V105" i="1"/>
  <c r="W105" i="1" s="1"/>
  <c r="V73" i="1"/>
  <c r="W73" i="1" s="1"/>
  <c r="V41" i="1"/>
  <c r="W41" i="1" s="1"/>
  <c r="P131" i="1"/>
  <c r="Q131" i="1" s="1"/>
  <c r="P59" i="1"/>
  <c r="Q59" i="1" s="1"/>
  <c r="P122" i="1"/>
  <c r="Q122" i="1" s="1"/>
  <c r="P114" i="1"/>
  <c r="Q114" i="1" s="1"/>
  <c r="P259" i="1"/>
  <c r="Q259" i="1" s="1"/>
  <c r="V178" i="1"/>
  <c r="W178" i="1" s="1"/>
  <c r="V160" i="1"/>
  <c r="W160" i="1" s="1"/>
  <c r="V136" i="1"/>
  <c r="W136" i="1" s="1"/>
  <c r="V104" i="1"/>
  <c r="W104" i="1" s="1"/>
  <c r="V72" i="1"/>
  <c r="W72" i="1" s="1"/>
  <c r="V40" i="1"/>
  <c r="W40" i="1" s="1"/>
  <c r="P134" i="1"/>
  <c r="Q134" i="1" s="1"/>
  <c r="P72" i="1"/>
  <c r="Q72" i="1" s="1"/>
  <c r="P70" i="1"/>
  <c r="Q70" i="1" s="1"/>
  <c r="P69" i="1"/>
  <c r="Q69" i="1" s="1"/>
  <c r="P308" i="1"/>
  <c r="Q308" i="1" s="1"/>
  <c r="V153" i="1"/>
  <c r="W153" i="1" s="1"/>
  <c r="V64" i="1"/>
  <c r="W64" i="1" s="1"/>
  <c r="P181" i="1"/>
  <c r="Q181" i="1" s="1"/>
  <c r="P68" i="1"/>
  <c r="Q68" i="1" s="1"/>
  <c r="P94" i="1"/>
  <c r="Q94" i="1" s="1"/>
  <c r="V177" i="1"/>
  <c r="W177" i="1" s="1"/>
  <c r="V154" i="1"/>
  <c r="W154" i="1" s="1"/>
  <c r="V129" i="1"/>
  <c r="W129" i="1" s="1"/>
  <c r="V97" i="1"/>
  <c r="W97" i="1" s="1"/>
  <c r="V65" i="1"/>
  <c r="W65" i="1" s="1"/>
  <c r="V33" i="1"/>
  <c r="W33" i="1" s="1"/>
  <c r="P98" i="1"/>
  <c r="Q98" i="1" s="1"/>
  <c r="P141" i="1"/>
  <c r="Q141" i="1" s="1"/>
  <c r="P108" i="1"/>
  <c r="Q108" i="1" s="1"/>
  <c r="P159" i="1"/>
  <c r="Q159" i="1" s="1"/>
  <c r="P243" i="1"/>
  <c r="Q243" i="1" s="1"/>
  <c r="P193" i="1"/>
  <c r="Q193" i="1" s="1"/>
  <c r="V176" i="1"/>
  <c r="W176" i="1" s="1"/>
  <c r="V128" i="1"/>
  <c r="W128" i="1" s="1"/>
  <c r="V96" i="1"/>
  <c r="W96" i="1" s="1"/>
  <c r="V32" i="1"/>
  <c r="W32" i="1" s="1"/>
  <c r="P75" i="1"/>
  <c r="Q75" i="1" s="1"/>
  <c r="V152" i="1"/>
  <c r="W152" i="1" s="1"/>
  <c r="V121" i="1"/>
  <c r="W121" i="1" s="1"/>
  <c r="V57" i="1"/>
  <c r="W57" i="1" s="1"/>
  <c r="P116" i="1"/>
  <c r="Q116" i="1" s="1"/>
  <c r="P110" i="1"/>
  <c r="Q110" i="1" s="1"/>
  <c r="P84" i="1"/>
  <c r="Q84" i="1" s="1"/>
  <c r="P135" i="1"/>
  <c r="Q135" i="1" s="1"/>
  <c r="P240" i="1"/>
  <c r="Q240" i="1" s="1"/>
  <c r="V120" i="1"/>
  <c r="W120" i="1" s="1"/>
  <c r="P53" i="1"/>
  <c r="Q53" i="1" s="1"/>
  <c r="P161" i="1"/>
  <c r="Q161" i="1" s="1"/>
  <c r="P25" i="1"/>
  <c r="Q25" i="1" s="1"/>
  <c r="P247" i="1"/>
  <c r="Q247" i="1" s="1"/>
  <c r="V183" i="1"/>
  <c r="W183" i="1" s="1"/>
  <c r="V175" i="1"/>
  <c r="W175" i="1" s="1"/>
  <c r="V167" i="1"/>
  <c r="W167" i="1" s="1"/>
  <c r="V159" i="1"/>
  <c r="W159" i="1" s="1"/>
  <c r="V151" i="1"/>
  <c r="W151" i="1" s="1"/>
  <c r="V143" i="1"/>
  <c r="W143" i="1" s="1"/>
  <c r="V135" i="1"/>
  <c r="W135" i="1" s="1"/>
  <c r="V127" i="1"/>
  <c r="W127" i="1" s="1"/>
  <c r="V119" i="1"/>
  <c r="W119" i="1" s="1"/>
  <c r="V111" i="1"/>
  <c r="W111" i="1" s="1"/>
  <c r="V103" i="1"/>
  <c r="W103" i="1" s="1"/>
  <c r="V95" i="1"/>
  <c r="W95" i="1" s="1"/>
  <c r="V87" i="1"/>
  <c r="W87" i="1" s="1"/>
  <c r="V79" i="1"/>
  <c r="W79" i="1" s="1"/>
  <c r="V71" i="1"/>
  <c r="W71" i="1" s="1"/>
  <c r="V63" i="1"/>
  <c r="W63" i="1" s="1"/>
  <c r="V55" i="1"/>
  <c r="W55" i="1" s="1"/>
  <c r="V47" i="1"/>
  <c r="W47" i="1" s="1"/>
  <c r="V39" i="1"/>
  <c r="W39" i="1" s="1"/>
  <c r="V31" i="1"/>
  <c r="W31" i="1" s="1"/>
  <c r="P172" i="1"/>
  <c r="Q172" i="1" s="1"/>
  <c r="P179" i="1"/>
  <c r="Q179" i="1" s="1"/>
  <c r="P41" i="1"/>
  <c r="Q41" i="1" s="1"/>
  <c r="P142" i="1"/>
  <c r="Q142" i="1" s="1"/>
  <c r="P76" i="1"/>
  <c r="Q76" i="1" s="1"/>
  <c r="P83" i="1"/>
  <c r="Q83" i="1" s="1"/>
  <c r="P176" i="1"/>
  <c r="Q176" i="1" s="1"/>
  <c r="P124" i="1"/>
  <c r="Q124" i="1" s="1"/>
  <c r="P88" i="1"/>
  <c r="Q88" i="1" s="1"/>
  <c r="P160" i="1"/>
  <c r="Q160" i="1" s="1"/>
  <c r="P40" i="1"/>
  <c r="Q40" i="1" s="1"/>
  <c r="P113" i="1"/>
  <c r="Q113" i="1" s="1"/>
  <c r="P180" i="1"/>
  <c r="Q180" i="1" s="1"/>
  <c r="P163" i="1"/>
  <c r="Q163" i="1" s="1"/>
  <c r="P31" i="1"/>
  <c r="Q31" i="1" s="1"/>
  <c r="P162" i="1"/>
  <c r="Q162" i="1" s="1"/>
  <c r="P171" i="1"/>
  <c r="Q171" i="1" s="1"/>
  <c r="P62" i="1"/>
  <c r="Q62" i="1" s="1"/>
  <c r="P26" i="1"/>
  <c r="Q26" i="1" s="1"/>
  <c r="P28" i="1"/>
  <c r="Q28" i="1" s="1"/>
  <c r="V25" i="1"/>
  <c r="W25" i="1" s="1"/>
  <c r="V189" i="1"/>
  <c r="W189" i="1" s="1"/>
  <c r="P223" i="1"/>
  <c r="Q223" i="1" s="1"/>
  <c r="P246" i="1"/>
  <c r="Q246" i="1" s="1"/>
  <c r="P267" i="1"/>
  <c r="Q267" i="1" s="1"/>
  <c r="P226" i="1"/>
  <c r="Q226" i="1" s="1"/>
  <c r="P304" i="1"/>
  <c r="Q304" i="1" s="1"/>
  <c r="P201" i="1"/>
  <c r="Q201" i="1" s="1"/>
  <c r="P220" i="1"/>
  <c r="Q220" i="1" s="1"/>
  <c r="P239" i="1"/>
  <c r="Q239" i="1" s="1"/>
  <c r="P296" i="1"/>
  <c r="Q296" i="1" s="1"/>
  <c r="P234" i="1"/>
  <c r="Q234" i="1" s="1"/>
  <c r="P286" i="1"/>
  <c r="Q286" i="1" s="1"/>
  <c r="P153" i="1"/>
  <c r="Q153" i="1" s="1"/>
  <c r="P182" i="1"/>
  <c r="Q182" i="1" s="1"/>
  <c r="P80" i="1"/>
  <c r="Q80" i="1" s="1"/>
  <c r="P66" i="1"/>
  <c r="Q66" i="1" s="1"/>
  <c r="P177" i="1"/>
  <c r="Q177" i="1" s="1"/>
  <c r="P63" i="1"/>
  <c r="Q63" i="1" s="1"/>
  <c r="P45" i="1"/>
  <c r="Q45" i="1" s="1"/>
  <c r="V26" i="1"/>
  <c r="W26" i="1" s="1"/>
  <c r="V182" i="1"/>
  <c r="W182" i="1" s="1"/>
  <c r="V174" i="1"/>
  <c r="W174" i="1" s="1"/>
  <c r="V166" i="1"/>
  <c r="W166" i="1" s="1"/>
  <c r="V158" i="1"/>
  <c r="W158" i="1" s="1"/>
  <c r="V150" i="1"/>
  <c r="W150" i="1" s="1"/>
  <c r="V142" i="1"/>
  <c r="W142" i="1" s="1"/>
  <c r="V134" i="1"/>
  <c r="W134" i="1" s="1"/>
  <c r="V126" i="1"/>
  <c r="W126" i="1" s="1"/>
  <c r="V118" i="1"/>
  <c r="W118" i="1" s="1"/>
  <c r="V110" i="1"/>
  <c r="W110" i="1" s="1"/>
  <c r="V102" i="1"/>
  <c r="W102" i="1" s="1"/>
  <c r="V94" i="1"/>
  <c r="W94" i="1" s="1"/>
  <c r="V86" i="1"/>
  <c r="W86" i="1" s="1"/>
  <c r="V78" i="1"/>
  <c r="W78" i="1" s="1"/>
  <c r="V70" i="1"/>
  <c r="W70" i="1" s="1"/>
  <c r="V62" i="1"/>
  <c r="W62" i="1" s="1"/>
  <c r="V54" i="1"/>
  <c r="W54" i="1" s="1"/>
  <c r="V46" i="1"/>
  <c r="W46" i="1" s="1"/>
  <c r="V38" i="1"/>
  <c r="W38" i="1" s="1"/>
  <c r="V30" i="1"/>
  <c r="W30" i="1" s="1"/>
  <c r="P50" i="1"/>
  <c r="Q50" i="1" s="1"/>
  <c r="P164" i="1"/>
  <c r="Q164" i="1" s="1"/>
  <c r="P37" i="1"/>
  <c r="Q37" i="1" s="1"/>
  <c r="P168" i="1"/>
  <c r="Q168" i="1" s="1"/>
  <c r="P156" i="1"/>
  <c r="Q156" i="1" s="1"/>
  <c r="P130" i="1"/>
  <c r="Q130" i="1" s="1"/>
  <c r="P90" i="1"/>
  <c r="Q90" i="1" s="1"/>
  <c r="P86" i="1"/>
  <c r="Q86" i="1" s="1"/>
  <c r="P32" i="1"/>
  <c r="Q32" i="1" s="1"/>
  <c r="P101" i="1"/>
  <c r="Q101" i="1" s="1"/>
  <c r="P33" i="1"/>
  <c r="Q33" i="1" s="1"/>
  <c r="P49" i="1"/>
  <c r="Q49" i="1" s="1"/>
  <c r="P57" i="1"/>
  <c r="Q57" i="1" s="1"/>
  <c r="P158" i="1"/>
  <c r="Q158" i="1" s="1"/>
  <c r="P178" i="1"/>
  <c r="Q178" i="1" s="1"/>
  <c r="P67" i="1"/>
  <c r="Q67" i="1" s="1"/>
  <c r="P112" i="1"/>
  <c r="Q112" i="1" s="1"/>
  <c r="P27" i="1"/>
  <c r="Q27" i="1" s="1"/>
  <c r="P54" i="1"/>
  <c r="Q54" i="1" s="1"/>
  <c r="P144" i="1"/>
  <c r="Q144" i="1" s="1"/>
  <c r="V188" i="1"/>
  <c r="W188" i="1" s="1"/>
  <c r="P277" i="1"/>
  <c r="Q277" i="1" s="1"/>
  <c r="P207" i="1"/>
  <c r="Q207" i="1" s="1"/>
  <c r="P278" i="1"/>
  <c r="Q278" i="1" s="1"/>
  <c r="P225" i="1"/>
  <c r="Q225" i="1" s="1"/>
  <c r="P301" i="1"/>
  <c r="Q301" i="1" s="1"/>
  <c r="P213" i="1"/>
  <c r="Q213" i="1" s="1"/>
  <c r="P262" i="1"/>
  <c r="Q262" i="1" s="1"/>
  <c r="P271" i="1"/>
  <c r="Q271" i="1" s="1"/>
  <c r="P217" i="1"/>
  <c r="Q217" i="1" s="1"/>
  <c r="P249" i="1"/>
  <c r="Q249" i="1" s="1"/>
  <c r="V181" i="1"/>
  <c r="W181" i="1" s="1"/>
  <c r="V173" i="1"/>
  <c r="W173" i="1" s="1"/>
  <c r="V165" i="1"/>
  <c r="W165" i="1" s="1"/>
  <c r="V157" i="1"/>
  <c r="W157" i="1" s="1"/>
  <c r="V149" i="1"/>
  <c r="W149" i="1" s="1"/>
  <c r="V141" i="1"/>
  <c r="W141" i="1" s="1"/>
  <c r="V133" i="1"/>
  <c r="W133" i="1" s="1"/>
  <c r="V125" i="1"/>
  <c r="W125" i="1" s="1"/>
  <c r="V117" i="1"/>
  <c r="W117" i="1" s="1"/>
  <c r="V109" i="1"/>
  <c r="W109" i="1" s="1"/>
  <c r="V101" i="1"/>
  <c r="W101" i="1" s="1"/>
  <c r="V93" i="1"/>
  <c r="W93" i="1" s="1"/>
  <c r="V85" i="1"/>
  <c r="W85" i="1" s="1"/>
  <c r="V77" i="1"/>
  <c r="W77" i="1" s="1"/>
  <c r="V69" i="1"/>
  <c r="W69" i="1" s="1"/>
  <c r="V61" i="1"/>
  <c r="W61" i="1" s="1"/>
  <c r="V53" i="1"/>
  <c r="W53" i="1" s="1"/>
  <c r="V45" i="1"/>
  <c r="W45" i="1" s="1"/>
  <c r="V37" i="1"/>
  <c r="W37" i="1" s="1"/>
  <c r="V29" i="1"/>
  <c r="W29" i="1" s="1"/>
  <c r="P48" i="1"/>
  <c r="Q48" i="1" s="1"/>
  <c r="P166" i="1"/>
  <c r="Q166" i="1" s="1"/>
  <c r="P81" i="1"/>
  <c r="Q81" i="1" s="1"/>
  <c r="P52" i="1"/>
  <c r="Q52" i="1" s="1"/>
  <c r="P56" i="1"/>
  <c r="Q56" i="1" s="1"/>
  <c r="P147" i="1"/>
  <c r="Q147" i="1" s="1"/>
  <c r="P89" i="1"/>
  <c r="Q89" i="1" s="1"/>
  <c r="P125" i="1"/>
  <c r="Q125" i="1" s="1"/>
  <c r="P155" i="1"/>
  <c r="Q155" i="1" s="1"/>
  <c r="P138" i="1"/>
  <c r="Q138" i="1" s="1"/>
  <c r="P149" i="1"/>
  <c r="Q149" i="1" s="1"/>
  <c r="P106" i="1"/>
  <c r="Q106" i="1" s="1"/>
  <c r="P137" i="1"/>
  <c r="Q137" i="1" s="1"/>
  <c r="P128" i="1"/>
  <c r="Q128" i="1" s="1"/>
  <c r="P170" i="1"/>
  <c r="Q170" i="1" s="1"/>
  <c r="P30" i="1"/>
  <c r="Q30" i="1" s="1"/>
  <c r="P119" i="1"/>
  <c r="Q119" i="1" s="1"/>
  <c r="P51" i="1"/>
  <c r="Q51" i="1" s="1"/>
  <c r="P96" i="1"/>
  <c r="Q96" i="1" s="1"/>
  <c r="P136" i="1"/>
  <c r="Q136" i="1" s="1"/>
  <c r="V190" i="1"/>
  <c r="W190" i="1" s="1"/>
  <c r="V187" i="1"/>
  <c r="W187" i="1" s="1"/>
  <c r="P298" i="1"/>
  <c r="Q298" i="1" s="1"/>
  <c r="P250" i="1"/>
  <c r="Q250" i="1" s="1"/>
  <c r="P297" i="1"/>
  <c r="Q297" i="1" s="1"/>
  <c r="P206" i="1"/>
  <c r="Q206" i="1" s="1"/>
  <c r="P237" i="1"/>
  <c r="Q237" i="1" s="1"/>
  <c r="P279" i="1"/>
  <c r="Q279" i="1" s="1"/>
  <c r="P258" i="1"/>
  <c r="Q258" i="1" s="1"/>
  <c r="P255" i="1"/>
  <c r="Q255" i="1" s="1"/>
  <c r="P270" i="1"/>
  <c r="Q270" i="1" s="1"/>
  <c r="P291" i="1"/>
  <c r="Q291" i="1" s="1"/>
  <c r="V180" i="1"/>
  <c r="W180" i="1" s="1"/>
  <c r="V172" i="1"/>
  <c r="W172" i="1" s="1"/>
  <c r="V164" i="1"/>
  <c r="W164" i="1" s="1"/>
  <c r="V156" i="1"/>
  <c r="W156" i="1" s="1"/>
  <c r="V148" i="1"/>
  <c r="W148" i="1" s="1"/>
  <c r="V140" i="1"/>
  <c r="W140" i="1" s="1"/>
  <c r="V132" i="1"/>
  <c r="W132" i="1" s="1"/>
  <c r="V124" i="1"/>
  <c r="W124" i="1" s="1"/>
  <c r="V116" i="1"/>
  <c r="W116" i="1" s="1"/>
  <c r="V108" i="1"/>
  <c r="W108" i="1" s="1"/>
  <c r="V100" i="1"/>
  <c r="W100" i="1" s="1"/>
  <c r="V92" i="1"/>
  <c r="W92" i="1" s="1"/>
  <c r="V84" i="1"/>
  <c r="W84" i="1" s="1"/>
  <c r="V76" i="1"/>
  <c r="W76" i="1" s="1"/>
  <c r="V68" i="1"/>
  <c r="W68" i="1" s="1"/>
  <c r="V60" i="1"/>
  <c r="W60" i="1" s="1"/>
  <c r="V52" i="1"/>
  <c r="W52" i="1" s="1"/>
  <c r="V44" i="1"/>
  <c r="W44" i="1" s="1"/>
  <c r="V36" i="1"/>
  <c r="W36" i="1" s="1"/>
  <c r="P154" i="1"/>
  <c r="Q154" i="1" s="1"/>
  <c r="P169" i="1"/>
  <c r="Q169" i="1" s="1"/>
  <c r="P79" i="1"/>
  <c r="Q79" i="1" s="1"/>
  <c r="P109" i="1"/>
  <c r="Q109" i="1" s="1"/>
  <c r="P174" i="1"/>
  <c r="Q174" i="1" s="1"/>
  <c r="P44" i="1"/>
  <c r="Q44" i="1" s="1"/>
  <c r="P139" i="1"/>
  <c r="Q139" i="1" s="1"/>
  <c r="P175" i="1"/>
  <c r="Q175" i="1" s="1"/>
  <c r="P47" i="1"/>
  <c r="Q47" i="1" s="1"/>
  <c r="P127" i="1"/>
  <c r="Q127" i="1" s="1"/>
  <c r="P60" i="1"/>
  <c r="Q60" i="1" s="1"/>
  <c r="P93" i="1"/>
  <c r="Q93" i="1" s="1"/>
  <c r="P184" i="1"/>
  <c r="Q184" i="1" s="1"/>
  <c r="P148" i="1"/>
  <c r="Q148" i="1" s="1"/>
  <c r="P123" i="1"/>
  <c r="Q123" i="1" s="1"/>
  <c r="P117" i="1"/>
  <c r="Q117" i="1" s="1"/>
  <c r="P107" i="1"/>
  <c r="Q107" i="1" s="1"/>
  <c r="P71" i="1"/>
  <c r="Q71" i="1" s="1"/>
  <c r="P65" i="1"/>
  <c r="Q65" i="1" s="1"/>
  <c r="P55" i="1"/>
  <c r="Q55" i="1" s="1"/>
  <c r="P118" i="1"/>
  <c r="Q118" i="1" s="1"/>
  <c r="P307" i="1"/>
  <c r="Q307" i="1" s="1"/>
  <c r="P263" i="1"/>
  <c r="Q263" i="1" s="1"/>
  <c r="P212" i="1"/>
  <c r="Q212" i="1" s="1"/>
  <c r="P303" i="1"/>
  <c r="Q303" i="1" s="1"/>
  <c r="P266" i="1"/>
  <c r="Q266" i="1" s="1"/>
  <c r="P256" i="1"/>
  <c r="Q256" i="1" s="1"/>
  <c r="P210" i="1"/>
  <c r="Q210" i="1" s="1"/>
  <c r="P200" i="1"/>
  <c r="Q200" i="1" s="1"/>
  <c r="P197" i="1"/>
  <c r="Q197" i="1" s="1"/>
  <c r="P214" i="1"/>
  <c r="Q214" i="1" s="1"/>
  <c r="P211" i="1"/>
  <c r="Q211" i="1" s="1"/>
  <c r="V179" i="1"/>
  <c r="W179" i="1" s="1"/>
  <c r="V171" i="1"/>
  <c r="W171" i="1" s="1"/>
  <c r="V163" i="1"/>
  <c r="W163" i="1" s="1"/>
  <c r="V155" i="1"/>
  <c r="W155" i="1" s="1"/>
  <c r="V147" i="1"/>
  <c r="W147" i="1" s="1"/>
  <c r="V139" i="1"/>
  <c r="W139" i="1" s="1"/>
  <c r="V131" i="1"/>
  <c r="W131" i="1" s="1"/>
  <c r="V123" i="1"/>
  <c r="W123" i="1" s="1"/>
  <c r="V115" i="1"/>
  <c r="W115" i="1" s="1"/>
  <c r="V107" i="1"/>
  <c r="W107" i="1" s="1"/>
  <c r="V99" i="1"/>
  <c r="W99" i="1" s="1"/>
  <c r="V91" i="1"/>
  <c r="W91" i="1" s="1"/>
  <c r="V83" i="1"/>
  <c r="W83" i="1" s="1"/>
  <c r="V75" i="1"/>
  <c r="W75" i="1" s="1"/>
  <c r="V67" i="1"/>
  <c r="W67" i="1" s="1"/>
  <c r="V59" i="1"/>
  <c r="W59" i="1" s="1"/>
  <c r="V51" i="1"/>
  <c r="W51" i="1" s="1"/>
  <c r="V43" i="1"/>
  <c r="W43" i="1" s="1"/>
  <c r="V35" i="1"/>
  <c r="W35" i="1" s="1"/>
  <c r="P97" i="1"/>
  <c r="Q97" i="1" s="1"/>
  <c r="P145" i="1"/>
  <c r="Q145" i="1" s="1"/>
  <c r="P39" i="1"/>
  <c r="Q39" i="1" s="1"/>
  <c r="P167" i="1"/>
  <c r="Q167" i="1" s="1"/>
  <c r="P185" i="1"/>
  <c r="Q185" i="1" s="1"/>
  <c r="P38" i="1"/>
  <c r="Q38" i="1" s="1"/>
  <c r="P64" i="1"/>
  <c r="Q64" i="1" s="1"/>
  <c r="P29" i="1"/>
  <c r="Q29" i="1" s="1"/>
  <c r="P61" i="1"/>
  <c r="Q61" i="1" s="1"/>
  <c r="P85" i="1"/>
  <c r="Q85" i="1" s="1"/>
  <c r="P132" i="1"/>
  <c r="Q132" i="1" s="1"/>
  <c r="P126" i="1"/>
  <c r="Q126" i="1" s="1"/>
  <c r="P100" i="1"/>
  <c r="Q100" i="1" s="1"/>
  <c r="P186" i="1"/>
  <c r="Q186" i="1" s="1"/>
  <c r="P165" i="1"/>
  <c r="Q165" i="1" s="1"/>
  <c r="P46" i="1"/>
  <c r="Q46" i="1" s="1"/>
  <c r="P95" i="1"/>
  <c r="Q95" i="1" s="1"/>
  <c r="P133" i="1"/>
  <c r="Q133" i="1" s="1"/>
  <c r="P99" i="1"/>
  <c r="Q99" i="1" s="1"/>
  <c r="P111" i="1"/>
  <c r="Q111" i="1" s="1"/>
  <c r="P73" i="1"/>
  <c r="Q73" i="1" s="1"/>
  <c r="P205" i="1"/>
  <c r="Q205" i="1" s="1"/>
  <c r="P245" i="1"/>
  <c r="Q245" i="1" s="1"/>
  <c r="P204" i="1"/>
  <c r="Q204" i="1" s="1"/>
  <c r="P254" i="1"/>
  <c r="Q254" i="1" s="1"/>
  <c r="P287" i="1"/>
  <c r="Q287" i="1" s="1"/>
  <c r="P189" i="1"/>
  <c r="Q189" i="1" s="1"/>
  <c r="P268" i="1"/>
  <c r="Q268" i="1" s="1"/>
  <c r="P280" i="1"/>
  <c r="Q280" i="1" s="1"/>
  <c r="P289" i="1"/>
  <c r="Q289" i="1" s="1"/>
  <c r="P216" i="1"/>
  <c r="Q216" i="1" s="1"/>
  <c r="P276" i="1"/>
  <c r="Q276" i="1" s="1"/>
  <c r="V138" i="1"/>
  <c r="W138" i="1" s="1"/>
  <c r="V130" i="1"/>
  <c r="W130" i="1" s="1"/>
  <c r="V122" i="1"/>
  <c r="W122" i="1" s="1"/>
  <c r="V114" i="1"/>
  <c r="W114" i="1" s="1"/>
  <c r="V106" i="1"/>
  <c r="W106" i="1" s="1"/>
  <c r="V98" i="1"/>
  <c r="W98" i="1" s="1"/>
  <c r="V90" i="1"/>
  <c r="W90" i="1" s="1"/>
  <c r="V82" i="1"/>
  <c r="W82" i="1" s="1"/>
  <c r="V74" i="1"/>
  <c r="W74" i="1" s="1"/>
  <c r="V66" i="1"/>
  <c r="W66" i="1" s="1"/>
  <c r="V58" i="1"/>
  <c r="W58" i="1" s="1"/>
  <c r="V50" i="1"/>
  <c r="W50" i="1" s="1"/>
  <c r="V42" i="1"/>
  <c r="W42" i="1" s="1"/>
  <c r="V34" i="1"/>
  <c r="W34" i="1" s="1"/>
  <c r="P146" i="1"/>
  <c r="Q146" i="1" s="1"/>
  <c r="P152" i="1"/>
  <c r="Q152" i="1" s="1"/>
  <c r="P140" i="1"/>
  <c r="Q140" i="1" s="1"/>
  <c r="P42" i="1"/>
  <c r="Q42" i="1" s="1"/>
  <c r="P151" i="1"/>
  <c r="Q151" i="1" s="1"/>
  <c r="P43" i="1"/>
  <c r="Q43" i="1" s="1"/>
  <c r="P77" i="1"/>
  <c r="Q77" i="1" s="1"/>
  <c r="P115" i="1"/>
  <c r="Q115" i="1" s="1"/>
  <c r="P91" i="1"/>
  <c r="Q91" i="1" s="1"/>
  <c r="P121" i="1"/>
  <c r="Q121" i="1" s="1"/>
  <c r="P143" i="1"/>
  <c r="Q143" i="1" s="1"/>
  <c r="P120" i="1"/>
  <c r="Q120" i="1" s="1"/>
  <c r="P104" i="1"/>
  <c r="Q104" i="1" s="1"/>
  <c r="P34" i="1"/>
  <c r="Q34" i="1" s="1"/>
  <c r="P74" i="1"/>
  <c r="Q74" i="1" s="1"/>
  <c r="P35" i="1"/>
  <c r="Q35" i="1" s="1"/>
  <c r="P173" i="1"/>
  <c r="Q173" i="1" s="1"/>
  <c r="P103" i="1"/>
  <c r="Q103" i="1" s="1"/>
  <c r="P105" i="1"/>
  <c r="Q105" i="1" s="1"/>
  <c r="P102" i="1"/>
  <c r="Q102" i="1" s="1"/>
  <c r="V27" i="1"/>
  <c r="W27" i="1" s="1"/>
  <c r="P224" i="1"/>
  <c r="Q224" i="1" s="1"/>
  <c r="P233" i="1"/>
  <c r="Q233" i="1" s="1"/>
  <c r="P209" i="1"/>
  <c r="Q209" i="1" s="1"/>
  <c r="P269" i="1"/>
  <c r="Q269" i="1" s="1"/>
  <c r="P241" i="1"/>
  <c r="Q241" i="1" s="1"/>
  <c r="P285" i="1"/>
  <c r="Q285" i="1" s="1"/>
  <c r="P219" i="1"/>
  <c r="Q219" i="1" s="1"/>
  <c r="P252" i="1"/>
  <c r="Q252" i="1" s="1"/>
  <c r="P284" i="1"/>
  <c r="Q284" i="1" s="1"/>
  <c r="P229" i="1"/>
  <c r="Q229" i="1" s="1"/>
  <c r="P272" i="1"/>
  <c r="Q272" i="1" s="1"/>
  <c r="P281" i="1"/>
  <c r="Q281" i="1" s="1"/>
  <c r="P251" i="1"/>
  <c r="Q251" i="1" s="1"/>
  <c r="P306" i="1"/>
  <c r="Q306" i="1" s="1"/>
  <c r="P230" i="1"/>
  <c r="Q230" i="1" s="1"/>
  <c r="P242" i="1"/>
  <c r="Q242" i="1" s="1"/>
  <c r="P202" i="1"/>
  <c r="Q202" i="1" s="1"/>
  <c r="P227" i="1"/>
  <c r="Q227" i="1" s="1"/>
  <c r="P302" i="1"/>
  <c r="Q302" i="1" s="1"/>
  <c r="P294" i="1"/>
  <c r="Q294" i="1" s="1"/>
  <c r="P290" i="1"/>
  <c r="Q290" i="1" s="1"/>
  <c r="P190" i="1"/>
  <c r="Q190" i="1" s="1"/>
  <c r="P203" i="1"/>
  <c r="Q203" i="1" s="1"/>
  <c r="P288" i="1"/>
  <c r="Q288" i="1" s="1"/>
  <c r="P293" i="1"/>
  <c r="Q293" i="1" s="1"/>
  <c r="P222" i="1"/>
  <c r="Q222" i="1" s="1"/>
  <c r="P198" i="1"/>
  <c r="Q198" i="1" s="1"/>
  <c r="P292" i="1"/>
  <c r="Q292" i="1" s="1"/>
  <c r="P275" i="1"/>
  <c r="Q275" i="1" s="1"/>
  <c r="P261" i="1"/>
  <c r="Q261" i="1" s="1"/>
  <c r="P236" i="1"/>
  <c r="Q236" i="1" s="1"/>
  <c r="P253" i="1"/>
  <c r="Q253" i="1" s="1"/>
  <c r="P194" i="1"/>
  <c r="Q194" i="1" s="1"/>
  <c r="P232" i="1"/>
  <c r="Q232" i="1" s="1"/>
  <c r="P218" i="1"/>
  <c r="Q218" i="1" s="1"/>
  <c r="P191" i="1"/>
  <c r="Q191" i="1" s="1"/>
  <c r="P196" i="1"/>
  <c r="Q196" i="1" s="1"/>
  <c r="P238" i="1"/>
  <c r="Q238" i="1" s="1"/>
  <c r="P192" i="1"/>
  <c r="Q192" i="1" s="1"/>
  <c r="P235" i="1"/>
  <c r="Q235" i="1" s="1"/>
  <c r="P273" i="1"/>
  <c r="Q273" i="1" s="1"/>
  <c r="P215" i="1"/>
  <c r="Q215" i="1" s="1"/>
  <c r="P305" i="1"/>
  <c r="Q305" i="1" s="1"/>
  <c r="P264" i="1"/>
  <c r="Q264" i="1" s="1"/>
  <c r="P274" i="1"/>
  <c r="Q274" i="1" s="1"/>
  <c r="P188" i="1"/>
  <c r="Q188" i="1" s="1"/>
  <c r="P231" i="1"/>
  <c r="Q231" i="1" s="1"/>
  <c r="P248" i="1"/>
  <c r="Q248" i="1" s="1"/>
  <c r="P244" i="1"/>
  <c r="Q244" i="1" s="1"/>
  <c r="P228" i="1"/>
  <c r="Q228" i="1" s="1"/>
  <c r="P257" i="1"/>
  <c r="Q257" i="1" s="1"/>
  <c r="P221" i="1"/>
  <c r="Q221" i="1" s="1"/>
  <c r="P195" i="1"/>
  <c r="Q195" i="1" s="1"/>
  <c r="P283" i="1"/>
  <c r="Q283" i="1" s="1"/>
  <c r="P265" i="1"/>
  <c r="Q265" i="1" s="1"/>
  <c r="P260" i="1"/>
  <c r="Q260" i="1" s="1"/>
  <c r="P282" i="1"/>
  <c r="Q282" i="1" s="1"/>
  <c r="F14" i="6"/>
  <c r="F13" i="6"/>
  <c r="U192" i="1"/>
  <c r="V191" i="1"/>
  <c r="W191" i="1" s="1"/>
  <c r="T191" i="1"/>
  <c r="S192" i="1"/>
  <c r="R192" i="1"/>
  <c r="F17" i="6"/>
  <c r="F18" i="6"/>
  <c r="D18" i="6"/>
  <c r="D14" i="6"/>
  <c r="D17" i="6"/>
  <c r="D15" i="6"/>
  <c r="D13" i="6"/>
  <c r="V192" i="1" l="1"/>
  <c r="W192" i="1" s="1"/>
  <c r="S193" i="1"/>
  <c r="T192" i="1"/>
  <c r="R193" i="1"/>
  <c r="U193" i="1"/>
  <c r="U194" i="1" l="1"/>
  <c r="R194" i="1"/>
  <c r="T193" i="1"/>
  <c r="S194" i="1"/>
  <c r="V193" i="1"/>
  <c r="W193" i="1" s="1"/>
  <c r="S195" i="1" l="1"/>
  <c r="V194" i="1"/>
  <c r="W194" i="1" s="1"/>
  <c r="T194" i="1"/>
  <c r="R195" i="1"/>
  <c r="U195" i="1"/>
  <c r="R196" i="1" l="1"/>
  <c r="U196" i="1"/>
  <c r="S196" i="1"/>
  <c r="T195" i="1"/>
  <c r="V195" i="1"/>
  <c r="W195" i="1" s="1"/>
  <c r="R197" i="1" l="1"/>
  <c r="S197" i="1"/>
  <c r="V196" i="1"/>
  <c r="W196" i="1" s="1"/>
  <c r="T196" i="1"/>
  <c r="U197" i="1"/>
  <c r="U198" i="1" l="1"/>
  <c r="S198" i="1"/>
  <c r="T197" i="1"/>
  <c r="V197" i="1"/>
  <c r="W197" i="1" s="1"/>
  <c r="R198" i="1"/>
  <c r="R199" i="1" l="1"/>
  <c r="T198" i="1"/>
  <c r="V198" i="1"/>
  <c r="W198" i="1" s="1"/>
  <c r="S199" i="1"/>
  <c r="U199" i="1"/>
  <c r="R200" i="1" l="1"/>
  <c r="U200" i="1"/>
  <c r="T199" i="1"/>
  <c r="V199" i="1"/>
  <c r="W199" i="1" s="1"/>
  <c r="S200" i="1"/>
  <c r="U201" i="1" l="1"/>
  <c r="V200" i="1"/>
  <c r="W200" i="1" s="1"/>
  <c r="T200" i="1"/>
  <c r="S201" i="1"/>
  <c r="R201" i="1"/>
  <c r="R202" i="1" l="1"/>
  <c r="V201" i="1"/>
  <c r="W201" i="1" s="1"/>
  <c r="T201" i="1"/>
  <c r="S202" i="1"/>
  <c r="U202" i="1"/>
  <c r="U203" i="1" l="1"/>
  <c r="S203" i="1"/>
  <c r="V202" i="1"/>
  <c r="W202" i="1" s="1"/>
  <c r="T202" i="1"/>
  <c r="R203" i="1"/>
  <c r="R204" i="1" l="1"/>
  <c r="S204" i="1"/>
  <c r="T203" i="1"/>
  <c r="V203" i="1"/>
  <c r="W203" i="1" s="1"/>
  <c r="U204" i="1"/>
  <c r="U205" i="1" l="1"/>
  <c r="S205" i="1"/>
  <c r="V204" i="1"/>
  <c r="W204" i="1" s="1"/>
  <c r="T204" i="1"/>
  <c r="R205" i="1"/>
  <c r="R206" i="1" l="1"/>
  <c r="V205" i="1"/>
  <c r="W205" i="1" s="1"/>
  <c r="T205" i="1"/>
  <c r="S206" i="1"/>
  <c r="U206" i="1"/>
  <c r="U207" i="1" l="1"/>
  <c r="R207" i="1"/>
  <c r="S207" i="1"/>
  <c r="V206" i="1"/>
  <c r="W206" i="1" s="1"/>
  <c r="T206" i="1"/>
  <c r="R208" i="1" l="1"/>
  <c r="T207" i="1"/>
  <c r="V207" i="1"/>
  <c r="W207" i="1" s="1"/>
  <c r="S208" i="1"/>
  <c r="U208" i="1"/>
  <c r="R209" i="1" l="1"/>
  <c r="U209" i="1"/>
  <c r="V208" i="1"/>
  <c r="W208" i="1" s="1"/>
  <c r="T208" i="1"/>
  <c r="S209" i="1"/>
  <c r="S210" i="1" l="1"/>
  <c r="T209" i="1"/>
  <c r="V209" i="1"/>
  <c r="W209" i="1" s="1"/>
  <c r="U210" i="1"/>
  <c r="R210" i="1"/>
  <c r="R211" i="1" l="1"/>
  <c r="U211" i="1"/>
  <c r="T210" i="1"/>
  <c r="S211" i="1"/>
  <c r="V210" i="1"/>
  <c r="W210" i="1" s="1"/>
  <c r="T211" i="1" l="1"/>
  <c r="V211" i="1"/>
  <c r="W211" i="1" s="1"/>
  <c r="S212" i="1"/>
  <c r="U212" i="1"/>
  <c r="R212" i="1"/>
  <c r="R213" i="1" l="1"/>
  <c r="U213" i="1"/>
  <c r="T212" i="1"/>
  <c r="S213" i="1"/>
  <c r="V212" i="1"/>
  <c r="W212" i="1" s="1"/>
  <c r="T213" i="1" l="1"/>
  <c r="V213" i="1"/>
  <c r="W213" i="1" s="1"/>
  <c r="S214" i="1"/>
  <c r="U214" i="1"/>
  <c r="R214" i="1"/>
  <c r="R215" i="1" s="1"/>
  <c r="U215" i="1" l="1"/>
  <c r="S215" i="1"/>
  <c r="V214" i="1"/>
  <c r="W214" i="1" s="1"/>
  <c r="T214" i="1"/>
  <c r="V215" i="1" l="1"/>
  <c r="W215" i="1" s="1"/>
  <c r="S216" i="1"/>
  <c r="T215" i="1"/>
  <c r="R216" i="1"/>
  <c r="U216" i="1"/>
  <c r="U217" i="1" l="1"/>
  <c r="R217" i="1"/>
  <c r="T216" i="1"/>
  <c r="V216" i="1"/>
  <c r="W216" i="1" s="1"/>
  <c r="S217" i="1"/>
  <c r="R218" i="1" s="1"/>
  <c r="V217" i="1" l="1"/>
  <c r="W217" i="1" s="1"/>
  <c r="S218" i="1"/>
  <c r="T217" i="1"/>
  <c r="U218" i="1"/>
  <c r="U219" i="1" l="1"/>
  <c r="S219" i="1"/>
  <c r="V218" i="1"/>
  <c r="W218" i="1" s="1"/>
  <c r="T218" i="1"/>
  <c r="R219" i="1"/>
  <c r="R220" i="1" s="1"/>
  <c r="U220" i="1" l="1"/>
  <c r="V219" i="1"/>
  <c r="W219" i="1" s="1"/>
  <c r="T219" i="1"/>
  <c r="S220" i="1"/>
  <c r="T220" i="1" l="1"/>
  <c r="V220" i="1"/>
  <c r="W220" i="1" s="1"/>
  <c r="S221" i="1"/>
  <c r="U221" i="1"/>
  <c r="R221" i="1"/>
  <c r="U222" i="1" l="1"/>
  <c r="R222" i="1"/>
  <c r="T221" i="1"/>
  <c r="S222" i="1"/>
  <c r="V221" i="1"/>
  <c r="W221" i="1" s="1"/>
  <c r="U223" i="1" l="1"/>
  <c r="S223" i="1"/>
  <c r="V222" i="1"/>
  <c r="W222" i="1" s="1"/>
  <c r="T222" i="1"/>
  <c r="R223" i="1"/>
  <c r="R224" i="1" s="1"/>
  <c r="S224" i="1" l="1"/>
  <c r="T223" i="1"/>
  <c r="V223" i="1"/>
  <c r="W223" i="1" s="1"/>
  <c r="U224" i="1"/>
  <c r="U225" i="1" l="1"/>
  <c r="T224" i="1"/>
  <c r="S225" i="1"/>
  <c r="V224" i="1"/>
  <c r="W224" i="1" s="1"/>
  <c r="R225" i="1"/>
  <c r="R226" i="1" l="1"/>
  <c r="S226" i="1"/>
  <c r="T225" i="1"/>
  <c r="V225" i="1"/>
  <c r="W225" i="1" s="1"/>
  <c r="U226" i="1"/>
  <c r="U227" i="1" l="1"/>
  <c r="S227" i="1"/>
  <c r="V226" i="1"/>
  <c r="W226" i="1" s="1"/>
  <c r="T226" i="1"/>
  <c r="R227" i="1"/>
  <c r="R228" i="1" s="1"/>
  <c r="V227" i="1" l="1"/>
  <c r="W227" i="1" s="1"/>
  <c r="S228" i="1"/>
  <c r="T227" i="1"/>
  <c r="U228" i="1"/>
  <c r="U229" i="1" l="1"/>
  <c r="T228" i="1"/>
  <c r="S229" i="1"/>
  <c r="V228" i="1"/>
  <c r="W228" i="1" s="1"/>
  <c r="R229" i="1"/>
  <c r="R230" i="1" l="1"/>
  <c r="V229" i="1"/>
  <c r="W229" i="1" s="1"/>
  <c r="S230" i="1"/>
  <c r="T229" i="1"/>
  <c r="U230" i="1"/>
  <c r="U231" i="1" l="1"/>
  <c r="S231" i="1"/>
  <c r="T230" i="1"/>
  <c r="V230" i="1"/>
  <c r="W230" i="1" s="1"/>
  <c r="R231" i="1"/>
  <c r="R232" i="1" s="1"/>
  <c r="S232" i="1" l="1"/>
  <c r="T231" i="1"/>
  <c r="V231" i="1"/>
  <c r="W231" i="1" s="1"/>
  <c r="U232" i="1"/>
  <c r="U233" i="1" l="1"/>
  <c r="T232" i="1"/>
  <c r="V232" i="1"/>
  <c r="W232" i="1" s="1"/>
  <c r="S233" i="1"/>
  <c r="R233" i="1"/>
  <c r="R234" i="1" l="1"/>
  <c r="V233" i="1"/>
  <c r="W233" i="1" s="1"/>
  <c r="T233" i="1"/>
  <c r="S234" i="1"/>
  <c r="U234" i="1"/>
  <c r="U235" i="1" l="1"/>
  <c r="R235" i="1"/>
  <c r="S235" i="1"/>
  <c r="V234" i="1"/>
  <c r="W234" i="1" s="1"/>
  <c r="T234" i="1"/>
  <c r="R236" i="1" l="1"/>
  <c r="V235" i="1"/>
  <c r="W235" i="1" s="1"/>
  <c r="S236" i="1"/>
  <c r="T235" i="1"/>
  <c r="U236" i="1"/>
  <c r="R237" i="1" l="1"/>
  <c r="U237" i="1"/>
  <c r="T236" i="1"/>
  <c r="S237" i="1"/>
  <c r="V236" i="1"/>
  <c r="W236" i="1" s="1"/>
  <c r="V237" i="1" l="1"/>
  <c r="W237" i="1" s="1"/>
  <c r="T237" i="1"/>
  <c r="S238" i="1"/>
  <c r="R238" i="1"/>
  <c r="U238" i="1"/>
  <c r="R239" i="1" l="1"/>
  <c r="U239" i="1"/>
  <c r="S239" i="1"/>
  <c r="V238" i="1"/>
  <c r="W238" i="1" s="1"/>
  <c r="T238" i="1"/>
  <c r="U240" i="1" l="1"/>
  <c r="S240" i="1"/>
  <c r="T239" i="1"/>
  <c r="V239" i="1"/>
  <c r="W239" i="1" s="1"/>
  <c r="R240" i="1"/>
  <c r="R241" i="1" s="1"/>
  <c r="T240" i="1" l="1"/>
  <c r="S241" i="1"/>
  <c r="V240" i="1"/>
  <c r="W240" i="1" s="1"/>
  <c r="U241" i="1"/>
  <c r="U242" i="1" s="1"/>
  <c r="S242" i="1" l="1"/>
  <c r="V241" i="1"/>
  <c r="W241" i="1" s="1"/>
  <c r="T241" i="1"/>
  <c r="R242" i="1"/>
  <c r="R243" i="1" s="1"/>
  <c r="V242" i="1" l="1"/>
  <c r="W242" i="1" s="1"/>
  <c r="S243" i="1"/>
  <c r="T242" i="1"/>
  <c r="U243" i="1"/>
  <c r="U244" i="1" s="1"/>
  <c r="S244" i="1" l="1"/>
  <c r="V243" i="1"/>
  <c r="W243" i="1" s="1"/>
  <c r="T243" i="1"/>
  <c r="R244" i="1"/>
  <c r="R245" i="1" s="1"/>
  <c r="T244" i="1" l="1"/>
  <c r="S245" i="1"/>
  <c r="V244" i="1"/>
  <c r="W244" i="1" s="1"/>
  <c r="U245" i="1"/>
  <c r="U246" i="1" s="1"/>
  <c r="S246" i="1" l="1"/>
  <c r="T245" i="1"/>
  <c r="V245" i="1"/>
  <c r="W245" i="1" s="1"/>
  <c r="R246" i="1"/>
  <c r="R247" i="1" s="1"/>
  <c r="S247" i="1" l="1"/>
  <c r="V246" i="1"/>
  <c r="W246" i="1" s="1"/>
  <c r="T246" i="1"/>
  <c r="U247" i="1"/>
  <c r="U248" i="1" l="1"/>
  <c r="T247" i="1"/>
  <c r="S248" i="1"/>
  <c r="V247" i="1"/>
  <c r="W247" i="1" s="1"/>
  <c r="R248" i="1"/>
  <c r="R249" i="1" l="1"/>
  <c r="S249" i="1"/>
  <c r="T248" i="1"/>
  <c r="V248" i="1"/>
  <c r="W248" i="1" s="1"/>
  <c r="U249" i="1"/>
  <c r="U250" i="1" s="1"/>
  <c r="S250" i="1" l="1"/>
  <c r="V249" i="1"/>
  <c r="W249" i="1" s="1"/>
  <c r="T249" i="1"/>
  <c r="R250" i="1"/>
  <c r="R251" i="1" s="1"/>
  <c r="V250" i="1" l="1"/>
  <c r="W250" i="1" s="1"/>
  <c r="S251" i="1"/>
  <c r="T250" i="1"/>
  <c r="U251" i="1"/>
  <c r="U252" i="1" l="1"/>
  <c r="S252" i="1"/>
  <c r="V251" i="1"/>
  <c r="W251" i="1" s="1"/>
  <c r="T251" i="1"/>
  <c r="R252" i="1"/>
  <c r="R253" i="1" s="1"/>
  <c r="T252" i="1" l="1"/>
  <c r="S253" i="1"/>
  <c r="V252" i="1"/>
  <c r="W252" i="1" s="1"/>
  <c r="U253" i="1"/>
  <c r="U254" i="1" l="1"/>
  <c r="S254" i="1"/>
  <c r="T253" i="1"/>
  <c r="V253" i="1"/>
  <c r="W253" i="1" s="1"/>
  <c r="R254" i="1"/>
  <c r="R255" i="1" l="1"/>
  <c r="S255" i="1"/>
  <c r="V254" i="1"/>
  <c r="W254" i="1" s="1"/>
  <c r="T254" i="1"/>
  <c r="U255" i="1"/>
  <c r="U256" i="1" s="1"/>
  <c r="T255" i="1" l="1"/>
  <c r="S256" i="1"/>
  <c r="V255" i="1"/>
  <c r="W255" i="1" s="1"/>
  <c r="R256" i="1"/>
  <c r="R257" i="1" s="1"/>
  <c r="V256" i="1" l="1"/>
  <c r="W256" i="1" s="1"/>
  <c r="T256" i="1"/>
  <c r="S257" i="1"/>
  <c r="U257" i="1"/>
  <c r="U258" i="1" l="1"/>
  <c r="S258" i="1"/>
  <c r="V257" i="1"/>
  <c r="W257" i="1" s="1"/>
  <c r="T257" i="1"/>
  <c r="R258" i="1"/>
  <c r="R259" i="1" s="1"/>
  <c r="U259" i="1" l="1"/>
  <c r="V258" i="1"/>
  <c r="W258" i="1" s="1"/>
  <c r="S259" i="1"/>
  <c r="T258" i="1"/>
  <c r="S260" i="1" l="1"/>
  <c r="T259" i="1"/>
  <c r="V259" i="1"/>
  <c r="W259" i="1" s="1"/>
  <c r="R260" i="1"/>
  <c r="U260" i="1"/>
  <c r="U261" i="1" l="1"/>
  <c r="R261" i="1"/>
  <c r="V260" i="1"/>
  <c r="W260" i="1" s="1"/>
  <c r="T260" i="1"/>
  <c r="S261" i="1"/>
  <c r="S262" i="1" l="1"/>
  <c r="T261" i="1"/>
  <c r="V261" i="1"/>
  <c r="W261" i="1" s="1"/>
  <c r="R262" i="1"/>
  <c r="U262" i="1"/>
  <c r="R263" i="1" l="1"/>
  <c r="U263" i="1"/>
  <c r="S263" i="1"/>
  <c r="V262" i="1"/>
  <c r="W262" i="1" s="1"/>
  <c r="T262" i="1"/>
  <c r="R264" i="1" l="1"/>
  <c r="T263" i="1"/>
  <c r="V263" i="1"/>
  <c r="W263" i="1" s="1"/>
  <c r="S264" i="1"/>
  <c r="U264" i="1"/>
  <c r="U265" i="1" l="1"/>
  <c r="V264" i="1"/>
  <c r="W264" i="1" s="1"/>
  <c r="S265" i="1"/>
  <c r="U266" i="1" s="1"/>
  <c r="T264" i="1"/>
  <c r="R265" i="1"/>
  <c r="R266" i="1" s="1"/>
  <c r="S266" i="1" l="1"/>
  <c r="U267" i="1" s="1"/>
  <c r="V265" i="1"/>
  <c r="W265" i="1" s="1"/>
  <c r="T265" i="1"/>
  <c r="V266" i="1" l="1"/>
  <c r="W266" i="1" s="1"/>
  <c r="S267" i="1"/>
  <c r="T266" i="1"/>
  <c r="R267" i="1"/>
  <c r="R268" i="1" l="1"/>
  <c r="S268" i="1"/>
  <c r="V267" i="1"/>
  <c r="W267" i="1" s="1"/>
  <c r="T267" i="1"/>
  <c r="U268" i="1"/>
  <c r="U269" i="1" l="1"/>
  <c r="T268" i="1"/>
  <c r="S269" i="1"/>
  <c r="V268" i="1"/>
  <c r="W268" i="1" s="1"/>
  <c r="R269" i="1"/>
  <c r="R270" i="1" l="1"/>
  <c r="S270" i="1"/>
  <c r="T269" i="1"/>
  <c r="V269" i="1"/>
  <c r="W269" i="1" s="1"/>
  <c r="U270" i="1"/>
  <c r="U271" i="1" l="1"/>
  <c r="S271" i="1"/>
  <c r="V270" i="1"/>
  <c r="W270" i="1" s="1"/>
  <c r="T270" i="1"/>
  <c r="R271" i="1"/>
  <c r="R272" i="1" s="1"/>
  <c r="T271" i="1" l="1"/>
  <c r="S272" i="1"/>
  <c r="V271" i="1"/>
  <c r="W271" i="1" s="1"/>
  <c r="U272" i="1"/>
  <c r="U273" i="1" s="1"/>
  <c r="V272" i="1" l="1"/>
  <c r="W272" i="1" s="1"/>
  <c r="S273" i="1"/>
  <c r="T272" i="1"/>
  <c r="R273" i="1"/>
  <c r="R274" i="1" l="1"/>
  <c r="S274" i="1"/>
  <c r="T273" i="1"/>
  <c r="V273" i="1"/>
  <c r="W273" i="1" s="1"/>
  <c r="U274" i="1"/>
  <c r="U275" i="1" l="1"/>
  <c r="T274" i="1"/>
  <c r="V274" i="1"/>
  <c r="W274" i="1" s="1"/>
  <c r="S275" i="1"/>
  <c r="R275" i="1"/>
  <c r="R276" i="1" l="1"/>
  <c r="S276" i="1"/>
  <c r="V275" i="1"/>
  <c r="W275" i="1" s="1"/>
  <c r="T275" i="1"/>
  <c r="U276" i="1"/>
  <c r="U277" i="1" l="1"/>
  <c r="S277" i="1"/>
  <c r="V276" i="1"/>
  <c r="W276" i="1" s="1"/>
  <c r="T276" i="1"/>
  <c r="R277" i="1"/>
  <c r="R278" i="1" s="1"/>
  <c r="S278" i="1" l="1"/>
  <c r="T277" i="1"/>
  <c r="V277" i="1"/>
  <c r="W277" i="1" s="1"/>
  <c r="U278" i="1"/>
  <c r="U279" i="1" s="1"/>
  <c r="S279" i="1" l="1"/>
  <c r="V278" i="1"/>
  <c r="W278" i="1" s="1"/>
  <c r="T278" i="1"/>
  <c r="R279" i="1"/>
  <c r="R280" i="1" s="1"/>
  <c r="T279" i="1" l="1"/>
  <c r="V279" i="1"/>
  <c r="W279" i="1" s="1"/>
  <c r="S280" i="1"/>
  <c r="U280" i="1"/>
  <c r="U281" i="1" l="1"/>
  <c r="V280" i="1"/>
  <c r="W280" i="1" s="1"/>
  <c r="S281" i="1"/>
  <c r="T280" i="1"/>
  <c r="R281" i="1"/>
  <c r="R282" i="1" l="1"/>
  <c r="S282" i="1"/>
  <c r="V281" i="1"/>
  <c r="W281" i="1" s="1"/>
  <c r="T281" i="1"/>
  <c r="U282" i="1"/>
  <c r="U283" i="1" s="1"/>
  <c r="T282" i="1" l="1"/>
  <c r="S283" i="1"/>
  <c r="V282" i="1"/>
  <c r="W282" i="1" s="1"/>
  <c r="R283" i="1"/>
  <c r="R284" i="1" l="1"/>
  <c r="S284" i="1"/>
  <c r="V283" i="1"/>
  <c r="W283" i="1" s="1"/>
  <c r="T283" i="1"/>
  <c r="U284" i="1"/>
  <c r="U285" i="1" l="1"/>
  <c r="S285" i="1"/>
  <c r="V284" i="1"/>
  <c r="W284" i="1" s="1"/>
  <c r="T284" i="1"/>
  <c r="R285" i="1"/>
  <c r="R286" i="1" s="1"/>
  <c r="V285" i="1" l="1"/>
  <c r="W285" i="1" s="1"/>
  <c r="T285" i="1"/>
  <c r="S286" i="1"/>
  <c r="U286" i="1"/>
  <c r="U287" i="1" l="1"/>
  <c r="S287" i="1"/>
  <c r="V286" i="1"/>
  <c r="W286" i="1" s="1"/>
  <c r="T286" i="1"/>
  <c r="R287" i="1"/>
  <c r="R288" i="1" s="1"/>
  <c r="S288" i="1" l="1"/>
  <c r="V287" i="1"/>
  <c r="W287" i="1" s="1"/>
  <c r="T287" i="1"/>
  <c r="U288" i="1"/>
  <c r="U289" i="1" s="1"/>
  <c r="T288" i="1" l="1"/>
  <c r="S289" i="1"/>
  <c r="V288" i="1"/>
  <c r="W288" i="1" s="1"/>
  <c r="R289" i="1"/>
  <c r="R290" i="1" s="1"/>
  <c r="S290" i="1" l="1"/>
  <c r="V289" i="1"/>
  <c r="W289" i="1" s="1"/>
  <c r="T289" i="1"/>
  <c r="U290" i="1"/>
  <c r="U291" i="1" l="1"/>
  <c r="S291" i="1"/>
  <c r="V290" i="1"/>
  <c r="W290" i="1" s="1"/>
  <c r="T290" i="1"/>
  <c r="R291" i="1"/>
  <c r="R292" i="1" s="1"/>
  <c r="S292" i="1" l="1"/>
  <c r="V291" i="1"/>
  <c r="W291" i="1" s="1"/>
  <c r="T291" i="1"/>
  <c r="U292" i="1"/>
  <c r="U293" i="1" s="1"/>
  <c r="S293" i="1" l="1"/>
  <c r="V292" i="1"/>
  <c r="W292" i="1" s="1"/>
  <c r="T292" i="1"/>
  <c r="R293" i="1"/>
  <c r="R294" i="1" s="1"/>
  <c r="T293" i="1" l="1"/>
  <c r="S294" i="1"/>
  <c r="V293" i="1"/>
  <c r="W293" i="1" s="1"/>
  <c r="U294" i="1"/>
  <c r="U295" i="1" s="1"/>
  <c r="S295" i="1" l="1"/>
  <c r="V294" i="1"/>
  <c r="W294" i="1" s="1"/>
  <c r="T294" i="1"/>
  <c r="R295" i="1"/>
  <c r="R296" i="1" s="1"/>
  <c r="V295" i="1" l="1"/>
  <c r="W295" i="1" s="1"/>
  <c r="T295" i="1"/>
  <c r="S296" i="1"/>
  <c r="U296" i="1"/>
  <c r="U297" i="1" l="1"/>
  <c r="T296" i="1"/>
  <c r="S297" i="1"/>
  <c r="V296" i="1"/>
  <c r="W296" i="1" s="1"/>
  <c r="R297" i="1"/>
  <c r="R298" i="1" l="1"/>
  <c r="S298" i="1"/>
  <c r="V297" i="1"/>
  <c r="W297" i="1" s="1"/>
  <c r="T297" i="1"/>
  <c r="U298" i="1"/>
  <c r="U299" i="1" s="1"/>
  <c r="T298" i="1" l="1"/>
  <c r="S299" i="1"/>
  <c r="V298" i="1"/>
  <c r="W298" i="1" s="1"/>
  <c r="R299" i="1"/>
  <c r="R300" i="1" s="1"/>
  <c r="S300" i="1" l="1"/>
  <c r="V299" i="1"/>
  <c r="W299" i="1" s="1"/>
  <c r="T299" i="1"/>
  <c r="U300" i="1"/>
  <c r="U301" i="1" l="1"/>
  <c r="S301" i="1"/>
  <c r="V300" i="1"/>
  <c r="W300" i="1" s="1"/>
  <c r="T300" i="1"/>
  <c r="R301" i="1"/>
  <c r="R302" i="1" s="1"/>
  <c r="T301" i="1" l="1"/>
  <c r="S302" i="1"/>
  <c r="V301" i="1"/>
  <c r="W301" i="1" s="1"/>
  <c r="U302" i="1"/>
  <c r="U303" i="1" l="1"/>
  <c r="S303" i="1"/>
  <c r="T302" i="1"/>
  <c r="V302" i="1"/>
  <c r="W302" i="1" s="1"/>
  <c r="R303" i="1"/>
  <c r="R304" i="1" s="1"/>
  <c r="S304" i="1" l="1"/>
  <c r="V303" i="1"/>
  <c r="W303" i="1" s="1"/>
  <c r="T303" i="1"/>
  <c r="U304" i="1"/>
  <c r="U305" i="1" l="1"/>
  <c r="V304" i="1"/>
  <c r="W304" i="1" s="1"/>
  <c r="T304" i="1"/>
  <c r="S305" i="1"/>
  <c r="R305" i="1"/>
  <c r="R306" i="1" s="1"/>
  <c r="S306" i="1" l="1"/>
  <c r="T305" i="1"/>
  <c r="V305" i="1"/>
  <c r="W305" i="1" s="1"/>
  <c r="U306" i="1"/>
  <c r="U307" i="1" l="1"/>
  <c r="T306" i="1"/>
  <c r="S307" i="1"/>
  <c r="V306" i="1"/>
  <c r="W306" i="1" s="1"/>
  <c r="R307" i="1"/>
  <c r="R308" i="1" l="1"/>
  <c r="S308" i="1"/>
  <c r="T307" i="1"/>
  <c r="V307" i="1"/>
  <c r="W307" i="1" s="1"/>
  <c r="U308" i="1"/>
  <c r="V308" i="1" l="1"/>
  <c r="W308" i="1" s="1"/>
  <c r="T308" i="1"/>
</calcChain>
</file>

<file path=xl/sharedStrings.xml><?xml version="1.0" encoding="utf-8"?>
<sst xmlns="http://schemas.openxmlformats.org/spreadsheetml/2006/main" count="919" uniqueCount="560">
  <si>
    <t>Date</t>
  </si>
  <si>
    <t>Cases</t>
  </si>
  <si>
    <t>Death</t>
  </si>
  <si>
    <t>Days</t>
  </si>
  <si>
    <t>% Error</t>
  </si>
  <si>
    <t>Estimate Case Growth - 1</t>
  </si>
  <si>
    <t>Estimate Case Growth - 2</t>
  </si>
  <si>
    <t>Estimate Case Growth - 3</t>
  </si>
  <si>
    <t>Notes</t>
  </si>
  <si>
    <t>New Death (per day)</t>
  </si>
  <si>
    <t>Mean</t>
  </si>
  <si>
    <t>Median</t>
  </si>
  <si>
    <t>Mode</t>
  </si>
  <si>
    <t>New Case (per day)</t>
  </si>
  <si>
    <t>Max</t>
  </si>
  <si>
    <t>Min</t>
  </si>
  <si>
    <t>Total Date Range</t>
  </si>
  <si>
    <t>Start</t>
  </si>
  <si>
    <t>End</t>
  </si>
  <si>
    <t>*Daily Cases</t>
  </si>
  <si>
    <t>*Daily Deaths</t>
  </si>
  <si>
    <t>Reporting Period*</t>
  </si>
  <si>
    <t>(*) used in analysis</t>
  </si>
  <si>
    <t>Fatality Rate (%)</t>
  </si>
  <si>
    <t>*Fatality Rate (%)</t>
  </si>
  <si>
    <r>
      <t>Case Rate (per 10</t>
    </r>
    <r>
      <rPr>
        <b/>
        <vertAlign val="superscript"/>
        <sz val="11"/>
        <color theme="6"/>
        <rFont val="Calibri"/>
        <family val="2"/>
        <scheme val="minor"/>
      </rPr>
      <t>4</t>
    </r>
    <r>
      <rPr>
        <b/>
        <sz val="11"/>
        <color theme="6"/>
        <rFont val="Calibri"/>
        <family val="2"/>
        <scheme val="minor"/>
      </rPr>
      <t>)</t>
    </r>
  </si>
  <si>
    <t>Case Growth Rate (%)</t>
  </si>
  <si>
    <t>Death Growth Rate (%)</t>
  </si>
  <si>
    <t>Reported backlog of cases (~1200)</t>
  </si>
  <si>
    <t>Possible case numbers 20-50x higher based on USC &amp; Stanford studies</t>
  </si>
  <si>
    <t>Reporting changed. Current numbers are from 4/24 reported thru 8pm for prior day. All previous instances were at 12pm day of (for 4/23 12pm, counts were: 17508/797).</t>
  </si>
  <si>
    <t>Estimate Model #1 unphysical at this point.</t>
  </si>
  <si>
    <r>
      <t>*Case Rate (per 10</t>
    </r>
    <r>
      <rPr>
        <b/>
        <vertAlign val="superscript"/>
        <sz val="11"/>
        <color theme="6"/>
        <rFont val="Calibri"/>
        <family val="2"/>
        <scheme val="minor"/>
      </rPr>
      <t>4</t>
    </r>
    <r>
      <rPr>
        <b/>
        <sz val="11"/>
        <color theme="6"/>
        <rFont val="Calibri"/>
        <family val="2"/>
        <scheme val="minor"/>
      </rPr>
      <t>)</t>
    </r>
  </si>
  <si>
    <t>Inconsistent report: claim 962/47 (compare 930/46)</t>
  </si>
  <si>
    <t>Estimate Model #2 unphysical case regime</t>
  </si>
  <si>
    <t>Estimate Model #3 unphysical case regime</t>
  </si>
  <si>
    <t>*Case Growth Rate (%)</t>
  </si>
  <si>
    <t>https://www.census.gov/quickfacts/fact/table/losangelescountycalifornia,CA/PST045218</t>
  </si>
  <si>
    <t>Claim 694/29 (vs 671/28)</t>
  </si>
  <si>
    <t>S</t>
  </si>
  <si>
    <t>I</t>
  </si>
  <si>
    <t>R</t>
  </si>
  <si>
    <t>SIR</t>
  </si>
  <si>
    <t>S_n = S_n-1 - ((S_n-1 / S)*(beta*I_n-1)</t>
  </si>
  <si>
    <t>I_n = I_n-1 + (S_n-1/S)*(beta*I_n-1)-(I_n-1*gamma)</t>
  </si>
  <si>
    <t>R_n = R_n-1 + (I_n-1 * gamma)</t>
  </si>
  <si>
    <t>beta (transmission rate)*</t>
  </si>
  <si>
    <t>gamma (recovery rate)*</t>
  </si>
  <si>
    <t>tau (resolution time)*</t>
  </si>
  <si>
    <t>I_inf defined as Endemic Infectious Population (i.e. that population that is infectious constantly) = (1 - (1/R_0))*N</t>
  </si>
  <si>
    <t>Total Population LAC (est. 2019), N*</t>
  </si>
  <si>
    <t>SIR Model</t>
  </si>
  <si>
    <t>SIS Model</t>
  </si>
  <si>
    <t>https://en.wikipedia.org/wiki/Compartmental_models_in_epidemiology</t>
  </si>
  <si>
    <t>SIS</t>
  </si>
  <si>
    <t>Death (SIS)</t>
  </si>
  <si>
    <t>Death (SIR)</t>
  </si>
  <si>
    <t>chi = beta - gamma</t>
  </si>
  <si>
    <t>https://en.wikipedia.org/wiki/Compartmental_models_in_epidemiology --&gt; SIS: I(t) = I_inf / (1 + V*exp[-chi*t]</t>
  </si>
  <si>
    <t>V = (I_inf / I_0) - 1</t>
  </si>
  <si>
    <t>Claim 477/18 - correct!</t>
  </si>
  <si>
    <t>Disease</t>
  </si>
  <si>
    <t>Transmission</t>
  </si>
  <si>
    <t>Measles</t>
  </si>
  <si>
    <t>Aerosol</t>
  </si>
  <si>
    <t>Chickenpox (varicella)</t>
  </si>
  <si>
    <t>Mumps</t>
  </si>
  <si>
    <t>Respiratory droplets</t>
  </si>
  <si>
    <t>Polio</t>
  </si>
  <si>
    <t>Fecal–oral route</t>
  </si>
  <si>
    <t>Rubella</t>
  </si>
  <si>
    <t>Pertussis</t>
  </si>
  <si>
    <t>Smallpox</t>
  </si>
  <si>
    <t>COVID-19</t>
  </si>
  <si>
    <t>HIV/AIDS</t>
  </si>
  <si>
    <t>Body fluids</t>
  </si>
  <si>
    <t>SARS</t>
  </si>
  <si>
    <t>Common cold</t>
  </si>
  <si>
    <t>Diphtheria</t>
  </si>
  <si>
    <t>Saliva</t>
  </si>
  <si>
    <t>MERS</t>
  </si>
  <si>
    <t>https://en.wikipedia.org/wiki/Basic_reproduction_number</t>
  </si>
  <si>
    <t>Initial Susceptible Population, S(0)*</t>
  </si>
  <si>
    <t>Initial Infected Population, I(0)*</t>
  </si>
  <si>
    <t>Initial Recovered Population, R(0)*</t>
  </si>
  <si>
    <r>
      <t>R</t>
    </r>
    <r>
      <rPr>
        <b/>
        <vertAlign val="subscript"/>
        <sz val="11"/>
        <color theme="1"/>
        <rFont val="Calibri"/>
        <family val="2"/>
        <scheme val="minor"/>
      </rPr>
      <t>0</t>
    </r>
    <r>
      <rPr>
        <b/>
        <sz val="11"/>
        <color theme="1"/>
        <rFont val="Calibri"/>
        <family val="2"/>
        <scheme val="minor"/>
      </rPr>
      <t xml:space="preserve"> (reproduction ratio)*</t>
    </r>
  </si>
  <si>
    <t>12–18</t>
  </si>
  <si>
    <t>10–12</t>
  </si>
  <si>
    <t>5–7</t>
  </si>
  <si>
    <t>3.5–6</t>
  </si>
  <si>
    <t>1.94–5.7</t>
  </si>
  <si>
    <t>3.1–4.2</t>
  </si>
  <si>
    <t>2–3</t>
  </si>
  <si>
    <t>1.7–4.3</t>
  </si>
  <si>
    <t>1.4–2.8</t>
  </si>
  <si>
    <t>1.5–1.9</t>
  </si>
  <si>
    <t>1.4–1.6</t>
  </si>
  <si>
    <t>0.9–2.1</t>
  </si>
  <si>
    <t>0.3–0.8</t>
  </si>
  <si>
    <t>Influenza (seasonal)</t>
  </si>
  <si>
    <t>Influenza (2009 pandemic strain)</t>
  </si>
  <si>
    <t>Ebola (2014 Ebola outbreak)</t>
  </si>
  <si>
    <t>Influenza (1918 pandemic strain)</t>
  </si>
  <si>
    <t>R0 (est. range)</t>
  </si>
  <si>
    <t>R0 (selected mean)</t>
  </si>
  <si>
    <t>2–5</t>
  </si>
  <si>
    <t>chi*</t>
  </si>
  <si>
    <r>
      <t>I</t>
    </r>
    <r>
      <rPr>
        <b/>
        <vertAlign val="subscript"/>
        <sz val="11"/>
        <color theme="1"/>
        <rFont val="Calibri"/>
        <family val="2"/>
      </rPr>
      <t>∞</t>
    </r>
    <r>
      <rPr>
        <b/>
        <sz val="11"/>
        <color theme="1"/>
        <rFont val="Calibri"/>
        <family val="2"/>
        <scheme val="minor"/>
      </rPr>
      <t>*</t>
    </r>
  </si>
  <si>
    <t>V*</t>
  </si>
  <si>
    <t>Total Number of Days</t>
  </si>
  <si>
    <t>Case Data</t>
  </si>
  <si>
    <t>Mortality Data</t>
  </si>
  <si>
    <t>Initial, Simple Exponential Models</t>
  </si>
  <si>
    <t>CFR</t>
  </si>
  <si>
    <t>1918 (Spanish) flu</t>
  </si>
  <si>
    <t>&gt; 2.5%</t>
  </si>
  <si>
    <t>~100%</t>
  </si>
  <si>
    <t>AIDS/HIV infection</t>
  </si>
  <si>
    <t>[80–90]%</t>
  </si>
  <si>
    <t>Anorexia Nervosa</t>
  </si>
  <si>
    <t>Anthrax, cutaneous</t>
  </si>
  <si>
    <t>&lt; 1%</t>
  </si>
  <si>
    <t>Anthrax, gastrointestinal, intestinal type</t>
  </si>
  <si>
    <t>&gt; 50%</t>
  </si>
  <si>
    <t>Anthrax, gastrointestinal, oropharyngeal type</t>
  </si>
  <si>
    <t>[10–50]%</t>
  </si>
  <si>
    <t>Anthrax, specifically the pulmonary form</t>
  </si>
  <si>
    <t>&gt; 85%</t>
  </si>
  <si>
    <t>Asian (1956–58) flu</t>
  </si>
  <si>
    <t>~0.1%</t>
  </si>
  <si>
    <t>Aspergillosis, invasive pulmonary form</t>
  </si>
  <si>
    <t>[50–90]%</t>
  </si>
  <si>
    <t>Balamuthia</t>
  </si>
  <si>
    <t>Baylisascariasis</t>
  </si>
  <si>
    <t>~40%</t>
  </si>
  <si>
    <t>Botulism</t>
  </si>
  <si>
    <t>&lt; 10%</t>
  </si>
  <si>
    <t>Bubonic plague</t>
  </si>
  <si>
    <t>[5–60]%</t>
  </si>
  <si>
    <t>Cancer (overall)</t>
  </si>
  <si>
    <t>Cholera, in Africa</t>
  </si>
  <si>
    <t>~[2–3]%</t>
  </si>
  <si>
    <t>Coronavirus disease 2019 (COVID-19)</t>
  </si>
  <si>
    <t>~[1-9]%</t>
  </si>
  <si>
    <t>Cryptococcal meningitis</t>
  </si>
  <si>
    <t>[40–60]%</t>
  </si>
  <si>
    <t>Dengue haemorrhagic fever (DHF)</t>
  </si>
  <si>
    <t>Diphtheria, respiratory</t>
  </si>
  <si>
    <t>~[5-10]%</t>
  </si>
  <si>
    <t>Ebola virus disease – specifically EBOV</t>
  </si>
  <si>
    <t>[83–90]%</t>
  </si>
  <si>
    <t>Fibrodysplasia Ossificans Progressiva</t>
  </si>
  <si>
    <t>Glanders, septicemic</t>
  </si>
  <si>
    <t>Hand, foot and mouth disease, children &lt; 5 years old</t>
  </si>
  <si>
    <t>Hantavirus infection</t>
  </si>
  <si>
    <t>Hantavirus pulmonary syndrome (HPS)</t>
  </si>
  <si>
    <t>~21%</t>
  </si>
  <si>
    <t>Hepatitis A</t>
  </si>
  <si>
    <t>[0.1–0.3]%</t>
  </si>
  <si>
    <t>Hepatitis A, adults &gt; 50 years old</t>
  </si>
  <si>
    <t>~1.8%</t>
  </si>
  <si>
    <t>Hong Kong (1968–69) flu</t>
  </si>
  <si>
    <t>Influenza A virus subtype H5N1</t>
  </si>
  <si>
    <t>~60%</t>
  </si>
  <si>
    <t>Influenza A, typical pandemics</t>
  </si>
  <si>
    <t>&lt; 0.1%</t>
  </si>
  <si>
    <t>~10%</t>
  </si>
  <si>
    <t>~1%</t>
  </si>
  <si>
    <t>Legionellosis</t>
  </si>
  <si>
    <t>~15%</t>
  </si>
  <si>
    <t>Macanine alphaherpesvirus 1</t>
  </si>
  <si>
    <t>~80%</t>
  </si>
  <si>
    <t>Malaria</t>
  </si>
  <si>
    <t>~0.3%</t>
  </si>
  <si>
    <t>Marburg virus disease – all outbreaks combined</t>
  </si>
  <si>
    <t>[23–90]%</t>
  </si>
  <si>
    <t>Measles (rubeola), in developing countries</t>
  </si>
  <si>
    <t>~[1–3]%</t>
  </si>
  <si>
    <t>Meningococcal disease</t>
  </si>
  <si>
    <t>[10–20]%</t>
  </si>
  <si>
    <t>Middle Eastern Respiratory Syndrome (MERS)</t>
  </si>
  <si>
    <t>Mumps encephalitis</t>
  </si>
  <si>
    <t>Pertussis (whooping cough), children in developing countries</t>
  </si>
  <si>
    <t>Pertussis (whooping cough), infants in developing countries</t>
  </si>
  <si>
    <t>~3.7%</t>
  </si>
  <si>
    <t>Plague, pneumonic</t>
  </si>
  <si>
    <t>Plague, septicemic</t>
  </si>
  <si>
    <t>[30–50]%</t>
  </si>
  <si>
    <t>Rabies</t>
  </si>
  <si>
    <t>Reye's Syndrome</t>
  </si>
  <si>
    <t>&gt; 40%</t>
  </si>
  <si>
    <t>Severe acute respiratory syndrome (SARS)</t>
  </si>
  <si>
    <t>~95%</t>
  </si>
  <si>
    <t>Smallpox, Variola major – in pregnant women</t>
  </si>
  <si>
    <t>&gt; 65%</t>
  </si>
  <si>
    <t>Tay–Sachs disease (pre-adult)</t>
  </si>
  <si>
    <t>Tetanus, Generalized</t>
  </si>
  <si>
    <t>Transmissible spongiform encephalopathies</t>
  </si>
  <si>
    <t>Tuberculosis, HIV Negative</t>
  </si>
  <si>
    <t>Tularemia, pneumonic</t>
  </si>
  <si>
    <t>≤ 60%</t>
  </si>
  <si>
    <t>Tularemia, typhoidal</t>
  </si>
  <si>
    <t>[3–35]%</t>
  </si>
  <si>
    <t>Typhoid fever</t>
  </si>
  <si>
    <t>Varicella (chickenpox), adults</t>
  </si>
  <si>
    <t>Varicella (chickenpox), children</t>
  </si>
  <si>
    <t>Varicella (chickenpox), in newborns</t>
  </si>
  <si>
    <t>~30%</t>
  </si>
  <si>
    <t>Visceral leishmaniasis</t>
  </si>
  <si>
    <t>Yellow fever</t>
  </si>
  <si>
    <t>Primary amoebic meningoencephalitis, Naegleria fowleri</t>
  </si>
  <si>
    <t>Smallpox Variola major – specifically the malignant (flat) or hemorrhagic type</t>
  </si>
  <si>
    <t>Smallpox, Variola major</t>
  </si>
  <si>
    <t>Smallpox, Variola minor</t>
  </si>
  <si>
    <t>https://en.wikipedia.org/wiki/List_of_human_disease_case_fatality_rates</t>
  </si>
  <si>
    <r>
      <t>Prevalence (per 10</t>
    </r>
    <r>
      <rPr>
        <b/>
        <vertAlign val="superscript"/>
        <sz val="11"/>
        <color rgb="FFCC99FF"/>
        <rFont val="Calibri"/>
        <family val="2"/>
        <scheme val="minor"/>
      </rPr>
      <t>5</t>
    </r>
    <r>
      <rPr>
        <b/>
        <sz val="11"/>
        <color rgb="FFCC99FF"/>
        <rFont val="Calibri"/>
        <family val="2"/>
        <scheme val="minor"/>
      </rPr>
      <t>)</t>
    </r>
  </si>
  <si>
    <r>
      <t>Incidence (per 10</t>
    </r>
    <r>
      <rPr>
        <b/>
        <vertAlign val="superscript"/>
        <sz val="11"/>
        <color rgb="FFFF00FF"/>
        <rFont val="Calibri"/>
        <family val="2"/>
        <scheme val="minor"/>
      </rPr>
      <t>5</t>
    </r>
    <r>
      <rPr>
        <b/>
        <sz val="11"/>
        <color rgb="FFFF00FF"/>
        <rFont val="Calibri"/>
        <family val="2"/>
        <scheme val="minor"/>
      </rPr>
      <t>)</t>
    </r>
  </si>
  <si>
    <r>
      <t>*CDR/Mortality Rate (per 10</t>
    </r>
    <r>
      <rPr>
        <b/>
        <vertAlign val="superscript"/>
        <sz val="11"/>
        <color rgb="FFC00000"/>
        <rFont val="Calibri"/>
        <family val="2"/>
        <scheme val="minor"/>
      </rPr>
      <t>5</t>
    </r>
    <r>
      <rPr>
        <b/>
        <sz val="11"/>
        <color rgb="FFC00000"/>
        <rFont val="Calibri"/>
        <family val="2"/>
        <scheme val="minor"/>
      </rPr>
      <t>)</t>
    </r>
  </si>
  <si>
    <r>
      <t>CDR/Mortality Rate (per 10</t>
    </r>
    <r>
      <rPr>
        <b/>
        <vertAlign val="superscript"/>
        <sz val="11"/>
        <color rgb="FFC00000"/>
        <rFont val="Calibri"/>
        <family val="2"/>
        <scheme val="minor"/>
      </rPr>
      <t>5</t>
    </r>
    <r>
      <rPr>
        <b/>
        <sz val="11"/>
        <color rgb="FFC00000"/>
        <rFont val="Calibri"/>
        <family val="2"/>
        <scheme val="minor"/>
      </rPr>
      <t>)</t>
    </r>
  </si>
  <si>
    <t>Claim 1183/76 (vs 1122/74)</t>
  </si>
  <si>
    <t>Claim 1324/57 (vs 1284/57)</t>
  </si>
  <si>
    <t>HIT (Herd Immunity Threshhold) (%)</t>
  </si>
  <si>
    <t>percentage population needed to sustain herd-immunity; slows transmission (i.e. immune individuals shield susceptibles creating endemic steady-state of disease)</t>
  </si>
  <si>
    <t>HIT (%)</t>
  </si>
  <si>
    <t>Claim 1204/46 (vs 1180/46)</t>
  </si>
  <si>
    <t>Claim 1072/35 (vs 1015/33)</t>
  </si>
  <si>
    <t>Claim 1032/41 (vs 1003/41)</t>
  </si>
  <si>
    <t>Claim 1047/12 (vs 1030/12)</t>
  </si>
  <si>
    <t>Claim 940/14 (vs 933/14). National note: White House has asked CDC to investigate LAC cases.</t>
  </si>
  <si>
    <t>Claim 1843/27 (vs 1804/27)</t>
  </si>
  <si>
    <t>Claim 933/53 (vs 878/52)</t>
  </si>
  <si>
    <t>Claim 1094/48 (vs 1074/46)</t>
  </si>
  <si>
    <t>First instance where they are showing new cases as well! However, new cases are NOT consistent with what's tracked: claim 925/51 (compare cells D76/T76: 901/50)</t>
  </si>
  <si>
    <t>delta</t>
  </si>
  <si>
    <t>Claimed New Cases</t>
  </si>
  <si>
    <t>Claimed New Deaths</t>
  </si>
  <si>
    <t>Riots have been progressing nationally on account of police brutality, however not because of unemployment or economic conditions. Many demonstrations that were for opening the economy in prior weeks were derided by media and shamed in public circles.</t>
  </si>
  <si>
    <t xml:space="preserve">Riots in Beverly Hills and Greater West LA intensified. Covid testing for LAC had been halted; not sure impact to case reporting yet. </t>
  </si>
  <si>
    <t>Several testing sites closed (Dodger Stadium remained open)</t>
  </si>
  <si>
    <t>% diff</t>
  </si>
  <si>
    <t>free parameters to model</t>
  </si>
  <si>
    <t>*Death Growth Rate (%)</t>
  </si>
  <si>
    <t>case rate: # new cases as proportion of existing cases (x 10,000)</t>
  </si>
  <si>
    <t>https://en.wikipedia.org/wiki/Incubation_period</t>
  </si>
  <si>
    <t>High</t>
  </si>
  <si>
    <t>Low</t>
  </si>
  <si>
    <t>Period</t>
  </si>
  <si>
    <t>Cellulitis caused by Pasteurella multocida</t>
  </si>
  <si>
    <t>Chicken pox</t>
  </si>
  <si>
    <t>Cholera</t>
  </si>
  <si>
    <t>Dengue fever</t>
  </si>
  <si>
    <t>Ebola</t>
  </si>
  <si>
    <t>Erythema infectiosum (Fifth disease)</t>
  </si>
  <si>
    <t>Giardia</t>
  </si>
  <si>
    <t>days</t>
  </si>
  <si>
    <t>HIV</t>
  </si>
  <si>
    <t>Infectious mononucleosis (glandular fever)</t>
  </si>
  <si>
    <t>Influenza</t>
  </si>
  <si>
    <t>Kuru disease</t>
  </si>
  <si>
    <t>Marburg</t>
  </si>
  <si>
    <t>Norovirus</t>
  </si>
  <si>
    <t>Pertussis (whooping cough)</t>
  </si>
  <si>
    <t>Rocky Mountain spotted fever</t>
  </si>
  <si>
    <t>Roseola</t>
  </si>
  <si>
    <t>Rubella (German measles)</t>
  </si>
  <si>
    <t>Salmonella</t>
  </si>
  <si>
    <t>Scarlet fever</t>
  </si>
  <si>
    <t>Tetanus</t>
  </si>
  <si>
    <t>Tuberculosis</t>
  </si>
  <si>
    <t>Typhoid</t>
  </si>
  <si>
    <t>11.5, 12.5, 14</t>
  </si>
  <si>
    <t>21, 42</t>
  </si>
  <si>
    <t>weeks to months, or longer</t>
  </si>
  <si>
    <t>years (mean)</t>
  </si>
  <si>
    <t>hours</t>
  </si>
  <si>
    <t>weeks</t>
  </si>
  <si>
    <t>months (but may vary from 1 week to 1 year)</t>
  </si>
  <si>
    <t>List of common disease CFR</t>
  </si>
  <si>
    <t>List of common disease incubation periods</t>
  </si>
  <si>
    <r>
      <t>List of R</t>
    </r>
    <r>
      <rPr>
        <i/>
        <vertAlign val="subscript"/>
        <sz val="11"/>
        <color theme="1"/>
        <rFont val="Calibri"/>
        <family val="2"/>
        <scheme val="minor"/>
      </rPr>
      <t>0</t>
    </r>
    <r>
      <rPr>
        <i/>
        <sz val="11"/>
        <color theme="1"/>
        <rFont val="Calibri"/>
        <family val="2"/>
        <scheme val="minor"/>
      </rPr>
      <t xml:space="preserve"> for common infectious diseases</t>
    </r>
  </si>
  <si>
    <t>Significant delta from actual new cases!?</t>
  </si>
  <si>
    <t>How does one differentiate more test cases vs actual spikes in sickness? What is the backlog, if any? What proportion of those infected actually need hospitalization? What proportion have mild to no symptoms?</t>
  </si>
  <si>
    <t>LAC Public Health "improved" systems and will not report data from 7/3 thru 7/6 over the holiday weekend.</t>
  </si>
  <si>
    <t>NA</t>
  </si>
  <si>
    <t>Backlog of cases from one lab that submitted results from 7/2 - 7/5</t>
  </si>
  <si>
    <t>Used the difference from 7/4 and 7/1 and applied the 3-day average to fill-in gaps.</t>
  </si>
  <si>
    <t>Data will be skewed due to gap in reporting. Expect discrepencies with "official" reporting. Thankfully, mortality rates and case averages are almost the same, so that is promising.</t>
  </si>
  <si>
    <t>Use Total Population of LAC as basis for susceptible, exposed, infected, etc.</t>
  </si>
  <si>
    <t>infectious period (i.e. assume average time for flu-like illness is 7-14 days for determination of fate)</t>
  </si>
  <si>
    <t>Data captures from site is suspect; dates and data are intermixed. See screenshots that show different numbers but same dates.</t>
  </si>
  <si>
    <t>Claimed Median value (Covid-19) = 5.7 (https://wwwnc.cdc.gov/eid/article/26/7/20-0282_article); comparison used here is ~ flu-like (https://bmcinfectdis.biomedcentral.com/articles/10.1186/1471-2334-14-480) or 2.28 given by IJID paper Feb 2020</t>
  </si>
  <si>
    <t>Curiously the graph/table for "death rate" and "hospitalization" are swapped.</t>
  </si>
  <si>
    <t>Still swapped graph/table</t>
  </si>
  <si>
    <t>Graph/table swap fixed</t>
  </si>
  <si>
    <t>The max change in cases is NOT also the max growth rate. For context, a 2,082 jump corresponded to a growth of 12.67% on April 23rd. The max growth of 52.19% was on March 26th. This is the same for deaths respectively. See other tabs for details.</t>
  </si>
  <si>
    <t>National note: Counts = 3,882,167/141,677; Fat. Rate = 3.65%</t>
  </si>
  <si>
    <t>National note: Counts = 1,274,036/77,034; Fat. Rate = 6.05% (through day prior)</t>
  </si>
  <si>
    <t>https://www.census.gov/popclock/</t>
  </si>
  <si>
    <t>Total US Population (2020)</t>
  </si>
  <si>
    <t>Disclaimer for lower number cases due to reporting delays in "State electronic lab system". Hospitalization data also incomplete due to "changes in reporting requirements" from US HHS.</t>
  </si>
  <si>
    <t>Higher case numbers due to resolution of State e-lab issue and inclusion of backlogged positive results.</t>
  </si>
  <si>
    <t>March</t>
  </si>
  <si>
    <t>April</t>
  </si>
  <si>
    <t>May</t>
  </si>
  <si>
    <t>June</t>
  </si>
  <si>
    <t>July</t>
  </si>
  <si>
    <t>August</t>
  </si>
  <si>
    <t>Total Cases</t>
  </si>
  <si>
    <t>Median Daily</t>
  </si>
  <si>
    <t>Mean Daily</t>
  </si>
  <si>
    <t>Mean Daily %</t>
  </si>
  <si>
    <t>Median Daily %</t>
  </si>
  <si>
    <t>Total Death</t>
  </si>
  <si>
    <t>Fatality %</t>
  </si>
  <si>
    <t>Still backlog disclaimer</t>
  </si>
  <si>
    <t>Fixed swapped</t>
  </si>
  <si>
    <t>Swapped graph/table again…</t>
  </si>
  <si>
    <t>Disclaimer incomplete data because of state "e-lab delays"</t>
  </si>
  <si>
    <t>Disclaimer stands to report backlog of cases expected. Of note, is that key indicators like hospitalization and death are NOT affected by this particular e-lab reporting issue.</t>
  </si>
  <si>
    <t>Same disclaimer</t>
  </si>
  <si>
    <t>R0 (reproduction ratio)*</t>
  </si>
  <si>
    <t>I∞*</t>
  </si>
  <si>
    <t>Total Population</t>
  </si>
  <si>
    <t>D</t>
  </si>
  <si>
    <t>Format reverted? Still disclaimer as well (i.e. no backlog numbers yet)</t>
  </si>
  <si>
    <t>Appx. 700 backlog cases included in the new cases report. Still more expected over days.</t>
  </si>
  <si>
    <t>New cases includes appx. 300 backlog cases. Still more expected.</t>
  </si>
  <si>
    <t>New cases do not include backlog numbers, but do include "delayed reporting" of a few hundred cases from previous day (?!). Backlog still expected.</t>
  </si>
  <si>
    <t>No disclaimer today</t>
  </si>
  <si>
    <t>Disclaimer again: still anticipate backlog ELR cases…</t>
  </si>
  <si>
    <t>Site dashboard has changed. Interestingly, the "new cases" are the main emphasis. Graphs are grouped and display is different. Will need to examine more detail as analysis has been integrated in reporting (i.e. they show mortality, demographics, etc.)</t>
  </si>
  <si>
    <t>Disclaimer states that new cases reported today is missing lab reports from one of the larger labs which is contributing to the lower number of new cases (despite the overage ?!). Also, still anticipate ELR backlog…</t>
  </si>
  <si>
    <t>Disclaimer: new cases include backlog of 100 results from ELR and "few hundred" from previous lab delay. Backlog still anticipated…</t>
  </si>
  <si>
    <t>…</t>
  </si>
  <si>
    <t>End of 6-month project. Decided to continue thru rest of the year.</t>
  </si>
  <si>
    <t>September</t>
  </si>
  <si>
    <t>October</t>
  </si>
  <si>
    <t>November</t>
  </si>
  <si>
    <t>December</t>
  </si>
  <si>
    <t>When trying to get data, page redirected to generic maintenance page - someone didn't pay their host or there was some "maintenance".</t>
  </si>
  <si>
    <t>Current hospitalizations: 745</t>
  </si>
  <si>
    <t>Website began showing a color-coded "Risk Level" banner; purple = Tier 1 ("widespread"). Metrics are updated every Tuesday.</t>
  </si>
  <si>
    <t>LA Times, et al have now started about the "rising transmission rate". This narrative is entirely new, but they have been speaking about it as if it has been a tracked metric; I have yet to see this metric nor what exactly is their definition for it?! Except for the Ro value, which has always been greater than 1 (studies peg it to appx. the 2-3 range), I have yet to see where this "transmission rate" metric is given?</t>
  </si>
  <si>
    <t>National note: Counts = 7,059,087/204,033; Fat. Rate = 2.89%</t>
  </si>
  <si>
    <t>First instance of zero new death? No mention; claim was 13.</t>
  </si>
  <si>
    <t>Testing numbers: 7-day average = 11,978; Total tested = 2,816,134</t>
  </si>
  <si>
    <t>Testing numbers: 7-day avg = 13,362; Total tested = 2,850,644</t>
  </si>
  <si>
    <t>National note: Counts = 7,958,254/216,917; Fat. Rate = 2.73%</t>
  </si>
  <si>
    <t>First time under-reported a claim!? (in this case, the death count)</t>
  </si>
  <si>
    <t>Article in Media says "LAC low counts being caused by technical glitch". No source of glitch or further details were offered… (despite the fact that the claimed numbers are actually HIGHER than the average of % diff usually calculated)</t>
  </si>
  <si>
    <t>High case number apparently comes from "backlog" data from the "glitch" previously mentioned…</t>
  </si>
  <si>
    <t>County testing: 3,061,115/7-day avg: 15,003</t>
  </si>
  <si>
    <t>Significant delta these 3 days from actual new deaths yet no accounting for this +/- as was done for case numbers?</t>
  </si>
  <si>
    <t>Hospitalizations: 799</t>
  </si>
  <si>
    <t>Hospitalizations: 825; Testing (7-day/Total) = 16,161/3,200,271</t>
  </si>
  <si>
    <t>Testing: 15,864/3,216,941</t>
  </si>
  <si>
    <t>Testing: 35,307/3,302,004; Hospitalization: 903</t>
  </si>
  <si>
    <t>Testing: 45,989/3,319,959</t>
  </si>
  <si>
    <t>Testing: 47,617/3,337,964; Hospitalization: 942</t>
  </si>
  <si>
    <t>Testing: 48,911/3,386,836</t>
  </si>
  <si>
    <t>Hospitalization: 1,049</t>
  </si>
  <si>
    <t>Testing: 50,833/3,422,263; Hospitalization: 1,126</t>
  </si>
  <si>
    <t>Testing: 52,365/3,473,983; Hospitalization: 1,238</t>
  </si>
  <si>
    <t>County testing: 3,007,011/7-day avg: 14,521; Hospitalizations: 770</t>
  </si>
  <si>
    <t>(1) Testing: 48,662/3,365,913 
(2) repeated date typo</t>
  </si>
  <si>
    <t xml:space="preserve">(1) State counts = 871,028/16,844; Fat. Rate = 1.93%. 
(2) Media again speaks of "transmission rate increasing", although not sure what this means exactly? Article posted by ABC News online is first time in this new narrative that I've seen someone use a metric and it was for the "R value"; but this is misleading - are they referring to R value as effective reproduction number, or Ro value, which is the basic reproduction number? The former is simply the product of Ro and the fraction of the susceptible population (i.e. shows herd immunity as R &lt;/=/&gt; 1). The Ro value is not something exactly measured and is inferred from model and statistical study; most Covid studies have pegged this value between 2 and 3. Diseases with higher Ro values require a higher herd immunity level. </t>
  </si>
  <si>
    <t>(1) Claim of highest new cases reported in two weeks. 
(2) Not seeing any "post-Labor Day spikes"… 
(3) source of data was missed on phone, used following: http://publichealth.lacounty.gov/phcommon/public/media/mediapubdetail.cfm?unit=media&amp;ou=ph&amp;prog=media&amp;cur=cur&amp;prid=2699&amp;row=25&amp;start=1</t>
  </si>
  <si>
    <t>(1) On site for "total cases", used a comma for place-value incorrectly. 
(2) Testing numbers: 2,542,479 total tested to date</t>
  </si>
  <si>
    <t>(1) National note: Counts = 5,023,649/161,842; Fat. Rate = 3.22%. Total cases of US population: ~1.5%. 
(2) Format has once again changed; the new format has a sensical death count thru 8/8</t>
  </si>
  <si>
    <r>
      <t xml:space="preserve">(1) Disclaimer includes all current lab reports from ELR, but not the backlog numbers; still anticipated over next few days. 
</t>
    </r>
    <r>
      <rPr>
        <strike/>
        <sz val="11"/>
        <color theme="1"/>
        <rFont val="Calibri"/>
        <family val="2"/>
        <scheme val="minor"/>
      </rPr>
      <t>(2) Death count (4,911?) does not make sense, but is apparently not affected by ELR, so what gives?</t>
    </r>
  </si>
  <si>
    <t>(1) Expiry "Stay At Home" order (canceled and pushed Jul/Aug). 
(2) Mask "mandate" in effect countywide!? (i.e. "guilty until proven innocent")
(3) claim 1073/40 (vs 1044/38)</t>
  </si>
  <si>
    <t>(1) National note: as of today, CDC case/death counts include both confirmed AND probable. Also, all data is reported at 16:00ET for day prior (source: cdc.gov). Counts were: 579,005/22,252; Fat. Rate = 3.84%. 
(2) LAC is reported 12pm day of
(3) "Essential business" mask "mandate" in effect. Not sure who decides what's essential or not; I believe in a free society, markets do, and not sure on what legal basis any of this can be justified as there is no legal precedent that can allow for a legal dispute that I know of (i.e. one would have to prove that so-and-so got so-and-so sick, and it was directly attributed to so-and-so, etc. etc.)?!</t>
  </si>
  <si>
    <t>(1) Testing: 54,094/3,500,108
(2) National note: 11,650,817/251,715; Fat. Rate: 2.16% 
(3) State count: 1,072,272/18,577; Fat. Rate: 1.73%</t>
  </si>
  <si>
    <t>Testing: 56,932/3,542,284; Hospitalization: 1,401</t>
  </si>
  <si>
    <t>Testing: 58,706/3,582,843; Hospitalization: 1,473</t>
  </si>
  <si>
    <t>Deaths??</t>
  </si>
  <si>
    <t>Testing: 61,131/3,601,615; Hospitalization: 1,575</t>
  </si>
  <si>
    <t>Testing: 68,292/3,681,714; Hospitalization: 1,893</t>
  </si>
  <si>
    <t>Testing: 70,215/3,695,582; Hospitalization: 903</t>
  </si>
  <si>
    <t>Hospitalization: 2,049</t>
  </si>
  <si>
    <t>http://laalmanac.com/health/he02.php</t>
  </si>
  <si>
    <t>Source</t>
  </si>
  <si>
    <t>Basic</t>
  </si>
  <si>
    <t>Acute Care</t>
  </si>
  <si>
    <t>Whittier Hospital Medical Center</t>
  </si>
  <si>
    <t>West Hills Hospital &amp; Medical Center</t>
  </si>
  <si>
    <t>None</t>
  </si>
  <si>
    <t>West Covina Medical Center</t>
  </si>
  <si>
    <t>Valley Presbyterian Hospital</t>
  </si>
  <si>
    <t>USC Verdugo Hills Hospital</t>
  </si>
  <si>
    <t>Cancer</t>
  </si>
  <si>
    <t>USC Kenneth Norris, Jr. Cancer Hospital</t>
  </si>
  <si>
    <t>Torrance Memorial Medical Center</t>
  </si>
  <si>
    <t>N/A</t>
  </si>
  <si>
    <t>Chemical Dependency (Alcohol/Drug)</t>
  </si>
  <si>
    <t>Tom Redgate Memorial Recovery Center</t>
  </si>
  <si>
    <t>Psychiatric</t>
  </si>
  <si>
    <t>Tarzana Treatment Center</t>
  </si>
  <si>
    <t>Star View Adolescent - Pychiatric Health Facility</t>
  </si>
  <si>
    <t>St. Vincent Medical Center (CLOSED/RE-OPENED 2020) (15)</t>
  </si>
  <si>
    <t>St. Mary Medical Center - Long Beach</t>
  </si>
  <si>
    <t>St. Francis Medical Center</t>
  </si>
  <si>
    <t>Southern California Hospital at Van Nuys D/P APH</t>
  </si>
  <si>
    <t>Southern California Hospital at Hollywood</t>
  </si>
  <si>
    <t>Southern California Hospital at Culver City</t>
  </si>
  <si>
    <t>Sherman Oaks Hospital</t>
  </si>
  <si>
    <t>Santa Monica - UCLA Medical Center &amp; Orthopaedic Hospital</t>
  </si>
  <si>
    <t>San Gabriel Valley Medical Center</t>
  </si>
  <si>
    <t>San Dimas Community Hospital</t>
  </si>
  <si>
    <t>Comprehensive</t>
  </si>
  <si>
    <t>Ronald Reagan UCLA Medical Center (2)</t>
  </si>
  <si>
    <t>Resnick Neuropsychiatric Hospital at UCLA</t>
  </si>
  <si>
    <t>Providence Saint Joseph Medical Center</t>
  </si>
  <si>
    <t>Providence Saint John's Health Center</t>
  </si>
  <si>
    <t>Transitional Care (Skilled Nursing)</t>
  </si>
  <si>
    <t>Providence Little Company of Mary Transitional Care Center</t>
  </si>
  <si>
    <t>Providence Little Company of Mary Subacute Care Center</t>
  </si>
  <si>
    <t>Providence Little Company of Mary Medical Center - Torrance</t>
  </si>
  <si>
    <t>Providence Little Company of Mary Medical Center - San Pedro</t>
  </si>
  <si>
    <t>Providence Holy Cross Medical Center</t>
  </si>
  <si>
    <t>Providence Cedars-Sinai Tarzana Medical Center</t>
  </si>
  <si>
    <t>Pomona Valley Hospital Medical Center</t>
  </si>
  <si>
    <t>PIH Hospital - Downey</t>
  </si>
  <si>
    <t>PIH Health Hospital</t>
  </si>
  <si>
    <t>Palmdale Regional Medical Center</t>
  </si>
  <si>
    <t>Pacifica Hospital of the Valley</t>
  </si>
  <si>
    <t>Olympia Medical Center</t>
  </si>
  <si>
    <t>Ocean View Psychiatric Health Facility</t>
  </si>
  <si>
    <t>Norwalk Community Hospital</t>
  </si>
  <si>
    <t>Northridge Hospital Medical Center</t>
  </si>
  <si>
    <t>Long-Term Care (Skilled Nursing)</t>
  </si>
  <si>
    <t>Motion Picture &amp; Television Hospital</t>
  </si>
  <si>
    <t>Monterey Park Hospital</t>
  </si>
  <si>
    <t>Monrovia Memorial Hospital</t>
  </si>
  <si>
    <t>Mission Community Hospital - Panorama Campus</t>
  </si>
  <si>
    <t>Methodist Hospital of Southern California</t>
  </si>
  <si>
    <t>Pediatric</t>
  </si>
  <si>
    <t>MemorialCare Miller Children's &amp; Women's Hospital Long Beach (14)</t>
  </si>
  <si>
    <t>MemorialCare Long Beach Medical Center (2)</t>
  </si>
  <si>
    <t>Memorial Hospital of Gardena</t>
  </si>
  <si>
    <t>Martin Luther King, Jr. Community Hospital</t>
  </si>
  <si>
    <t>Los Angeles County Olive View-UCLA Medical Center (2)</t>
  </si>
  <si>
    <t>Rehabilitation</t>
  </si>
  <si>
    <t>Los Angeles County/Rancho Los Amigos National Rehab Center</t>
  </si>
  <si>
    <t>Los Angeles County/Harbor-UCLA Medical Center (2)</t>
  </si>
  <si>
    <t>Los Angeles County+USC Medical Center (2)</t>
  </si>
  <si>
    <t>Los Angeles Community Hospital</t>
  </si>
  <si>
    <t>Lakewood Regional Medical Center</t>
  </si>
  <si>
    <t>La Casa Psychiatric Health Facility</t>
  </si>
  <si>
    <t>L.A. Downtown Medical Center - Ingleside Campus D/P APH (12)</t>
  </si>
  <si>
    <t>L.A. Downtown Medical Center (11)</t>
  </si>
  <si>
    <t>Long-Term Acute Care</t>
  </si>
  <si>
    <t>Kindred Hospital - South Bay</t>
  </si>
  <si>
    <t>Kindred Hospital - San Gabriel Valley</t>
  </si>
  <si>
    <t>Kindred Hospital - Paramount (10)</t>
  </si>
  <si>
    <t>Kindred Hospital - Los Angeles</t>
  </si>
  <si>
    <t>Kindred Hospital - La Mirada</t>
  </si>
  <si>
    <t>Kindred Hospital - Baldwin Park</t>
  </si>
  <si>
    <t>Kedren Community Mental Health Center</t>
  </si>
  <si>
    <t>Keck Hospital of USC (2)</t>
  </si>
  <si>
    <t>Kaiser Foundation Hospital - Woodland Hills</t>
  </si>
  <si>
    <t>Kaiser Foundation Hospital - West LA</t>
  </si>
  <si>
    <t>Kaiser Foundation Hospital - South Bay</t>
  </si>
  <si>
    <t>Kaiser Foundation Hospital - Panorama City</t>
  </si>
  <si>
    <t>Kaiser Foundation Hospital - Mental Health Center</t>
  </si>
  <si>
    <t>Kaiser Foundation Hospital - Los Angeles (2)</t>
  </si>
  <si>
    <t>Kaiser Foundation Hospital - Downey</t>
  </si>
  <si>
    <t>Kaiser Foundation Hospital - Baldwin Park</t>
  </si>
  <si>
    <t>Joyce Eisenberg Keefer Medical Center</t>
  </si>
  <si>
    <t>Huntington Memorial Hospital</t>
  </si>
  <si>
    <t>Hollywood Presbyterian Medical Center</t>
  </si>
  <si>
    <t>Henry Mayo Newhall Hospital</t>
  </si>
  <si>
    <t>Greater El Monte Community Hospital</t>
  </si>
  <si>
    <t>Good Samaritan Hospital-Los Angeles</t>
  </si>
  <si>
    <t>Glendora Oaks Behavioral Health Hospital</t>
  </si>
  <si>
    <t>Glendale Memorial Hospital and Health Center</t>
  </si>
  <si>
    <t>Gateways Hospital &amp; Mental Health Center</t>
  </si>
  <si>
    <t>Garfield Medical Center</t>
  </si>
  <si>
    <t>Exodus Recovery Pychiatric Health Facility</t>
  </si>
  <si>
    <t>Encino Hospital Medical Center</t>
  </si>
  <si>
    <t>Emanate Health Queen of the Valley Hospital (9)</t>
  </si>
  <si>
    <t>Emanate Health Inter-Community Hospital (8)</t>
  </si>
  <si>
    <t>Emanate Health Foothill Presbyterian Hospital (7)</t>
  </si>
  <si>
    <t>East Los Angeles Doctors Hospital</t>
  </si>
  <si>
    <t>Docs Surgical Hospital (6)</t>
  </si>
  <si>
    <t>Department of State Hospital - Metropolitan</t>
  </si>
  <si>
    <t>Del Amo Hospital</t>
  </si>
  <si>
    <t>Community Hospital of Long Beach (5)</t>
  </si>
  <si>
    <t>Standby</t>
  </si>
  <si>
    <t>Community Hospital of Huntington Park</t>
  </si>
  <si>
    <t>College Medical Center South Campus D/P APH</t>
  </si>
  <si>
    <t>College Medical Center Hawthorne Campus</t>
  </si>
  <si>
    <t>College Medical Center</t>
  </si>
  <si>
    <t>College Hospital</t>
  </si>
  <si>
    <t>Coast Plaza Hospital</t>
  </si>
  <si>
    <t>City of Hope Helford Clinical Research Hospital</t>
  </si>
  <si>
    <t>Children's Hospital of Los Angeles (2)</t>
  </si>
  <si>
    <t>Centinela Hospital Medical Center</t>
  </si>
  <si>
    <t>Cedars-Sinai Marina Del Rey Hospital (4)</t>
  </si>
  <si>
    <t>Cedars Sinai Medical Center (2)</t>
  </si>
  <si>
    <t>Catalina Island Medical Center</t>
  </si>
  <si>
    <t>Casa Colina Hospital</t>
  </si>
  <si>
    <t>California Rehabilitation Institute</t>
  </si>
  <si>
    <t>California Hospital Medical Center - Los Angeles</t>
  </si>
  <si>
    <t>Beverly Hospital</t>
  </si>
  <si>
    <t>Bellflower Behavioral Health Hospital (3)</t>
  </si>
  <si>
    <t>Barlow Respiratory Hospital</t>
  </si>
  <si>
    <t>BHC Alhambra Hospital</t>
  </si>
  <si>
    <t>Aurora Las Encinas Hospital</t>
  </si>
  <si>
    <t>Aurora Charter Oak</t>
  </si>
  <si>
    <t>Antelope Valley Hospital</t>
  </si>
  <si>
    <t>American Recovery Center</t>
  </si>
  <si>
    <t>Alhambra Hospital Medical Center</t>
  </si>
  <si>
    <t>Adventist Health White Memorial Medical Center (2)</t>
  </si>
  <si>
    <t>Adventist Health Glendale Medical Center</t>
  </si>
  <si>
    <t>Initial License Year</t>
  </si>
  <si>
    <t>Emergency Medical Service Level (1)</t>
  </si>
  <si>
    <t>Total Beds</t>
  </si>
  <si>
    <t>Type</t>
  </si>
  <si>
    <t>Facility Name</t>
  </si>
  <si>
    <t>Testing: 76,104/3,760,102; Hospitalization: 2,316</t>
  </si>
  <si>
    <t>(1) Testing: 75,809/3,779,882; Hospitalization: 2,439
(2) Mayor has imposed a "tougher stay at home order". Asking Police/DA to enforce by fines &amp; imprisonment. Says that hospitals will be overrun by Xmas if we do nothing. LAC has more than appx 22,000 beds when you account for acute care that would treat respiratory-type illness such as flu, covid, colds, etc.</t>
  </si>
  <si>
    <t>Testing: 66,120/3,808,034; Hospitalization: 2,572</t>
  </si>
  <si>
    <t>Testing: 60,162/3,868,655; Hosp: 2,769</t>
  </si>
  <si>
    <t>Testing: 59,604/3,900,021; Hosp: 2,855</t>
  </si>
  <si>
    <t>Hosp: 2,988</t>
  </si>
  <si>
    <t>Hosp: 3,113</t>
  </si>
  <si>
    <t>Testing: 78,809/4,022,072; Hosp: 3,433</t>
  </si>
  <si>
    <t>Testing: 89,094/4,060,680; Hosp: 3,624</t>
  </si>
  <si>
    <t>Hosp: 3,850</t>
  </si>
  <si>
    <t>Testing: 90,722/4,129,568; Hosp: 4,009</t>
  </si>
  <si>
    <t>Testing: 91,473/4,148,479; Hosp: 4,203</t>
  </si>
  <si>
    <t>Testing: 91,423/4,226,030; Hosp: 4,656</t>
  </si>
  <si>
    <t>Hosp: 4,864</t>
  </si>
  <si>
    <t>Hosp: 5,100</t>
  </si>
  <si>
    <t>Hosp: 6,155</t>
  </si>
  <si>
    <t>Testing: 104,735/4,671,729; Hosp: 7,415</t>
  </si>
  <si>
    <t>Data delayed by service interruption due to outage from Spectrum services in LA, therefore data will be combined with next day report.</t>
  </si>
  <si>
    <t>(1) National note: 19,578,217/345,211; Fat. Rat: 1.76%
(2) State count: 2,290,940/25,971; Fat. Rate: 1.13%</t>
  </si>
  <si>
    <t>Digit</t>
  </si>
  <si>
    <t>Totals</t>
  </si>
  <si>
    <t>Case</t>
  </si>
  <si>
    <t>Theory_d1</t>
  </si>
  <si>
    <t>Actual_d1</t>
  </si>
  <si>
    <t>Theory_d2</t>
  </si>
  <si>
    <t>Actual_d2</t>
  </si>
  <si>
    <t>ChiTest_d1</t>
  </si>
  <si>
    <t>ChiTest_d2</t>
  </si>
  <si>
    <t>Benford_Case_d1</t>
  </si>
  <si>
    <t>Benford_Death_d1</t>
  </si>
  <si>
    <t>Benford_Case_d2</t>
  </si>
  <si>
    <t>Benford_Death_d2</t>
  </si>
  <si>
    <t>Freq_Case_d1</t>
  </si>
  <si>
    <t>Freq_Death_d1</t>
  </si>
  <si>
    <t>Freq_Case_d2</t>
  </si>
  <si>
    <t>Freq_Death_d2</t>
  </si>
  <si>
    <t>(first death was single digit)</t>
  </si>
  <si>
    <t>Testing: 77,804/4,989,834; Hosp: 7,964</t>
  </si>
  <si>
    <t>Testing: 109,060/5,218,812; Hosp: 7,498</t>
  </si>
  <si>
    <t>Testing: 66,381/5,679,535; Hosp: 3,426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</si>
</sst>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46" x14ac:knownFonts="1">
    <font>
      <sz val="11"/>
      <color theme="1"/>
      <name val="Calibri"/>
      <family val="2"/>
      <scheme val="minor"/>
    </font>
    <font>
      <b/>
      <sz val="11"/>
      <color theme="1"/>
      <name val="Calibri"/>
      <family val="2"/>
      <scheme val="minor"/>
    </font>
    <font>
      <b/>
      <sz val="11"/>
      <color rgb="FF0070C0"/>
      <name val="Calibri"/>
      <family val="2"/>
      <scheme val="minor"/>
    </font>
    <font>
      <sz val="11"/>
      <color rgb="FF0070C0"/>
      <name val="Calibri"/>
      <family val="2"/>
      <scheme val="minor"/>
    </font>
    <font>
      <b/>
      <sz val="11"/>
      <color rgb="FF7030A0"/>
      <name val="Calibri"/>
      <family val="2"/>
      <scheme val="minor"/>
    </font>
    <font>
      <sz val="11"/>
      <color rgb="FF7030A0"/>
      <name val="Calibri"/>
      <family val="2"/>
      <scheme val="minor"/>
    </font>
    <font>
      <sz val="11"/>
      <color rgb="FFFF0000"/>
      <name val="Calibri"/>
      <family val="2"/>
      <scheme val="minor"/>
    </font>
    <font>
      <sz val="11"/>
      <color theme="0"/>
      <name val="Calibri"/>
      <family val="2"/>
      <scheme val="minor"/>
    </font>
    <font>
      <b/>
      <sz val="11"/>
      <color theme="7" tint="-0.249977111117893"/>
      <name val="Calibri"/>
      <family val="2"/>
      <scheme val="minor"/>
    </font>
    <font>
      <sz val="11"/>
      <color theme="7" tint="-0.249977111117893"/>
      <name val="Calibri"/>
      <family val="2"/>
      <scheme val="minor"/>
    </font>
    <font>
      <b/>
      <sz val="11"/>
      <color rgb="FFFF0000"/>
      <name val="Calibri"/>
      <family val="2"/>
      <scheme val="minor"/>
    </font>
    <font>
      <b/>
      <sz val="11"/>
      <name val="Calibri"/>
      <family val="2"/>
      <scheme val="minor"/>
    </font>
    <font>
      <sz val="11"/>
      <name val="Calibri"/>
      <family val="2"/>
      <scheme val="minor"/>
    </font>
    <font>
      <b/>
      <sz val="11"/>
      <color rgb="FFFF00FF"/>
      <name val="Calibri"/>
      <family val="2"/>
      <scheme val="minor"/>
    </font>
    <font>
      <sz val="11"/>
      <color rgb="FFFF00FF"/>
      <name val="Calibri"/>
      <family val="2"/>
      <scheme val="minor"/>
    </font>
    <font>
      <b/>
      <sz val="11"/>
      <color rgb="FFCC99FF"/>
      <name val="Calibri"/>
      <family val="2"/>
      <scheme val="minor"/>
    </font>
    <font>
      <sz val="11"/>
      <color rgb="FFCC99FF"/>
      <name val="Calibri"/>
      <family val="2"/>
      <scheme val="minor"/>
    </font>
    <font>
      <b/>
      <i/>
      <sz val="11"/>
      <color theme="1"/>
      <name val="Calibri"/>
      <family val="2"/>
      <scheme val="minor"/>
    </font>
    <font>
      <b/>
      <sz val="11"/>
      <color theme="6"/>
      <name val="Calibri"/>
      <family val="2"/>
      <scheme val="minor"/>
    </font>
    <font>
      <sz val="11"/>
      <color theme="6"/>
      <name val="Calibri"/>
      <family val="2"/>
      <scheme val="minor"/>
    </font>
    <font>
      <b/>
      <sz val="11"/>
      <color rgb="FFC00000"/>
      <name val="Calibri"/>
      <family val="2"/>
      <scheme val="minor"/>
    </font>
    <font>
      <b/>
      <vertAlign val="superscript"/>
      <sz val="11"/>
      <color rgb="FFC00000"/>
      <name val="Calibri"/>
      <family val="2"/>
      <scheme val="minor"/>
    </font>
    <font>
      <sz val="11"/>
      <color rgb="FFC00000"/>
      <name val="Calibri"/>
      <family val="2"/>
      <scheme val="minor"/>
    </font>
    <font>
      <b/>
      <vertAlign val="superscript"/>
      <sz val="11"/>
      <color rgb="FFCC99FF"/>
      <name val="Calibri"/>
      <family val="2"/>
      <scheme val="minor"/>
    </font>
    <font>
      <b/>
      <vertAlign val="superscript"/>
      <sz val="11"/>
      <color rgb="FFFF00FF"/>
      <name val="Calibri"/>
      <family val="2"/>
      <scheme val="minor"/>
    </font>
    <font>
      <b/>
      <vertAlign val="superscript"/>
      <sz val="11"/>
      <color theme="6"/>
      <name val="Calibri"/>
      <family val="2"/>
      <scheme val="minor"/>
    </font>
    <font>
      <b/>
      <u/>
      <sz val="11"/>
      <color theme="1"/>
      <name val="Calibri"/>
      <family val="2"/>
      <scheme val="minor"/>
    </font>
    <font>
      <b/>
      <sz val="11"/>
      <color rgb="FF00B050"/>
      <name val="Calibri"/>
      <family val="2"/>
      <scheme val="minor"/>
    </font>
    <font>
      <sz val="11"/>
      <color rgb="FF00B050"/>
      <name val="Calibri"/>
      <family val="2"/>
      <scheme val="minor"/>
    </font>
    <font>
      <i/>
      <sz val="11"/>
      <color theme="1"/>
      <name val="Calibri"/>
      <family val="2"/>
      <scheme val="minor"/>
    </font>
    <font>
      <b/>
      <vertAlign val="subscript"/>
      <sz val="11"/>
      <color theme="1"/>
      <name val="Calibri"/>
      <family val="2"/>
      <scheme val="minor"/>
    </font>
    <font>
      <b/>
      <vertAlign val="subscript"/>
      <sz val="11"/>
      <color theme="1"/>
      <name val="Calibri"/>
      <family val="2"/>
    </font>
    <font>
      <b/>
      <i/>
      <sz val="11"/>
      <color rgb="FF0070C0"/>
      <name val="Calibri"/>
      <family val="2"/>
      <scheme val="minor"/>
    </font>
    <font>
      <b/>
      <i/>
      <sz val="11"/>
      <color rgb="FF00B050"/>
      <name val="Calibri"/>
      <family val="2"/>
      <scheme val="minor"/>
    </font>
    <font>
      <b/>
      <i/>
      <sz val="11"/>
      <name val="Calibri"/>
      <family val="2"/>
      <scheme val="minor"/>
    </font>
    <font>
      <b/>
      <i/>
      <sz val="11"/>
      <color theme="6"/>
      <name val="Calibri"/>
      <family val="2"/>
      <scheme val="minor"/>
    </font>
    <font>
      <i/>
      <sz val="11"/>
      <color rgb="FF0070C0"/>
      <name val="Calibri"/>
      <family val="2"/>
      <scheme val="minor"/>
    </font>
    <font>
      <b/>
      <i/>
      <sz val="11"/>
      <color rgb="FF7030A0"/>
      <name val="Calibri"/>
      <family val="2"/>
      <scheme val="minor"/>
    </font>
    <font>
      <b/>
      <i/>
      <sz val="11"/>
      <color rgb="FFFF0000"/>
      <name val="Calibri"/>
      <family val="2"/>
      <scheme val="minor"/>
    </font>
    <font>
      <i/>
      <vertAlign val="subscript"/>
      <sz val="11"/>
      <color theme="1"/>
      <name val="Calibri"/>
      <family val="2"/>
      <scheme val="minor"/>
    </font>
    <font>
      <b/>
      <i/>
      <u/>
      <sz val="11"/>
      <name val="Calibri"/>
      <family val="2"/>
      <scheme val="minor"/>
    </font>
    <font>
      <b/>
      <i/>
      <u/>
      <sz val="11"/>
      <color rgb="FFC00000"/>
      <name val="Calibri"/>
      <family val="2"/>
      <scheme val="minor"/>
    </font>
    <font>
      <b/>
      <i/>
      <sz val="11"/>
      <color rgb="FFC00000"/>
      <name val="Calibri"/>
      <family val="2"/>
      <scheme val="minor"/>
    </font>
    <font>
      <strike/>
      <sz val="11"/>
      <color theme="1"/>
      <name val="Calibri"/>
      <family val="2"/>
      <scheme val="minor"/>
    </font>
    <font>
      <sz val="8"/>
      <name val="Calibri"/>
      <family val="2"/>
      <scheme val="minor"/>
    </font>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0" tint="-0.14999847407452621"/>
        <bgColor indexed="64"/>
      </patternFill>
    </fill>
  </fills>
  <borders count="14">
    <border>
      <left/>
      <right/>
      <top/>
      <bottom/>
      <diagonal/>
    </border>
    <border>
      <left/>
      <right/>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style="double">
        <color indexed="64"/>
      </top>
      <bottom/>
      <diagonal/>
    </border>
  </borders>
  <cellStyleXfs count="2">
    <xf numFmtId="0" fontId="0" fillId="0" borderId="0"/>
    <xf numFmtId="9" fontId="45" fillId="0" borderId="0" applyFont="0" applyFill="0" applyBorder="0" applyAlignment="0" applyProtection="0"/>
  </cellStyleXfs>
  <cellXfs count="256">
    <xf numFmtId="0" fontId="0" fillId="0" borderId="0" xfId="0"/>
    <xf numFmtId="0" fontId="0" fillId="0" borderId="0" xfId="0" applyAlignment="1">
      <alignment vertical="top"/>
    </xf>
    <xf numFmtId="0" fontId="1" fillId="0" borderId="0" xfId="0" applyFont="1" applyAlignment="1"/>
    <xf numFmtId="0" fontId="1" fillId="0" borderId="0" xfId="0" applyFont="1" applyAlignment="1">
      <alignment horizontal="center"/>
    </xf>
    <xf numFmtId="16" fontId="0" fillId="0" borderId="0" xfId="0" applyNumberFormat="1" applyAlignment="1">
      <alignment horizontal="center" vertical="top"/>
    </xf>
    <xf numFmtId="0" fontId="0" fillId="0" borderId="0" xfId="0" applyAlignment="1">
      <alignment horizontal="center" vertical="top"/>
    </xf>
    <xf numFmtId="0" fontId="5" fillId="0" borderId="0" xfId="0" applyFont="1" applyAlignment="1">
      <alignment horizontal="center" vertical="top"/>
    </xf>
    <xf numFmtId="2" fontId="5" fillId="0" borderId="0" xfId="0" applyNumberFormat="1" applyFont="1" applyAlignment="1">
      <alignment horizontal="center" vertical="top"/>
    </xf>
    <xf numFmtId="0" fontId="10" fillId="0" borderId="0" xfId="0" applyFont="1" applyAlignment="1">
      <alignment horizontal="center"/>
    </xf>
    <xf numFmtId="0" fontId="6" fillId="0" borderId="0" xfId="0" applyFont="1" applyAlignment="1">
      <alignment horizontal="center" vertical="top"/>
    </xf>
    <xf numFmtId="16" fontId="0" fillId="0" borderId="1" xfId="0" applyNumberFormat="1" applyBorder="1" applyAlignment="1">
      <alignment horizontal="center" vertical="top"/>
    </xf>
    <xf numFmtId="0" fontId="6" fillId="0" borderId="1" xfId="0" applyFont="1" applyBorder="1" applyAlignment="1">
      <alignment horizontal="center" vertical="top"/>
    </xf>
    <xf numFmtId="2" fontId="5" fillId="0" borderId="1" xfId="0" applyNumberFormat="1" applyFont="1" applyBorder="1" applyAlignment="1">
      <alignment horizontal="center" vertical="top"/>
    </xf>
    <xf numFmtId="1" fontId="7" fillId="2" borderId="0" xfId="0" applyNumberFormat="1" applyFont="1" applyFill="1" applyAlignment="1">
      <alignment horizontal="center" vertical="top"/>
    </xf>
    <xf numFmtId="1" fontId="9" fillId="0" borderId="0" xfId="0" applyNumberFormat="1" applyFont="1" applyAlignment="1">
      <alignment horizontal="center" vertical="top"/>
    </xf>
    <xf numFmtId="1" fontId="9" fillId="0" borderId="1" xfId="0" applyNumberFormat="1" applyFont="1" applyBorder="1" applyAlignment="1">
      <alignment horizontal="center" vertical="top"/>
    </xf>
    <xf numFmtId="0" fontId="4" fillId="0" borderId="0" xfId="0" applyFont="1" applyAlignment="1">
      <alignment horizontal="center" wrapText="1"/>
    </xf>
    <xf numFmtId="0" fontId="5" fillId="0" borderId="1" xfId="0" applyFont="1" applyBorder="1" applyAlignment="1">
      <alignment horizontal="center" vertical="top"/>
    </xf>
    <xf numFmtId="0" fontId="11" fillId="0" borderId="0" xfId="0" applyFont="1" applyAlignment="1">
      <alignment horizontal="center" wrapText="1"/>
    </xf>
    <xf numFmtId="0" fontId="12" fillId="0" borderId="0" xfId="0" applyFont="1" applyAlignment="1">
      <alignment horizontal="center" vertical="top"/>
    </xf>
    <xf numFmtId="0" fontId="12" fillId="0" borderId="1" xfId="0" applyFont="1" applyBorder="1" applyAlignment="1">
      <alignment horizontal="center" vertical="top"/>
    </xf>
    <xf numFmtId="0" fontId="13" fillId="0" borderId="0" xfId="0" applyFont="1" applyAlignment="1">
      <alignment horizontal="center" wrapText="1"/>
    </xf>
    <xf numFmtId="0" fontId="14" fillId="0" borderId="0" xfId="0" applyFont="1" applyAlignment="1">
      <alignment horizontal="center" vertical="top"/>
    </xf>
    <xf numFmtId="0" fontId="14" fillId="0" borderId="1" xfId="0" applyFont="1" applyBorder="1" applyAlignment="1">
      <alignment horizontal="center" vertical="top"/>
    </xf>
    <xf numFmtId="0" fontId="15" fillId="0" borderId="0" xfId="0" applyFont="1" applyAlignment="1">
      <alignment horizontal="center" wrapText="1"/>
    </xf>
    <xf numFmtId="0" fontId="16" fillId="0" borderId="0" xfId="0" applyFont="1" applyAlignment="1">
      <alignment horizontal="center" vertical="top"/>
    </xf>
    <xf numFmtId="0" fontId="16" fillId="0" borderId="1" xfId="0" applyFont="1" applyBorder="1" applyAlignment="1">
      <alignment horizontal="center" vertical="top"/>
    </xf>
    <xf numFmtId="0" fontId="17" fillId="0" borderId="0" xfId="0" applyFont="1" applyAlignment="1">
      <alignment horizontal="left" vertical="top"/>
    </xf>
    <xf numFmtId="0" fontId="10" fillId="0" borderId="0" xfId="0" applyFont="1" applyAlignment="1">
      <alignment horizontal="center" wrapText="1"/>
    </xf>
    <xf numFmtId="0" fontId="6" fillId="0" borderId="0" xfId="0" applyNumberFormat="1" applyFont="1" applyAlignment="1">
      <alignment horizontal="center" vertical="top"/>
    </xf>
    <xf numFmtId="0" fontId="0" fillId="0" borderId="0" xfId="0" applyAlignment="1"/>
    <xf numFmtId="0" fontId="11" fillId="0" borderId="0" xfId="0" applyFont="1" applyAlignment="1">
      <alignment horizontal="left" vertical="top" wrapText="1"/>
    </xf>
    <xf numFmtId="17" fontId="12" fillId="0" borderId="0" xfId="0" applyNumberFormat="1" applyFont="1" applyAlignment="1">
      <alignment horizontal="center" vertical="top"/>
    </xf>
    <xf numFmtId="15" fontId="12" fillId="0" borderId="0" xfId="0" applyNumberFormat="1" applyFont="1" applyAlignment="1">
      <alignment horizontal="center" vertical="top"/>
    </xf>
    <xf numFmtId="0" fontId="18" fillId="0" borderId="0" xfId="0" applyFont="1" applyAlignment="1">
      <alignment horizontal="center" wrapText="1"/>
    </xf>
    <xf numFmtId="0" fontId="19" fillId="0" borderId="0" xfId="0" applyFont="1" applyAlignment="1">
      <alignment horizontal="center" vertical="top"/>
    </xf>
    <xf numFmtId="0" fontId="19" fillId="0" borderId="1" xfId="0" applyFont="1" applyBorder="1" applyAlignment="1">
      <alignment horizontal="center" vertical="top"/>
    </xf>
    <xf numFmtId="16" fontId="0" fillId="0" borderId="0" xfId="0" applyNumberFormat="1" applyBorder="1" applyAlignment="1">
      <alignment horizontal="center" vertical="top"/>
    </xf>
    <xf numFmtId="1" fontId="8" fillId="0" borderId="0" xfId="0" applyNumberFormat="1" applyFont="1" applyAlignment="1">
      <alignment horizontal="center" wrapText="1"/>
    </xf>
    <xf numFmtId="1" fontId="9" fillId="1" borderId="0" xfId="0" applyNumberFormat="1" applyFont="1" applyFill="1" applyAlignment="1">
      <alignment horizontal="center" vertical="top"/>
    </xf>
    <xf numFmtId="1" fontId="9" fillId="1" borderId="1" xfId="0" applyNumberFormat="1" applyFont="1" applyFill="1" applyBorder="1" applyAlignment="1">
      <alignment horizontal="center" vertical="top"/>
    </xf>
    <xf numFmtId="0" fontId="20" fillId="0" borderId="0" xfId="0" applyFont="1" applyAlignment="1">
      <alignment horizontal="center" wrapText="1"/>
    </xf>
    <xf numFmtId="0" fontId="22" fillId="0" borderId="0" xfId="0" applyNumberFormat="1" applyFont="1" applyAlignment="1">
      <alignment horizontal="center" vertical="top"/>
    </xf>
    <xf numFmtId="0" fontId="22" fillId="0" borderId="0" xfId="0" applyFont="1" applyAlignment="1">
      <alignment horizontal="center" vertical="top"/>
    </xf>
    <xf numFmtId="0" fontId="22" fillId="0" borderId="1" xfId="0" applyFont="1" applyBorder="1" applyAlignment="1">
      <alignment horizontal="center" vertical="top"/>
    </xf>
    <xf numFmtId="0" fontId="19" fillId="0" borderId="0" xfId="0" applyNumberFormat="1" applyFont="1" applyAlignment="1">
      <alignment horizontal="center" vertical="top"/>
    </xf>
    <xf numFmtId="0" fontId="1" fillId="0" borderId="0" xfId="0" applyFont="1" applyAlignment="1">
      <alignment vertical="top" wrapText="1"/>
    </xf>
    <xf numFmtId="0" fontId="5" fillId="2" borderId="0" xfId="0" applyFont="1" applyFill="1" applyAlignment="1">
      <alignment horizontal="center" vertical="top"/>
    </xf>
    <xf numFmtId="0" fontId="12" fillId="2" borderId="0" xfId="0" applyFont="1" applyFill="1" applyAlignment="1">
      <alignment horizontal="center" vertical="top"/>
    </xf>
    <xf numFmtId="0" fontId="0" fillId="0" borderId="0" xfId="0" applyAlignment="1">
      <alignment horizontal="left" vertical="top"/>
    </xf>
    <xf numFmtId="0" fontId="1" fillId="0" borderId="0" xfId="0" applyFont="1" applyAlignment="1">
      <alignment horizontal="left"/>
    </xf>
    <xf numFmtId="0" fontId="0" fillId="0" borderId="0" xfId="0" applyAlignment="1">
      <alignment horizontal="left" vertical="top" wrapText="1"/>
    </xf>
    <xf numFmtId="0" fontId="19" fillId="2" borderId="0" xfId="0" applyFont="1" applyFill="1" applyAlignment="1">
      <alignment horizontal="center" vertical="top"/>
    </xf>
    <xf numFmtId="0" fontId="3" fillId="0" borderId="0" xfId="0" applyFont="1" applyAlignment="1">
      <alignment horizontal="center" vertical="top"/>
    </xf>
    <xf numFmtId="0" fontId="3" fillId="0" borderId="1" xfId="0" applyFont="1" applyBorder="1" applyAlignment="1">
      <alignment horizontal="center" vertical="top"/>
    </xf>
    <xf numFmtId="0" fontId="28" fillId="0" borderId="0" xfId="0" applyFont="1" applyAlignment="1">
      <alignment horizontal="center" vertical="top"/>
    </xf>
    <xf numFmtId="0" fontId="28" fillId="0" borderId="1" xfId="0" applyFont="1" applyBorder="1" applyAlignment="1">
      <alignment horizontal="center" vertical="top"/>
    </xf>
    <xf numFmtId="0" fontId="0" fillId="3" borderId="0" xfId="0" applyFill="1" applyAlignment="1">
      <alignment horizontal="center" vertical="top"/>
    </xf>
    <xf numFmtId="0" fontId="29" fillId="0" borderId="0" xfId="0" applyFont="1" applyAlignment="1">
      <alignment horizontal="left"/>
    </xf>
    <xf numFmtId="49" fontId="29" fillId="0" borderId="0" xfId="0" applyNumberFormat="1" applyFont="1" applyAlignment="1">
      <alignment horizontal="left"/>
    </xf>
    <xf numFmtId="2" fontId="29" fillId="0" borderId="0" xfId="0" applyNumberFormat="1" applyFont="1" applyAlignment="1">
      <alignment horizontal="left"/>
    </xf>
    <xf numFmtId="0" fontId="0" fillId="0" borderId="0" xfId="0" applyAlignment="1">
      <alignment horizontal="left"/>
    </xf>
    <xf numFmtId="49" fontId="0" fillId="0" borderId="0" xfId="0" applyNumberFormat="1" applyAlignment="1">
      <alignment horizontal="left"/>
    </xf>
    <xf numFmtId="2" fontId="0" fillId="0" borderId="0" xfId="0" applyNumberFormat="1" applyAlignment="1">
      <alignment horizontal="left"/>
    </xf>
    <xf numFmtId="49" fontId="1" fillId="0" borderId="0" xfId="0" applyNumberFormat="1" applyFont="1" applyAlignment="1">
      <alignment horizontal="left"/>
    </xf>
    <xf numFmtId="2" fontId="1" fillId="0" borderId="0" xfId="0" applyNumberFormat="1" applyFont="1" applyAlignment="1">
      <alignment horizontal="left"/>
    </xf>
    <xf numFmtId="49" fontId="0" fillId="0" borderId="0" xfId="0" applyNumberFormat="1" applyAlignment="1">
      <alignment horizontal="left" vertical="top"/>
    </xf>
    <xf numFmtId="2" fontId="0" fillId="0" borderId="0" xfId="0" applyNumberFormat="1" applyAlignment="1">
      <alignment horizontal="left" vertical="top"/>
    </xf>
    <xf numFmtId="0" fontId="0" fillId="2" borderId="0" xfId="0" applyFill="1" applyAlignment="1">
      <alignment horizontal="left" vertical="top"/>
    </xf>
    <xf numFmtId="2" fontId="0" fillId="2" borderId="0" xfId="0" applyNumberFormat="1" applyFill="1" applyAlignment="1">
      <alignment horizontal="left" vertical="top"/>
    </xf>
    <xf numFmtId="49" fontId="0" fillId="2" borderId="0" xfId="0" applyNumberFormat="1" applyFill="1" applyAlignment="1">
      <alignment horizontal="left" vertical="top"/>
    </xf>
    <xf numFmtId="0" fontId="0" fillId="0" borderId="0" xfId="0" applyFont="1" applyAlignment="1"/>
    <xf numFmtId="0" fontId="11" fillId="0" borderId="0" xfId="0" applyFont="1" applyAlignment="1">
      <alignment horizontal="center"/>
    </xf>
    <xf numFmtId="0" fontId="5" fillId="0" borderId="0" xfId="0" applyFont="1" applyAlignment="1">
      <alignment horizontal="center"/>
    </xf>
    <xf numFmtId="0" fontId="14" fillId="0" borderId="0" xfId="0" applyFont="1" applyAlignment="1">
      <alignment horizontal="center"/>
    </xf>
    <xf numFmtId="0" fontId="19" fillId="0" borderId="0" xfId="0" applyFont="1" applyAlignment="1">
      <alignment horizontal="center"/>
    </xf>
    <xf numFmtId="0" fontId="6" fillId="0" borderId="0" xfId="0" applyFont="1" applyAlignment="1">
      <alignment horizontal="center"/>
    </xf>
    <xf numFmtId="0" fontId="22" fillId="0" borderId="0" xfId="0" applyFont="1" applyAlignment="1">
      <alignment horizontal="center"/>
    </xf>
    <xf numFmtId="0" fontId="1" fillId="4" borderId="0" xfId="0" applyFont="1" applyFill="1" applyAlignment="1">
      <alignment vertical="top" wrapText="1"/>
    </xf>
    <xf numFmtId="0" fontId="0" fillId="4" borderId="0" xfId="0" applyFill="1" applyAlignment="1">
      <alignment horizontal="center" vertical="top"/>
    </xf>
    <xf numFmtId="0" fontId="16" fillId="4" borderId="0" xfId="0" applyFont="1" applyFill="1" applyAlignment="1">
      <alignment horizontal="center" vertical="top"/>
    </xf>
    <xf numFmtId="0" fontId="19" fillId="4" borderId="0" xfId="0" applyFont="1" applyFill="1" applyAlignment="1">
      <alignment horizontal="center" vertical="top"/>
    </xf>
    <xf numFmtId="0" fontId="5" fillId="4" borderId="0" xfId="0" applyFont="1" applyFill="1" applyAlignment="1">
      <alignment horizontal="center" vertical="top"/>
    </xf>
    <xf numFmtId="0" fontId="14" fillId="4" borderId="0" xfId="0" applyFont="1" applyFill="1" applyAlignment="1">
      <alignment horizontal="center" vertical="top"/>
    </xf>
    <xf numFmtId="0" fontId="6" fillId="4" borderId="0" xfId="0" applyFont="1" applyFill="1" applyAlignment="1">
      <alignment horizontal="center" vertical="top"/>
    </xf>
    <xf numFmtId="0" fontId="22" fillId="4" borderId="0" xfId="0" applyFont="1" applyFill="1" applyAlignment="1">
      <alignment horizontal="center" vertical="top"/>
    </xf>
    <xf numFmtId="0" fontId="0" fillId="4" borderId="0" xfId="0" applyFill="1" applyAlignment="1">
      <alignment vertical="top"/>
    </xf>
    <xf numFmtId="0" fontId="0" fillId="4" borderId="0" xfId="0" applyFill="1" applyAlignment="1">
      <alignment horizontal="left" vertical="top" wrapText="1"/>
    </xf>
    <xf numFmtId="0" fontId="0" fillId="4" borderId="0" xfId="0" applyFill="1" applyAlignment="1">
      <alignment horizontal="left" vertical="top"/>
    </xf>
    <xf numFmtId="0" fontId="17" fillId="4" borderId="0" xfId="0" applyFont="1" applyFill="1" applyAlignment="1">
      <alignment horizontal="left" vertical="top"/>
    </xf>
    <xf numFmtId="0" fontId="12" fillId="4" borderId="0" xfId="0" applyFont="1" applyFill="1" applyAlignment="1">
      <alignment horizontal="center" vertical="top"/>
    </xf>
    <xf numFmtId="0" fontId="2" fillId="0" borderId="4" xfId="0" applyFont="1" applyBorder="1" applyAlignment="1">
      <alignment horizontal="center" wrapText="1"/>
    </xf>
    <xf numFmtId="0" fontId="2" fillId="0" borderId="0" xfId="0" applyFont="1" applyBorder="1" applyAlignment="1">
      <alignment horizontal="center" wrapText="1"/>
    </xf>
    <xf numFmtId="0" fontId="4" fillId="0" borderId="0" xfId="0" applyFont="1" applyBorder="1" applyAlignment="1">
      <alignment horizontal="center" wrapText="1"/>
    </xf>
    <xf numFmtId="0" fontId="27" fillId="0" borderId="0" xfId="0" applyFont="1" applyBorder="1" applyAlignment="1">
      <alignment horizontal="center" wrapText="1"/>
    </xf>
    <xf numFmtId="0" fontId="4" fillId="0" borderId="5" xfId="0" applyFont="1" applyBorder="1" applyAlignment="1">
      <alignment horizontal="center" wrapText="1"/>
    </xf>
    <xf numFmtId="0" fontId="3" fillId="0" borderId="4" xfId="0" applyFont="1" applyBorder="1" applyAlignment="1">
      <alignment horizontal="center" vertical="top"/>
    </xf>
    <xf numFmtId="0" fontId="3" fillId="0" borderId="0" xfId="0" applyFont="1" applyBorder="1" applyAlignment="1">
      <alignment horizontal="center" vertical="top"/>
    </xf>
    <xf numFmtId="0" fontId="5" fillId="0" borderId="0" xfId="0" applyFont="1" applyBorder="1" applyAlignment="1">
      <alignment horizontal="center" vertical="top"/>
    </xf>
    <xf numFmtId="0" fontId="28" fillId="0" borderId="0" xfId="0" applyFont="1" applyBorder="1" applyAlignment="1">
      <alignment horizontal="center" vertical="top"/>
    </xf>
    <xf numFmtId="0" fontId="5" fillId="0" borderId="5" xfId="0" applyFont="1" applyBorder="1" applyAlignment="1">
      <alignment horizontal="center" vertical="top"/>
    </xf>
    <xf numFmtId="2" fontId="5" fillId="0" borderId="0" xfId="0" applyNumberFormat="1" applyFont="1" applyBorder="1" applyAlignment="1">
      <alignment horizontal="center" vertical="top"/>
    </xf>
    <xf numFmtId="0" fontId="7" fillId="2" borderId="0" xfId="0" applyFont="1" applyFill="1" applyBorder="1" applyAlignment="1">
      <alignment horizontal="center" vertical="top"/>
    </xf>
    <xf numFmtId="2" fontId="7" fillId="2" borderId="0" xfId="0" applyNumberFormat="1" applyFont="1" applyFill="1" applyBorder="1" applyAlignment="1">
      <alignment horizontal="center" vertical="top"/>
    </xf>
    <xf numFmtId="2" fontId="7" fillId="2" borderId="5" xfId="0" applyNumberFormat="1" applyFont="1" applyFill="1" applyBorder="1" applyAlignment="1">
      <alignment horizontal="center" vertical="top"/>
    </xf>
    <xf numFmtId="2" fontId="5" fillId="0" borderId="5" xfId="0" applyNumberFormat="1" applyFont="1" applyBorder="1" applyAlignment="1">
      <alignment horizontal="center" vertical="top"/>
    </xf>
    <xf numFmtId="0" fontId="3" fillId="0" borderId="6" xfId="0" applyFont="1" applyBorder="1" applyAlignment="1">
      <alignment horizontal="center" vertical="top"/>
    </xf>
    <xf numFmtId="2" fontId="5" fillId="0" borderId="7" xfId="0" applyNumberFormat="1" applyFont="1" applyBorder="1" applyAlignment="1">
      <alignment horizontal="center" vertical="top"/>
    </xf>
    <xf numFmtId="0" fontId="27" fillId="0" borderId="4" xfId="0" applyFont="1" applyBorder="1" applyAlignment="1">
      <alignment horizontal="center" wrapText="1"/>
    </xf>
    <xf numFmtId="0" fontId="28" fillId="0" borderId="4" xfId="0" applyFont="1" applyBorder="1" applyAlignment="1">
      <alignment horizontal="center" vertical="top"/>
    </xf>
    <xf numFmtId="0" fontId="7" fillId="2" borderId="4" xfId="0" applyFont="1" applyFill="1" applyBorder="1" applyAlignment="1">
      <alignment horizontal="center" vertical="top"/>
    </xf>
    <xf numFmtId="0" fontId="28" fillId="0" borderId="6" xfId="0" applyFont="1" applyBorder="1" applyAlignment="1">
      <alignment horizontal="center" vertical="top"/>
    </xf>
    <xf numFmtId="1" fontId="8" fillId="0" borderId="4" xfId="0" applyNumberFormat="1" applyFont="1" applyBorder="1" applyAlignment="1">
      <alignment horizontal="center" wrapText="1"/>
    </xf>
    <xf numFmtId="1" fontId="9" fillId="0" borderId="4" xfId="0" applyNumberFormat="1" applyFont="1" applyBorder="1" applyAlignment="1">
      <alignment horizontal="center" vertical="top"/>
    </xf>
    <xf numFmtId="1" fontId="7" fillId="2" borderId="4" xfId="0" applyNumberFormat="1" applyFont="1" applyFill="1" applyBorder="1" applyAlignment="1">
      <alignment horizontal="center" vertical="top"/>
    </xf>
    <xf numFmtId="1" fontId="9" fillId="1" borderId="4" xfId="0" applyNumberFormat="1" applyFont="1" applyFill="1" applyBorder="1" applyAlignment="1">
      <alignment horizontal="center" vertical="top"/>
    </xf>
    <xf numFmtId="1" fontId="9" fillId="1" borderId="6" xfId="0" applyNumberFormat="1" applyFont="1" applyFill="1" applyBorder="1" applyAlignment="1">
      <alignment horizontal="center" vertical="top"/>
    </xf>
    <xf numFmtId="0" fontId="18" fillId="0" borderId="3" xfId="0" applyNumberFormat="1" applyFont="1" applyBorder="1" applyAlignment="1">
      <alignment horizontal="center" wrapText="1"/>
    </xf>
    <xf numFmtId="0" fontId="19" fillId="0" borderId="3" xfId="0" applyNumberFormat="1" applyFont="1" applyBorder="1" applyAlignment="1">
      <alignment horizontal="center" vertical="top"/>
    </xf>
    <xf numFmtId="0" fontId="19" fillId="0" borderId="2" xfId="0" applyNumberFormat="1" applyFont="1" applyBorder="1" applyAlignment="1">
      <alignment horizontal="center" vertical="top"/>
    </xf>
    <xf numFmtId="0" fontId="1" fillId="0" borderId="4" xfId="0" applyFont="1" applyBorder="1" applyAlignment="1">
      <alignment horizontal="center"/>
    </xf>
    <xf numFmtId="0" fontId="0" fillId="0" borderId="4" xfId="0" applyBorder="1" applyAlignment="1">
      <alignment horizontal="center" vertical="top"/>
    </xf>
    <xf numFmtId="0" fontId="0" fillId="0" borderId="6" xfId="0" applyBorder="1" applyAlignment="1">
      <alignment horizontal="center" vertical="top"/>
    </xf>
    <xf numFmtId="0" fontId="1" fillId="0" borderId="4" xfId="0" applyFont="1" applyBorder="1" applyAlignment="1">
      <alignment horizontal="left"/>
    </xf>
    <xf numFmtId="0" fontId="0" fillId="0" borderId="4" xfId="0" applyBorder="1" applyAlignment="1">
      <alignment horizontal="left" vertical="top"/>
    </xf>
    <xf numFmtId="0" fontId="0" fillId="0" borderId="4" xfId="0" applyBorder="1" applyAlignment="1">
      <alignment horizontal="left" vertical="top" wrapText="1"/>
    </xf>
    <xf numFmtId="0" fontId="29" fillId="0" borderId="0" xfId="0" applyFont="1" applyAlignment="1">
      <alignment horizontal="left" wrapText="1"/>
    </xf>
    <xf numFmtId="0" fontId="0" fillId="0" borderId="0" xfId="0" applyAlignment="1">
      <alignment horizontal="left" wrapText="1"/>
    </xf>
    <xf numFmtId="0" fontId="1" fillId="0" borderId="0" xfId="0" applyFont="1" applyAlignment="1">
      <alignment horizontal="left" wrapText="1"/>
    </xf>
    <xf numFmtId="0" fontId="0" fillId="2" borderId="0" xfId="0" applyFill="1" applyAlignment="1">
      <alignment horizontal="left" vertical="top" wrapText="1"/>
    </xf>
    <xf numFmtId="9" fontId="0" fillId="0" borderId="0" xfId="0" applyNumberFormat="1" applyAlignment="1">
      <alignment horizontal="left" vertical="top" wrapText="1"/>
    </xf>
    <xf numFmtId="10" fontId="0" fillId="0" borderId="0" xfId="0" applyNumberFormat="1" applyAlignment="1">
      <alignment horizontal="left" vertical="top" wrapText="1"/>
    </xf>
    <xf numFmtId="2" fontId="4" fillId="0" borderId="0" xfId="0" applyNumberFormat="1" applyFont="1" applyAlignment="1">
      <alignment horizontal="center"/>
    </xf>
    <xf numFmtId="0" fontId="0" fillId="0" borderId="0" xfId="0" applyFill="1" applyAlignment="1">
      <alignment horizontal="center" vertical="top"/>
    </xf>
    <xf numFmtId="0" fontId="36" fillId="0" borderId="0" xfId="0" applyFont="1" applyAlignment="1">
      <alignment horizontal="left"/>
    </xf>
    <xf numFmtId="0" fontId="3" fillId="0" borderId="0" xfId="0" applyFont="1" applyAlignment="1">
      <alignment horizontal="left"/>
    </xf>
    <xf numFmtId="0" fontId="2" fillId="0" borderId="0" xfId="0" applyFont="1" applyAlignment="1">
      <alignment horizontal="left"/>
    </xf>
    <xf numFmtId="0" fontId="3" fillId="0" borderId="0" xfId="0" applyFont="1" applyAlignment="1">
      <alignment horizontal="left" vertical="top"/>
    </xf>
    <xf numFmtId="0" fontId="37" fillId="0" borderId="0" xfId="0" applyFont="1" applyAlignment="1">
      <alignment horizontal="center" vertical="top"/>
    </xf>
    <xf numFmtId="0" fontId="37" fillId="0" borderId="0" xfId="0" applyFont="1" applyAlignment="1">
      <alignment horizontal="center"/>
    </xf>
    <xf numFmtId="0" fontId="38" fillId="0" borderId="0" xfId="0" applyFont="1" applyAlignment="1">
      <alignment horizontal="center" vertical="top"/>
    </xf>
    <xf numFmtId="0" fontId="38" fillId="0" borderId="0" xfId="0" applyFont="1" applyAlignment="1">
      <alignment horizontal="center" wrapText="1"/>
    </xf>
    <xf numFmtId="0" fontId="17" fillId="0" borderId="0" xfId="0" applyFont="1" applyAlignment="1">
      <alignment horizontal="center" vertical="top"/>
    </xf>
    <xf numFmtId="0" fontId="1" fillId="3" borderId="0" xfId="0" applyFont="1" applyFill="1" applyAlignment="1">
      <alignment vertical="top" wrapText="1"/>
    </xf>
    <xf numFmtId="0" fontId="11" fillId="0" borderId="0" xfId="0" applyFont="1" applyAlignment="1">
      <alignment vertical="top"/>
    </xf>
    <xf numFmtId="0" fontId="1" fillId="0" borderId="0" xfId="0" applyFont="1" applyFill="1" applyAlignment="1">
      <alignment horizontal="center" vertical="top" wrapText="1"/>
    </xf>
    <xf numFmtId="0" fontId="1" fillId="3" borderId="0" xfId="0" applyFont="1" applyFill="1" applyAlignment="1">
      <alignment vertical="top"/>
    </xf>
    <xf numFmtId="0" fontId="17" fillId="0" borderId="0" xfId="0" applyFont="1" applyAlignment="1">
      <alignment horizontal="left"/>
    </xf>
    <xf numFmtId="0" fontId="17" fillId="0" borderId="0" xfId="0" applyFont="1" applyAlignment="1">
      <alignment horizontal="center"/>
    </xf>
    <xf numFmtId="0" fontId="0" fillId="0" borderId="0" xfId="0" applyAlignment="1">
      <alignment wrapText="1"/>
    </xf>
    <xf numFmtId="0" fontId="35" fillId="0" borderId="0" xfId="0" applyNumberFormat="1" applyFont="1" applyAlignment="1">
      <alignment horizontal="center"/>
    </xf>
    <xf numFmtId="0" fontId="38" fillId="0" borderId="0" xfId="0" applyFont="1" applyAlignment="1">
      <alignment horizontal="center"/>
    </xf>
    <xf numFmtId="0" fontId="17" fillId="0" borderId="0" xfId="0" applyFont="1" applyAlignment="1"/>
    <xf numFmtId="0" fontId="29" fillId="0" borderId="0" xfId="0" applyNumberFormat="1" applyFont="1" applyAlignment="1">
      <alignment horizontal="left" wrapText="1"/>
    </xf>
    <xf numFmtId="0" fontId="0" fillId="0" borderId="0" xfId="0" applyNumberFormat="1" applyAlignment="1">
      <alignment horizontal="left" wrapText="1"/>
    </xf>
    <xf numFmtId="0" fontId="1" fillId="0" borderId="0" xfId="0" applyNumberFormat="1" applyFont="1" applyAlignment="1">
      <alignment horizontal="left" wrapText="1"/>
    </xf>
    <xf numFmtId="0" fontId="0" fillId="0" borderId="0" xfId="0" applyNumberFormat="1" applyAlignment="1">
      <alignment horizontal="left" vertical="top" wrapText="1"/>
    </xf>
    <xf numFmtId="0" fontId="0" fillId="2" borderId="0" xfId="0" applyNumberFormat="1" applyFill="1" applyAlignment="1">
      <alignment horizontal="left" vertical="top" wrapText="1"/>
    </xf>
    <xf numFmtId="0" fontId="29" fillId="0" borderId="0" xfId="0" applyNumberFormat="1" applyFont="1" applyAlignment="1">
      <alignment horizontal="left"/>
    </xf>
    <xf numFmtId="16" fontId="0" fillId="2" borderId="0" xfId="0" applyNumberFormat="1" applyFill="1" applyBorder="1" applyAlignment="1">
      <alignment horizontal="center" vertical="top"/>
    </xf>
    <xf numFmtId="0" fontId="6" fillId="2" borderId="0" xfId="0" applyFont="1" applyFill="1" applyAlignment="1">
      <alignment horizontal="center" vertical="top"/>
    </xf>
    <xf numFmtId="0" fontId="19" fillId="2" borderId="3" xfId="0" applyNumberFormat="1" applyFont="1" applyFill="1" applyBorder="1" applyAlignment="1">
      <alignment horizontal="center" vertical="top"/>
    </xf>
    <xf numFmtId="0" fontId="0" fillId="2" borderId="4" xfId="0" applyFill="1" applyBorder="1" applyAlignment="1">
      <alignment horizontal="left" vertical="top"/>
    </xf>
    <xf numFmtId="0" fontId="38" fillId="2" borderId="0" xfId="0" applyFont="1" applyFill="1" applyAlignment="1">
      <alignment horizontal="center" vertical="top"/>
    </xf>
    <xf numFmtId="0" fontId="37" fillId="2" borderId="0" xfId="0" applyFont="1" applyFill="1" applyAlignment="1">
      <alignment horizontal="center" vertical="top"/>
    </xf>
    <xf numFmtId="0" fontId="0" fillId="2" borderId="4" xfId="0" applyFill="1" applyBorder="1" applyAlignment="1">
      <alignment horizontal="left" vertical="top" wrapText="1"/>
    </xf>
    <xf numFmtId="0" fontId="6" fillId="2" borderId="4" xfId="0" applyFont="1" applyFill="1" applyBorder="1" applyAlignment="1">
      <alignment horizontal="center" vertical="top"/>
    </xf>
    <xf numFmtId="0" fontId="12" fillId="0" borderId="4" xfId="0" applyFont="1" applyFill="1" applyBorder="1" applyAlignment="1">
      <alignment horizontal="center" vertical="top"/>
    </xf>
    <xf numFmtId="0" fontId="3" fillId="0" borderId="4" xfId="0" applyFont="1" applyFill="1" applyBorder="1" applyAlignment="1">
      <alignment horizontal="center" vertical="top"/>
    </xf>
    <xf numFmtId="0" fontId="3" fillId="0" borderId="0" xfId="0" applyFont="1" applyFill="1" applyBorder="1" applyAlignment="1">
      <alignment horizontal="center" vertical="top"/>
    </xf>
    <xf numFmtId="2" fontId="5" fillId="0" borderId="0" xfId="0" applyNumberFormat="1" applyFont="1" applyFill="1" applyBorder="1" applyAlignment="1">
      <alignment horizontal="center" vertical="top"/>
    </xf>
    <xf numFmtId="0" fontId="28" fillId="0" borderId="4" xfId="0" applyFont="1" applyFill="1" applyBorder="1" applyAlignment="1">
      <alignment horizontal="center" vertical="top"/>
    </xf>
    <xf numFmtId="0" fontId="28" fillId="0" borderId="0" xfId="0" applyFont="1" applyFill="1" applyBorder="1" applyAlignment="1">
      <alignment horizontal="center" vertical="top"/>
    </xf>
    <xf numFmtId="2" fontId="5" fillId="0" borderId="5" xfId="0" applyNumberFormat="1" applyFont="1" applyFill="1" applyBorder="1" applyAlignment="1">
      <alignment horizontal="center" vertical="top"/>
    </xf>
    <xf numFmtId="2" fontId="5" fillId="0" borderId="0" xfId="0" applyNumberFormat="1" applyFont="1" applyFill="1" applyAlignment="1">
      <alignment horizontal="center" vertical="top"/>
    </xf>
    <xf numFmtId="0" fontId="1" fillId="0" borderId="0" xfId="0" applyFont="1" applyAlignment="1">
      <alignment horizontal="center" vertical="top"/>
    </xf>
    <xf numFmtId="0" fontId="12" fillId="0" borderId="4" xfId="0" applyFont="1" applyBorder="1" applyAlignment="1">
      <alignment horizontal="center" vertical="top"/>
    </xf>
    <xf numFmtId="0" fontId="37" fillId="0" borderId="0" xfId="0" applyFont="1" applyAlignment="1">
      <alignment horizontal="left" vertical="top"/>
    </xf>
    <xf numFmtId="0" fontId="40" fillId="0" borderId="0" xfId="0" applyFont="1" applyAlignment="1">
      <alignment horizontal="left"/>
    </xf>
    <xf numFmtId="0" fontId="20" fillId="0" borderId="0" xfId="0" applyFont="1" applyAlignment="1">
      <alignment horizontal="center" vertical="top"/>
    </xf>
    <xf numFmtId="0" fontId="41" fillId="0" borderId="0" xfId="0" applyFont="1" applyAlignment="1">
      <alignment horizontal="left"/>
    </xf>
    <xf numFmtId="0" fontId="20" fillId="0" borderId="0" xfId="0" applyFont="1" applyAlignment="1">
      <alignment horizontal="center"/>
    </xf>
    <xf numFmtId="0" fontId="42" fillId="0" borderId="0" xfId="0" applyFont="1" applyAlignment="1">
      <alignment horizontal="left" vertical="top"/>
    </xf>
    <xf numFmtId="0" fontId="27"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1" fillId="0" borderId="8" xfId="0" applyFont="1" applyBorder="1" applyAlignment="1">
      <alignment horizontal="center"/>
    </xf>
    <xf numFmtId="0" fontId="0" fillId="3" borderId="8" xfId="0" applyFill="1" applyBorder="1" applyAlignment="1">
      <alignment vertical="top"/>
    </xf>
    <xf numFmtId="0" fontId="0" fillId="3" borderId="9" xfId="0" applyFill="1" applyBorder="1" applyAlignment="1">
      <alignment vertical="top"/>
    </xf>
    <xf numFmtId="0" fontId="0" fillId="0" borderId="4" xfId="0" applyBorder="1" applyAlignment="1">
      <alignment vertical="top"/>
    </xf>
    <xf numFmtId="0" fontId="0" fillId="0" borderId="5" xfId="0" applyBorder="1" applyAlignment="1">
      <alignment vertical="top"/>
    </xf>
    <xf numFmtId="0" fontId="0" fillId="3" borderId="4" xfId="0" applyFill="1" applyBorder="1" applyAlignment="1">
      <alignment vertical="top"/>
    </xf>
    <xf numFmtId="0" fontId="0" fillId="3" borderId="5" xfId="0" applyFill="1" applyBorder="1" applyAlignment="1">
      <alignment vertical="top"/>
    </xf>
    <xf numFmtId="0" fontId="6" fillId="0" borderId="10" xfId="0" applyFont="1" applyBorder="1" applyAlignment="1">
      <alignment vertical="top"/>
    </xf>
    <xf numFmtId="0" fontId="6" fillId="0" borderId="11" xfId="0" applyFont="1" applyBorder="1" applyAlignment="1">
      <alignment vertical="top"/>
    </xf>
    <xf numFmtId="0" fontId="0" fillId="0" borderId="9" xfId="0" applyBorder="1" applyAlignment="1">
      <alignment vertical="top"/>
    </xf>
    <xf numFmtId="0" fontId="0" fillId="2" borderId="4" xfId="0" applyFill="1" applyBorder="1" applyAlignment="1">
      <alignment vertical="top"/>
    </xf>
    <xf numFmtId="0" fontId="0" fillId="2" borderId="5" xfId="0" applyFill="1" applyBorder="1" applyAlignment="1">
      <alignment vertical="top"/>
    </xf>
    <xf numFmtId="0" fontId="0" fillId="2" borderId="10" xfId="0" applyFill="1" applyBorder="1" applyAlignment="1">
      <alignment vertical="top"/>
    </xf>
    <xf numFmtId="0" fontId="0" fillId="2" borderId="11" xfId="0" applyFill="1" applyBorder="1" applyAlignment="1">
      <alignment vertical="top"/>
    </xf>
    <xf numFmtId="0" fontId="0" fillId="0" borderId="12"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28" fillId="2" borderId="0" xfId="0" applyFont="1" applyFill="1" applyAlignment="1">
      <alignment horizontal="center" vertical="top"/>
    </xf>
    <xf numFmtId="0" fontId="19" fillId="0" borderId="13" xfId="0" applyNumberFormat="1" applyFont="1" applyBorder="1" applyAlignment="1">
      <alignment horizontal="center" vertical="top"/>
    </xf>
    <xf numFmtId="16" fontId="0" fillId="0" borderId="7" xfId="0" applyNumberFormat="1" applyBorder="1" applyAlignment="1">
      <alignment horizontal="center" vertical="top"/>
    </xf>
    <xf numFmtId="16" fontId="0" fillId="0" borderId="5" xfId="0" applyNumberFormat="1" applyBorder="1" applyAlignment="1">
      <alignment horizontal="center" vertical="top"/>
    </xf>
    <xf numFmtId="0" fontId="0" fillId="0" borderId="0" xfId="0" applyBorder="1" applyAlignment="1">
      <alignment horizontal="left" vertical="top" wrapText="1"/>
    </xf>
    <xf numFmtId="0" fontId="22" fillId="0" borderId="7" xfId="0" applyFont="1" applyBorder="1" applyAlignment="1">
      <alignment horizontal="center" vertical="top"/>
    </xf>
    <xf numFmtId="0" fontId="0" fillId="2" borderId="0" xfId="0" applyFill="1" applyAlignment="1">
      <alignment horizontal="center" vertical="top"/>
    </xf>
    <xf numFmtId="0" fontId="0" fillId="2" borderId="4" xfId="0" applyFill="1" applyBorder="1" applyAlignment="1">
      <alignment horizontal="center" vertical="top"/>
    </xf>
    <xf numFmtId="0" fontId="5" fillId="0" borderId="0" xfId="0" applyFont="1" applyFill="1" applyAlignment="1">
      <alignment horizontal="center" vertical="top"/>
    </xf>
    <xf numFmtId="0" fontId="10" fillId="0" borderId="4" xfId="0" applyFont="1" applyBorder="1" applyAlignment="1">
      <alignment horizontal="center"/>
    </xf>
    <xf numFmtId="0" fontId="6" fillId="0" borderId="4" xfId="0" applyFont="1" applyBorder="1" applyAlignment="1">
      <alignment horizontal="center" vertical="top"/>
    </xf>
    <xf numFmtId="0" fontId="6" fillId="0" borderId="6" xfId="0" applyFont="1" applyBorder="1" applyAlignment="1">
      <alignment horizontal="center" vertical="top"/>
    </xf>
    <xf numFmtId="0" fontId="6" fillId="0" borderId="4" xfId="0" applyFont="1" applyFill="1" applyBorder="1" applyAlignment="1">
      <alignment horizontal="center" vertical="top"/>
    </xf>
    <xf numFmtId="0" fontId="38" fillId="0" borderId="0" xfId="0" applyFont="1" applyAlignment="1">
      <alignment horizontal="left" vertical="top"/>
    </xf>
    <xf numFmtId="0" fontId="10" fillId="0" borderId="1" xfId="0" applyFont="1" applyBorder="1" applyAlignment="1">
      <alignment horizontal="center" vertical="top"/>
    </xf>
    <xf numFmtId="0" fontId="6" fillId="0" borderId="0" xfId="0" applyFont="1" applyAlignment="1">
      <alignment horizontal="left" vertical="top"/>
    </xf>
    <xf numFmtId="2" fontId="6" fillId="0" borderId="0" xfId="0" applyNumberFormat="1" applyFont="1" applyAlignment="1">
      <alignment horizontal="left" vertical="top"/>
    </xf>
    <xf numFmtId="49" fontId="6" fillId="0" borderId="0" xfId="0" applyNumberFormat="1" applyFont="1" applyAlignment="1">
      <alignment horizontal="left" vertical="top"/>
    </xf>
    <xf numFmtId="0" fontId="16" fillId="2" borderId="0" xfId="0" applyFont="1" applyFill="1" applyAlignment="1">
      <alignment horizontal="center" vertical="top"/>
    </xf>
    <xf numFmtId="0" fontId="14" fillId="2" borderId="0" xfId="0" applyFont="1" applyFill="1" applyAlignment="1">
      <alignment horizontal="center" vertical="top"/>
    </xf>
    <xf numFmtId="0" fontId="29" fillId="0" borderId="0" xfId="0" applyFont="1" applyAlignment="1">
      <alignment vertical="top"/>
    </xf>
    <xf numFmtId="0" fontId="1" fillId="0" borderId="0" xfId="0" applyFont="1"/>
    <xf numFmtId="0" fontId="17" fillId="0" borderId="0" xfId="0" applyFont="1" applyAlignment="1">
      <alignment horizontal="center"/>
    </xf>
    <xf numFmtId="16" fontId="6" fillId="0" borderId="5" xfId="0" applyNumberFormat="1" applyFont="1" applyBorder="1" applyAlignment="1">
      <alignment horizontal="center" vertical="top"/>
    </xf>
    <xf numFmtId="0" fontId="6" fillId="2" borderId="0" xfId="0" applyFont="1" applyFill="1" applyBorder="1" applyAlignment="1">
      <alignment horizontal="center" vertical="top"/>
    </xf>
    <xf numFmtId="2" fontId="6" fillId="2" borderId="0" xfId="0" applyNumberFormat="1" applyFont="1" applyFill="1" applyBorder="1" applyAlignment="1">
      <alignment horizontal="center" vertical="top"/>
    </xf>
    <xf numFmtId="2" fontId="6" fillId="2" borderId="5" xfId="0" applyNumberFormat="1" applyFont="1" applyFill="1" applyBorder="1" applyAlignment="1">
      <alignment horizontal="center" vertical="top"/>
    </xf>
    <xf numFmtId="0" fontId="6" fillId="2" borderId="3" xfId="0" applyNumberFormat="1" applyFont="1" applyFill="1" applyBorder="1" applyAlignment="1">
      <alignment horizontal="center" vertical="top"/>
    </xf>
    <xf numFmtId="1" fontId="6" fillId="2" borderId="0" xfId="0" applyNumberFormat="1" applyFont="1" applyFill="1" applyAlignment="1">
      <alignment horizontal="center" vertical="top"/>
    </xf>
    <xf numFmtId="2" fontId="6" fillId="2" borderId="0" xfId="0" applyNumberFormat="1" applyFont="1" applyFill="1" applyAlignment="1">
      <alignment horizontal="center" vertical="top"/>
    </xf>
    <xf numFmtId="0" fontId="6" fillId="2" borderId="0" xfId="0" applyFont="1" applyFill="1" applyAlignment="1">
      <alignment horizontal="left" vertical="top" wrapText="1"/>
    </xf>
    <xf numFmtId="0" fontId="6" fillId="0" borderId="0" xfId="0" applyFont="1" applyAlignment="1">
      <alignment vertical="top"/>
    </xf>
    <xf numFmtId="0" fontId="11" fillId="0" borderId="0" xfId="0" applyFont="1" applyAlignment="1">
      <alignment horizontal="center" vertical="top"/>
    </xf>
    <xf numFmtId="10" fontId="3" fillId="0" borderId="0" xfId="1" applyNumberFormat="1" applyFont="1" applyAlignment="1">
      <alignment horizontal="center" vertical="top"/>
    </xf>
    <xf numFmtId="10" fontId="22" fillId="0" borderId="0" xfId="1" applyNumberFormat="1" applyFont="1" applyAlignment="1">
      <alignment horizontal="center" vertical="top"/>
    </xf>
    <xf numFmtId="0" fontId="0" fillId="0" borderId="0" xfId="0" applyFont="1" applyAlignment="1">
      <alignment horizontal="center"/>
    </xf>
    <xf numFmtId="10" fontId="3" fillId="0" borderId="0" xfId="1" applyNumberFormat="1" applyFont="1" applyAlignment="1">
      <alignment horizontal="center"/>
    </xf>
    <xf numFmtId="0" fontId="1" fillId="0" borderId="0" xfId="0" applyFont="1" applyAlignment="1">
      <alignment horizontal="center" wrapText="1"/>
    </xf>
    <xf numFmtId="0" fontId="5" fillId="0" borderId="0" xfId="0" applyNumberFormat="1" applyFont="1" applyAlignment="1">
      <alignment horizontal="center" vertical="top"/>
    </xf>
    <xf numFmtId="0" fontId="1" fillId="0" borderId="0" xfId="0" applyNumberFormat="1" applyFont="1" applyAlignment="1">
      <alignment horizontal="center" wrapText="1"/>
    </xf>
    <xf numFmtId="0" fontId="5" fillId="0" borderId="0" xfId="0" applyNumberFormat="1" applyFont="1" applyAlignment="1">
      <alignment horizontal="center"/>
    </xf>
    <xf numFmtId="0" fontId="5" fillId="0" borderId="0" xfId="1" applyNumberFormat="1" applyFont="1" applyAlignment="1">
      <alignment horizontal="center" vertical="top"/>
    </xf>
    <xf numFmtId="10" fontId="22" fillId="0" borderId="0" xfId="1" applyNumberFormat="1" applyFont="1" applyAlignment="1">
      <alignment horizontal="center"/>
    </xf>
    <xf numFmtId="0" fontId="12" fillId="0" borderId="0" xfId="0" applyNumberFormat="1" applyFont="1" applyAlignment="1">
      <alignment horizontal="center" vertical="top"/>
    </xf>
    <xf numFmtId="164" fontId="11" fillId="0" borderId="0" xfId="1" applyNumberFormat="1" applyFont="1" applyAlignment="1">
      <alignment horizontal="center" vertical="top"/>
    </xf>
    <xf numFmtId="0" fontId="11" fillId="0" borderId="0" xfId="0" quotePrefix="1" applyNumberFormat="1" applyFont="1" applyAlignment="1">
      <alignment horizontal="center" vertical="top" wrapText="1"/>
    </xf>
    <xf numFmtId="0" fontId="26" fillId="0" borderId="0" xfId="0" applyFont="1" applyAlignment="1">
      <alignment horizontal="center" wrapText="1"/>
    </xf>
    <xf numFmtId="0" fontId="17" fillId="0" borderId="0" xfId="0" applyFont="1" applyAlignment="1">
      <alignment horizontal="center"/>
    </xf>
    <xf numFmtId="0" fontId="34" fillId="0" borderId="0" xfId="0" applyFont="1" applyAlignment="1">
      <alignment horizontal="center"/>
    </xf>
    <xf numFmtId="1" fontId="34" fillId="0" borderId="0" xfId="0" applyNumberFormat="1" applyFont="1" applyAlignment="1">
      <alignment horizontal="center"/>
    </xf>
    <xf numFmtId="0" fontId="33" fillId="0" borderId="0" xfId="0" applyFont="1" applyAlignment="1">
      <alignment horizontal="center"/>
    </xf>
    <xf numFmtId="0" fontId="32" fillId="0" borderId="0" xfId="0" applyFont="1" applyAlignment="1">
      <alignment horizontal="center"/>
    </xf>
    <xf numFmtId="14" fontId="0" fillId="0" borderId="0" xfId="0" applyNumberFormat="1" applyAlignment="1">
      <alignment horizontal="center" vertical="top"/>
    </xf>
  </cellXfs>
  <cellStyles count="2">
    <cellStyle name="Normal" xfId="0" builtinId="0"/>
    <cellStyle name="Percent" xfId="1" builtinId="5"/>
  </cellStyles>
  <dxfs count="0"/>
  <tableStyles count="0" defaultTableStyle="TableStyleMedium2" defaultPivotStyle="PivotStyleLight16"/>
  <colors>
    <mruColors>
      <color rgb="FF180000"/>
      <color rgb="FFFFFF00"/>
      <color rgb="FFCC99FF"/>
      <color rgb="FF663300"/>
      <color rgb="FFCCCCFF"/>
      <color rgb="FFFF00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Benford Analysis</a:t>
            </a:r>
            <a:r>
              <a:rPr lang="en-US" b="1" baseline="0"/>
              <a:t> of LA County Covid Data for 2020</a:t>
            </a:r>
            <a:r>
              <a:rPr lang="en-US" b="1"/>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Benford Law - Theory</c:v>
          </c:tx>
          <c:spPr>
            <a:solidFill>
              <a:srgbClr val="0070C0"/>
            </a:solidFill>
            <a:ln>
              <a:solidFill>
                <a:srgbClr val="0070C0"/>
              </a:solidFill>
            </a:ln>
            <a:effectLst/>
          </c:spPr>
          <c:invertIfNegative val="0"/>
          <c:cat>
            <c:numRef>
              <c:f>Benford!$A$7:$A$15</c:f>
              <c:numCache>
                <c:formatCode>General</c:formatCode>
                <c:ptCount val="9"/>
                <c:pt idx="0">
                  <c:v>1</c:v>
                </c:pt>
                <c:pt idx="1">
                  <c:v>2</c:v>
                </c:pt>
                <c:pt idx="2">
                  <c:v>3</c:v>
                </c:pt>
                <c:pt idx="3">
                  <c:v>4</c:v>
                </c:pt>
                <c:pt idx="4">
                  <c:v>5</c:v>
                </c:pt>
                <c:pt idx="5">
                  <c:v>6</c:v>
                </c:pt>
                <c:pt idx="6">
                  <c:v>7</c:v>
                </c:pt>
                <c:pt idx="7">
                  <c:v>8</c:v>
                </c:pt>
                <c:pt idx="8">
                  <c:v>9</c:v>
                </c:pt>
              </c:numCache>
            </c:numRef>
          </c:cat>
          <c:val>
            <c:numRef>
              <c:f>Benford!$C$7:$C$15</c:f>
              <c:numCache>
                <c:formatCode>0.00%</c:formatCode>
                <c:ptCount val="9"/>
                <c:pt idx="0">
                  <c:v>0.30102999566398114</c:v>
                </c:pt>
                <c:pt idx="1">
                  <c:v>0.17609125905568124</c:v>
                </c:pt>
                <c:pt idx="2">
                  <c:v>0.12493873660829991</c:v>
                </c:pt>
                <c:pt idx="3">
                  <c:v>9.6910013008056406E-2</c:v>
                </c:pt>
                <c:pt idx="4">
                  <c:v>7.9181246047624804E-2</c:v>
                </c:pt>
                <c:pt idx="5">
                  <c:v>6.6946789630613221E-2</c:v>
                </c:pt>
                <c:pt idx="6">
                  <c:v>5.7991946977686726E-2</c:v>
                </c:pt>
                <c:pt idx="7">
                  <c:v>5.1152522447381284E-2</c:v>
                </c:pt>
                <c:pt idx="8">
                  <c:v>4.5757490560675143E-2</c:v>
                </c:pt>
              </c:numCache>
            </c:numRef>
          </c:val>
          <c:extLst>
            <c:ext xmlns:c16="http://schemas.microsoft.com/office/drawing/2014/chart" uri="{C3380CC4-5D6E-409C-BE32-E72D297353CC}">
              <c16:uniqueId val="{00000002-5CAE-4145-86AA-C2A055E41B25}"/>
            </c:ext>
          </c:extLst>
        </c:ser>
        <c:ser>
          <c:idx val="0"/>
          <c:order val="1"/>
          <c:tx>
            <c:v>Cases (Actual)</c:v>
          </c:tx>
          <c:spPr>
            <a:solidFill>
              <a:srgbClr val="180000"/>
            </a:solidFill>
            <a:ln>
              <a:solidFill>
                <a:srgbClr val="180000"/>
              </a:solidFill>
            </a:ln>
            <a:effectLst/>
          </c:spPr>
          <c:invertIfNegative val="0"/>
          <c:cat>
            <c:numRef>
              <c:f>Benford!$A$7:$A$15</c:f>
              <c:numCache>
                <c:formatCode>General</c:formatCode>
                <c:ptCount val="9"/>
                <c:pt idx="0">
                  <c:v>1</c:v>
                </c:pt>
                <c:pt idx="1">
                  <c:v>2</c:v>
                </c:pt>
                <c:pt idx="2">
                  <c:v>3</c:v>
                </c:pt>
                <c:pt idx="3">
                  <c:v>4</c:v>
                </c:pt>
                <c:pt idx="4">
                  <c:v>5</c:v>
                </c:pt>
                <c:pt idx="5">
                  <c:v>6</c:v>
                </c:pt>
                <c:pt idx="6">
                  <c:v>7</c:v>
                </c:pt>
                <c:pt idx="7">
                  <c:v>8</c:v>
                </c:pt>
                <c:pt idx="8">
                  <c:v>9</c:v>
                </c:pt>
              </c:numCache>
            </c:numRef>
          </c:cat>
          <c:val>
            <c:numRef>
              <c:f>Benford!$D$7:$D$15</c:f>
              <c:numCache>
                <c:formatCode>0.00%</c:formatCode>
                <c:ptCount val="9"/>
                <c:pt idx="0">
                  <c:v>0.48695652173913045</c:v>
                </c:pt>
                <c:pt idx="1">
                  <c:v>0.20869565217391303</c:v>
                </c:pt>
                <c:pt idx="2">
                  <c:v>5.6521739130434782E-2</c:v>
                </c:pt>
                <c:pt idx="3">
                  <c:v>5.6521739130434782E-2</c:v>
                </c:pt>
                <c:pt idx="4">
                  <c:v>2.6086956521739129E-2</c:v>
                </c:pt>
                <c:pt idx="5">
                  <c:v>2.1739130434782608E-2</c:v>
                </c:pt>
                <c:pt idx="6">
                  <c:v>3.0434782608695653E-2</c:v>
                </c:pt>
                <c:pt idx="7">
                  <c:v>5.2173913043478258E-2</c:v>
                </c:pt>
                <c:pt idx="8">
                  <c:v>6.0869565217391307E-2</c:v>
                </c:pt>
              </c:numCache>
            </c:numRef>
          </c:val>
          <c:extLst>
            <c:ext xmlns:c16="http://schemas.microsoft.com/office/drawing/2014/chart" uri="{C3380CC4-5D6E-409C-BE32-E72D297353CC}">
              <c16:uniqueId val="{00000000-5CAE-4145-86AA-C2A055E41B25}"/>
            </c:ext>
          </c:extLst>
        </c:ser>
        <c:ser>
          <c:idx val="3"/>
          <c:order val="2"/>
          <c:tx>
            <c:v>Death (Actual)</c:v>
          </c:tx>
          <c:spPr>
            <a:solidFill>
              <a:srgbClr val="FF0000"/>
            </a:solidFill>
            <a:ln>
              <a:solidFill>
                <a:srgbClr val="FF0000"/>
              </a:solidFill>
            </a:ln>
            <a:effectLst/>
          </c:spPr>
          <c:invertIfNegative val="0"/>
          <c:cat>
            <c:numRef>
              <c:f>Benford!$A$7:$A$15</c:f>
              <c:numCache>
                <c:formatCode>General</c:formatCode>
                <c:ptCount val="9"/>
                <c:pt idx="0">
                  <c:v>1</c:v>
                </c:pt>
                <c:pt idx="1">
                  <c:v>2</c:v>
                </c:pt>
                <c:pt idx="2">
                  <c:v>3</c:v>
                </c:pt>
                <c:pt idx="3">
                  <c:v>4</c:v>
                </c:pt>
                <c:pt idx="4">
                  <c:v>5</c:v>
                </c:pt>
                <c:pt idx="5">
                  <c:v>6</c:v>
                </c:pt>
                <c:pt idx="6">
                  <c:v>7</c:v>
                </c:pt>
                <c:pt idx="7">
                  <c:v>8</c:v>
                </c:pt>
                <c:pt idx="8">
                  <c:v>9</c:v>
                </c:pt>
              </c:numCache>
            </c:numRef>
          </c:cat>
          <c:val>
            <c:numRef>
              <c:f>Benford!$J$7:$J$15</c:f>
              <c:numCache>
                <c:formatCode>0.00%</c:formatCode>
                <c:ptCount val="9"/>
                <c:pt idx="0">
                  <c:v>0.19565217391304349</c:v>
                </c:pt>
                <c:pt idx="1">
                  <c:v>0.21304347826086956</c:v>
                </c:pt>
                <c:pt idx="2">
                  <c:v>0.1391304347826087</c:v>
                </c:pt>
                <c:pt idx="3">
                  <c:v>0.16086956521739129</c:v>
                </c:pt>
                <c:pt idx="4">
                  <c:v>0.13478260869565217</c:v>
                </c:pt>
                <c:pt idx="5">
                  <c:v>7.3913043478260873E-2</c:v>
                </c:pt>
                <c:pt idx="6">
                  <c:v>3.9130434782608699E-2</c:v>
                </c:pt>
                <c:pt idx="7">
                  <c:v>2.1739130434782608E-2</c:v>
                </c:pt>
                <c:pt idx="8">
                  <c:v>2.1739130434782608E-2</c:v>
                </c:pt>
              </c:numCache>
            </c:numRef>
          </c:val>
          <c:extLst>
            <c:ext xmlns:c16="http://schemas.microsoft.com/office/drawing/2014/chart" uri="{C3380CC4-5D6E-409C-BE32-E72D297353CC}">
              <c16:uniqueId val="{00000004-5CAE-4145-86AA-C2A055E41B25}"/>
            </c:ext>
          </c:extLst>
        </c:ser>
        <c:dLbls>
          <c:showLegendKey val="0"/>
          <c:showVal val="0"/>
          <c:showCatName val="0"/>
          <c:showSerName val="0"/>
          <c:showPercent val="0"/>
          <c:showBubbleSize val="0"/>
        </c:dLbls>
        <c:gapWidth val="219"/>
        <c:axId val="1972825296"/>
        <c:axId val="1972830288"/>
      </c:barChart>
      <c:catAx>
        <c:axId val="197282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Digit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830288"/>
        <c:crosses val="autoZero"/>
        <c:auto val="1"/>
        <c:lblAlgn val="ctr"/>
        <c:lblOffset val="100"/>
        <c:noMultiLvlLbl val="0"/>
      </c:catAx>
      <c:valAx>
        <c:axId val="197283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Probability</a:t>
                </a:r>
                <a:r>
                  <a:rPr lang="en-US" sz="1200" b="1" baseline="0"/>
                  <a:t> First Digit</a:t>
                </a:r>
                <a:endParaRPr lang="en-US" sz="1000" b="0" baseline="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82529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Los Angeles</a:t>
            </a:r>
            <a:r>
              <a:rPr lang="en-US" baseline="0"/>
              <a:t> County Coronavirus 2020 - Cases &amp; Death </a:t>
            </a:r>
          </a:p>
          <a:p>
            <a:pPr>
              <a:defRPr/>
            </a:pPr>
            <a:r>
              <a:rPr lang="en-US" baseline="0"/>
              <a:t>(Source: publichealth.lacounty.gov)</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Cases</c:v>
          </c:tx>
          <c:spPr>
            <a:ln w="25400" cap="rnd">
              <a:noFill/>
              <a:round/>
            </a:ln>
            <a:effectLst/>
          </c:spPr>
          <c:marker>
            <c:symbol val="circle"/>
            <c:size val="5"/>
            <c:spPr>
              <a:solidFill>
                <a:schemeClr val="tx1"/>
              </a:solidFill>
              <a:ln w="9525">
                <a:solidFill>
                  <a:srgbClr val="FF0000"/>
                </a:solidFill>
              </a:ln>
              <a:effectLst/>
            </c:spPr>
          </c:marker>
          <c:trendline>
            <c:spPr>
              <a:ln w="19050" cap="rnd">
                <a:solidFill>
                  <a:srgbClr val="180000"/>
                </a:solidFill>
                <a:prstDash val="sysDot"/>
              </a:ln>
              <a:effectLst/>
            </c:spPr>
            <c:trendlineType val="linear"/>
            <c:forward val="365"/>
            <c:dispRSqr val="0"/>
            <c:dispEq val="0"/>
          </c:trendline>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f>Data!$B$3:$B$308</c:f>
              <c:numCache>
                <c:formatCode>General</c:formatCode>
                <c:ptCount val="306"/>
                <c:pt idx="22">
                  <c:v>536</c:v>
                </c:pt>
                <c:pt idx="23">
                  <c:v>662</c:v>
                </c:pt>
                <c:pt idx="24">
                  <c:v>799</c:v>
                </c:pt>
                <c:pt idx="25">
                  <c:v>1216</c:v>
                </c:pt>
                <c:pt idx="26">
                  <c:v>1465</c:v>
                </c:pt>
                <c:pt idx="27">
                  <c:v>1804</c:v>
                </c:pt>
                <c:pt idx="28">
                  <c:v>2136</c:v>
                </c:pt>
                <c:pt idx="29">
                  <c:v>2474</c:v>
                </c:pt>
                <c:pt idx="30">
                  <c:v>3011</c:v>
                </c:pt>
                <c:pt idx="31">
                  <c:v>3518</c:v>
                </c:pt>
                <c:pt idx="32">
                  <c:v>4045</c:v>
                </c:pt>
                <c:pt idx="33">
                  <c:v>4566</c:v>
                </c:pt>
                <c:pt idx="34">
                  <c:v>5277</c:v>
                </c:pt>
                <c:pt idx="35">
                  <c:v>5940</c:v>
                </c:pt>
                <c:pt idx="36">
                  <c:v>6360</c:v>
                </c:pt>
                <c:pt idx="37">
                  <c:v>6910</c:v>
                </c:pt>
                <c:pt idx="38">
                  <c:v>7530</c:v>
                </c:pt>
                <c:pt idx="39">
                  <c:v>7955</c:v>
                </c:pt>
                <c:pt idx="40">
                  <c:v>8430</c:v>
                </c:pt>
                <c:pt idx="41">
                  <c:v>8873</c:v>
                </c:pt>
                <c:pt idx="42">
                  <c:v>9192</c:v>
                </c:pt>
                <c:pt idx="43">
                  <c:v>9420</c:v>
                </c:pt>
                <c:pt idx="44">
                  <c:v>10047</c:v>
                </c:pt>
                <c:pt idx="45">
                  <c:v>10496</c:v>
                </c:pt>
                <c:pt idx="46">
                  <c:v>10854</c:v>
                </c:pt>
                <c:pt idx="47">
                  <c:v>11391</c:v>
                </c:pt>
                <c:pt idx="48">
                  <c:v>12021</c:v>
                </c:pt>
                <c:pt idx="49">
                  <c:v>12341</c:v>
                </c:pt>
                <c:pt idx="50">
                  <c:v>13816</c:v>
                </c:pt>
                <c:pt idx="51">
                  <c:v>15140</c:v>
                </c:pt>
                <c:pt idx="52">
                  <c:v>16435</c:v>
                </c:pt>
                <c:pt idx="53">
                  <c:v>18517</c:v>
                </c:pt>
                <c:pt idx="54">
                  <c:v>19107</c:v>
                </c:pt>
                <c:pt idx="55">
                  <c:v>19528</c:v>
                </c:pt>
                <c:pt idx="56">
                  <c:v>20417</c:v>
                </c:pt>
                <c:pt idx="57">
                  <c:v>20976</c:v>
                </c:pt>
                <c:pt idx="58">
                  <c:v>22485</c:v>
                </c:pt>
                <c:pt idx="59">
                  <c:v>23182</c:v>
                </c:pt>
                <c:pt idx="60">
                  <c:v>24215</c:v>
                </c:pt>
                <c:pt idx="61">
                  <c:v>24894</c:v>
                </c:pt>
                <c:pt idx="62">
                  <c:v>25662</c:v>
                </c:pt>
                <c:pt idx="63">
                  <c:v>26217</c:v>
                </c:pt>
                <c:pt idx="64">
                  <c:v>27815</c:v>
                </c:pt>
                <c:pt idx="65">
                  <c:v>28644</c:v>
                </c:pt>
                <c:pt idx="66">
                  <c:v>29427</c:v>
                </c:pt>
                <c:pt idx="67">
                  <c:v>30296</c:v>
                </c:pt>
                <c:pt idx="68">
                  <c:v>31197</c:v>
                </c:pt>
                <c:pt idx="69">
                  <c:v>31677</c:v>
                </c:pt>
                <c:pt idx="70">
                  <c:v>32258</c:v>
                </c:pt>
                <c:pt idx="71">
                  <c:v>33180</c:v>
                </c:pt>
                <c:pt idx="72">
                  <c:v>34428</c:v>
                </c:pt>
                <c:pt idx="73">
                  <c:v>35329</c:v>
                </c:pt>
                <c:pt idx="74">
                  <c:v>36259</c:v>
                </c:pt>
                <c:pt idx="75">
                  <c:v>37303</c:v>
                </c:pt>
                <c:pt idx="76">
                  <c:v>37974</c:v>
                </c:pt>
                <c:pt idx="77">
                  <c:v>38451</c:v>
                </c:pt>
                <c:pt idx="78">
                  <c:v>39573</c:v>
                </c:pt>
                <c:pt idx="79">
                  <c:v>40857</c:v>
                </c:pt>
                <c:pt idx="80">
                  <c:v>42037</c:v>
                </c:pt>
                <c:pt idx="81">
                  <c:v>43052</c:v>
                </c:pt>
                <c:pt idx="82">
                  <c:v>44055</c:v>
                </c:pt>
                <c:pt idx="83">
                  <c:v>44988</c:v>
                </c:pt>
                <c:pt idx="84">
                  <c:v>46018</c:v>
                </c:pt>
                <c:pt idx="85">
                  <c:v>47822</c:v>
                </c:pt>
                <c:pt idx="86">
                  <c:v>48700</c:v>
                </c:pt>
                <c:pt idx="87">
                  <c:v>49774</c:v>
                </c:pt>
                <c:pt idx="88">
                  <c:v>51562</c:v>
                </c:pt>
                <c:pt idx="89">
                  <c:v>53651</c:v>
                </c:pt>
                <c:pt idx="90">
                  <c:v>54996</c:v>
                </c:pt>
                <c:pt idx="91">
                  <c:v>55968</c:v>
                </c:pt>
                <c:pt idx="92">
                  <c:v>57118</c:v>
                </c:pt>
                <c:pt idx="93">
                  <c:v>58234</c:v>
                </c:pt>
                <c:pt idx="94">
                  <c:v>59650</c:v>
                </c:pt>
                <c:pt idx="95">
                  <c:v>61045</c:v>
                </c:pt>
                <c:pt idx="96">
                  <c:v>62338</c:v>
                </c:pt>
                <c:pt idx="97">
                  <c:v>63844</c:v>
                </c:pt>
                <c:pt idx="98">
                  <c:v>64644</c:v>
                </c:pt>
                <c:pt idx="99">
                  <c:v>65822</c:v>
                </c:pt>
                <c:pt idx="100">
                  <c:v>67064</c:v>
                </c:pt>
                <c:pt idx="101">
                  <c:v>68875</c:v>
                </c:pt>
                <c:pt idx="102">
                  <c:v>70476</c:v>
                </c:pt>
                <c:pt idx="103">
                  <c:v>72023</c:v>
                </c:pt>
                <c:pt idx="104">
                  <c:v>73018</c:v>
                </c:pt>
                <c:pt idx="105">
                  <c:v>73791</c:v>
                </c:pt>
                <c:pt idx="106">
                  <c:v>75084</c:v>
                </c:pt>
                <c:pt idx="107">
                  <c:v>77189</c:v>
                </c:pt>
                <c:pt idx="108">
                  <c:v>78227</c:v>
                </c:pt>
                <c:pt idx="109">
                  <c:v>79609</c:v>
                </c:pt>
                <c:pt idx="110">
                  <c:v>81636</c:v>
                </c:pt>
                <c:pt idx="111">
                  <c:v>83397</c:v>
                </c:pt>
                <c:pt idx="112">
                  <c:v>85942</c:v>
                </c:pt>
                <c:pt idx="113">
                  <c:v>88262</c:v>
                </c:pt>
                <c:pt idx="114">
                  <c:v>89490</c:v>
                </c:pt>
                <c:pt idx="115">
                  <c:v>91467</c:v>
                </c:pt>
                <c:pt idx="116">
                  <c:v>93232</c:v>
                </c:pt>
                <c:pt idx="117">
                  <c:v>95371</c:v>
                </c:pt>
                <c:pt idx="118">
                  <c:v>97894</c:v>
                </c:pt>
                <c:pt idx="119">
                  <c:v>100772</c:v>
                </c:pt>
                <c:pt idx="120">
                  <c:v>103529</c:v>
                </c:pt>
                <c:pt idx="121">
                  <c:v>105507</c:v>
                </c:pt>
                <c:pt idx="122">
                  <c:v>107667</c:v>
                </c:pt>
                <c:pt idx="123">
                  <c:v>110109</c:v>
                </c:pt>
                <c:pt idx="124">
                  <c:v>112551</c:v>
                </c:pt>
                <c:pt idx="125">
                  <c:v>114993</c:v>
                </c:pt>
                <c:pt idx="126">
                  <c:v>116570</c:v>
                </c:pt>
                <c:pt idx="127">
                  <c:v>120539</c:v>
                </c:pt>
                <c:pt idx="128">
                  <c:v>123004</c:v>
                </c:pt>
                <c:pt idx="129">
                  <c:v>124738</c:v>
                </c:pt>
                <c:pt idx="130">
                  <c:v>127358</c:v>
                </c:pt>
                <c:pt idx="131">
                  <c:v>130242</c:v>
                </c:pt>
                <c:pt idx="132">
                  <c:v>133549</c:v>
                </c:pt>
                <c:pt idx="133">
                  <c:v>136129</c:v>
                </c:pt>
                <c:pt idx="134">
                  <c:v>140307</c:v>
                </c:pt>
                <c:pt idx="135">
                  <c:v>143009</c:v>
                </c:pt>
                <c:pt idx="136">
                  <c:v>147468</c:v>
                </c:pt>
                <c:pt idx="137">
                  <c:v>150319</c:v>
                </c:pt>
                <c:pt idx="138">
                  <c:v>153041</c:v>
                </c:pt>
                <c:pt idx="139">
                  <c:v>155887</c:v>
                </c:pt>
                <c:pt idx="140">
                  <c:v>159045</c:v>
                </c:pt>
                <c:pt idx="141">
                  <c:v>161673</c:v>
                </c:pt>
                <c:pt idx="142">
                  <c:v>164870</c:v>
                </c:pt>
                <c:pt idx="143">
                  <c:v>166848</c:v>
                </c:pt>
                <c:pt idx="144">
                  <c:v>168757</c:v>
                </c:pt>
                <c:pt idx="145">
                  <c:v>172325</c:v>
                </c:pt>
                <c:pt idx="146">
                  <c:v>173995</c:v>
                </c:pt>
                <c:pt idx="147">
                  <c:v>176028</c:v>
                </c:pt>
                <c:pt idx="148">
                  <c:v>178642</c:v>
                </c:pt>
                <c:pt idx="149">
                  <c:v>183383</c:v>
                </c:pt>
                <c:pt idx="150">
                  <c:v>185872</c:v>
                </c:pt>
                <c:pt idx="151">
                  <c:v>188481</c:v>
                </c:pt>
                <c:pt idx="152">
                  <c:v>190693</c:v>
                </c:pt>
                <c:pt idx="153">
                  <c:v>192167</c:v>
                </c:pt>
                <c:pt idx="154">
                  <c:v>193788</c:v>
                </c:pt>
                <c:pt idx="155">
                  <c:v>195614</c:v>
                </c:pt>
                <c:pt idx="156">
                  <c:v>197912</c:v>
                </c:pt>
                <c:pt idx="157">
                  <c:v>201106</c:v>
                </c:pt>
                <c:pt idx="158">
                  <c:v>204167</c:v>
                </c:pt>
                <c:pt idx="159">
                  <c:v>206761</c:v>
                </c:pt>
                <c:pt idx="160">
                  <c:v>208528</c:v>
                </c:pt>
                <c:pt idx="161">
                  <c:v>210424</c:v>
                </c:pt>
                <c:pt idx="162">
                  <c:v>211808</c:v>
                </c:pt>
                <c:pt idx="163">
                  <c:v>214197</c:v>
                </c:pt>
                <c:pt idx="164">
                  <c:v>216139</c:v>
                </c:pt>
                <c:pt idx="165">
                  <c:v>218693</c:v>
                </c:pt>
                <c:pt idx="166">
                  <c:v>220762</c:v>
                </c:pt>
                <c:pt idx="167">
                  <c:v>221950</c:v>
                </c:pt>
                <c:pt idx="168">
                  <c:v>223131</c:v>
                </c:pt>
                <c:pt idx="169">
                  <c:v>224031</c:v>
                </c:pt>
                <c:pt idx="170">
                  <c:v>225827</c:v>
                </c:pt>
                <c:pt idx="171">
                  <c:v>227346</c:v>
                </c:pt>
                <c:pt idx="172">
                  <c:v>229054</c:v>
                </c:pt>
                <c:pt idx="173">
                  <c:v>230662</c:v>
                </c:pt>
                <c:pt idx="174">
                  <c:v>231695</c:v>
                </c:pt>
                <c:pt idx="175">
                  <c:v>232893</c:v>
                </c:pt>
                <c:pt idx="176">
                  <c:v>233777</c:v>
                </c:pt>
                <c:pt idx="177">
                  <c:v>235386</c:v>
                </c:pt>
                <c:pt idx="178">
                  <c:v>236986</c:v>
                </c:pt>
                <c:pt idx="179">
                  <c:v>238458</c:v>
                </c:pt>
                <c:pt idx="180">
                  <c:v>239756</c:v>
                </c:pt>
                <c:pt idx="181">
                  <c:v>240749</c:v>
                </c:pt>
                <c:pt idx="182">
                  <c:v>241768</c:v>
                </c:pt>
                <c:pt idx="183">
                  <c:v>242521</c:v>
                </c:pt>
                <c:pt idx="184">
                  <c:v>243935</c:v>
                </c:pt>
                <c:pt idx="185">
                  <c:v>244999</c:v>
                </c:pt>
                <c:pt idx="186">
                  <c:v>246407</c:v>
                </c:pt>
                <c:pt idx="187">
                  <c:v>247542</c:v>
                </c:pt>
                <c:pt idx="188">
                  <c:v>248334</c:v>
                </c:pt>
                <c:pt idx="189">
                  <c:v>248821</c:v>
                </c:pt>
                <c:pt idx="190">
                  <c:v>249241</c:v>
                </c:pt>
                <c:pt idx="191">
                  <c:v>249859</c:v>
                </c:pt>
                <c:pt idx="192">
                  <c:v>251024</c:v>
                </c:pt>
                <c:pt idx="193">
                  <c:v>252066</c:v>
                </c:pt>
                <c:pt idx="194">
                  <c:v>253176</c:v>
                </c:pt>
                <c:pt idx="195">
                  <c:v>253985</c:v>
                </c:pt>
                <c:pt idx="196">
                  <c:v>254656</c:v>
                </c:pt>
                <c:pt idx="197">
                  <c:v>255049</c:v>
                </c:pt>
                <c:pt idx="198">
                  <c:v>256148</c:v>
                </c:pt>
                <c:pt idx="199">
                  <c:v>257271</c:v>
                </c:pt>
                <c:pt idx="200">
                  <c:v>258516</c:v>
                </c:pt>
                <c:pt idx="201">
                  <c:v>259817</c:v>
                </c:pt>
                <c:pt idx="202">
                  <c:v>260797</c:v>
                </c:pt>
                <c:pt idx="203">
                  <c:v>261446</c:v>
                </c:pt>
                <c:pt idx="204">
                  <c:v>262133</c:v>
                </c:pt>
                <c:pt idx="205">
                  <c:v>263333</c:v>
                </c:pt>
                <c:pt idx="206">
                  <c:v>264414</c:v>
                </c:pt>
                <c:pt idx="207">
                  <c:v>265775</c:v>
                </c:pt>
                <c:pt idx="208">
                  <c:v>266988</c:v>
                </c:pt>
                <c:pt idx="209">
                  <c:v>267801</c:v>
                </c:pt>
                <c:pt idx="210">
                  <c:v>268455</c:v>
                </c:pt>
                <c:pt idx="211">
                  <c:v>269284</c:v>
                </c:pt>
                <c:pt idx="212">
                  <c:v>270299</c:v>
                </c:pt>
                <c:pt idx="213">
                  <c:v>271371</c:v>
                </c:pt>
                <c:pt idx="214">
                  <c:v>272653</c:v>
                </c:pt>
                <c:pt idx="215">
                  <c:v>273638</c:v>
                </c:pt>
                <c:pt idx="216">
                  <c:v>274565</c:v>
                </c:pt>
                <c:pt idx="217">
                  <c:v>274942</c:v>
                </c:pt>
                <c:pt idx="218">
                  <c:v>275856</c:v>
                </c:pt>
                <c:pt idx="219">
                  <c:v>277445</c:v>
                </c:pt>
                <c:pt idx="220">
                  <c:v>278665</c:v>
                </c:pt>
                <c:pt idx="221">
                  <c:v>279909</c:v>
                </c:pt>
                <c:pt idx="222">
                  <c:v>281165</c:v>
                </c:pt>
                <c:pt idx="223">
                  <c:v>282135</c:v>
                </c:pt>
                <c:pt idx="224">
                  <c:v>282982</c:v>
                </c:pt>
                <c:pt idx="225">
                  <c:v>283750</c:v>
                </c:pt>
                <c:pt idx="226">
                  <c:v>285016</c:v>
                </c:pt>
                <c:pt idx="227">
                  <c:v>286183</c:v>
                </c:pt>
                <c:pt idx="228">
                  <c:v>287222</c:v>
                </c:pt>
                <c:pt idx="229">
                  <c:v>288136</c:v>
                </c:pt>
                <c:pt idx="230">
                  <c:v>288451</c:v>
                </c:pt>
                <c:pt idx="231">
                  <c:v>289366</c:v>
                </c:pt>
                <c:pt idx="232">
                  <c:v>290009</c:v>
                </c:pt>
                <c:pt idx="233">
                  <c:v>290486</c:v>
                </c:pt>
                <c:pt idx="234">
                  <c:v>294065</c:v>
                </c:pt>
                <c:pt idx="235">
                  <c:v>296821</c:v>
                </c:pt>
                <c:pt idx="236">
                  <c:v>298937</c:v>
                </c:pt>
                <c:pt idx="237">
                  <c:v>299760</c:v>
                </c:pt>
                <c:pt idx="238">
                  <c:v>300614</c:v>
                </c:pt>
                <c:pt idx="239">
                  <c:v>302077</c:v>
                </c:pt>
                <c:pt idx="240">
                  <c:v>303369</c:v>
                </c:pt>
                <c:pt idx="241">
                  <c:v>305070</c:v>
                </c:pt>
                <c:pt idx="242">
                  <c:v>306327</c:v>
                </c:pt>
                <c:pt idx="243">
                  <c:v>307618</c:v>
                </c:pt>
                <c:pt idx="244">
                  <c:v>309190</c:v>
                </c:pt>
                <c:pt idx="245">
                  <c:v>310595</c:v>
                </c:pt>
                <c:pt idx="246">
                  <c:v>311745</c:v>
                </c:pt>
                <c:pt idx="247">
                  <c:v>313526</c:v>
                </c:pt>
                <c:pt idx="248">
                  <c:v>315564</c:v>
                </c:pt>
                <c:pt idx="249">
                  <c:v>317656</c:v>
                </c:pt>
                <c:pt idx="250">
                  <c:v>319977</c:v>
                </c:pt>
                <c:pt idx="251">
                  <c:v>322207</c:v>
                </c:pt>
                <c:pt idx="252">
                  <c:v>323625</c:v>
                </c:pt>
                <c:pt idx="253">
                  <c:v>325876</c:v>
                </c:pt>
                <c:pt idx="254">
                  <c:v>327964</c:v>
                </c:pt>
                <c:pt idx="255">
                  <c:v>330450</c:v>
                </c:pt>
                <c:pt idx="256">
                  <c:v>332865</c:v>
                </c:pt>
                <c:pt idx="257">
                  <c:v>336549</c:v>
                </c:pt>
                <c:pt idx="258">
                  <c:v>339560</c:v>
                </c:pt>
                <c:pt idx="259">
                  <c:v>342343</c:v>
                </c:pt>
                <c:pt idx="260">
                  <c:v>344523</c:v>
                </c:pt>
                <c:pt idx="261">
                  <c:v>348336</c:v>
                </c:pt>
                <c:pt idx="262">
                  <c:v>353232</c:v>
                </c:pt>
                <c:pt idx="263">
                  <c:v>357451</c:v>
                </c:pt>
                <c:pt idx="264">
                  <c:v>361869</c:v>
                </c:pt>
                <c:pt idx="265">
                  <c:v>364520</c:v>
                </c:pt>
                <c:pt idx="266">
                  <c:v>370636</c:v>
                </c:pt>
                <c:pt idx="267">
                  <c:v>374134</c:v>
                </c:pt>
                <c:pt idx="268">
                  <c:v>378323</c:v>
                </c:pt>
                <c:pt idx="269">
                  <c:v>383275</c:v>
                </c:pt>
                <c:pt idx="270">
                  <c:v>387793</c:v>
                </c:pt>
                <c:pt idx="271">
                  <c:v>390891</c:v>
                </c:pt>
                <c:pt idx="272">
                  <c:v>395843</c:v>
                </c:pt>
                <c:pt idx="273">
                  <c:v>400919</c:v>
                </c:pt>
                <c:pt idx="274">
                  <c:v>408396</c:v>
                </c:pt>
                <c:pt idx="275">
                  <c:v>414185</c:v>
                </c:pt>
                <c:pt idx="276">
                  <c:v>421881</c:v>
                </c:pt>
                <c:pt idx="277">
                  <c:v>430583</c:v>
                </c:pt>
                <c:pt idx="278">
                  <c:v>439408</c:v>
                </c:pt>
                <c:pt idx="279">
                  <c:v>449851</c:v>
                </c:pt>
                <c:pt idx="280">
                  <c:v>457880</c:v>
                </c:pt>
                <c:pt idx="281">
                  <c:v>466321</c:v>
                </c:pt>
                <c:pt idx="282">
                  <c:v>475271</c:v>
                </c:pt>
                <c:pt idx="283">
                  <c:v>487917</c:v>
                </c:pt>
                <c:pt idx="284">
                  <c:v>501635</c:v>
                </c:pt>
                <c:pt idx="285">
                  <c:v>512872</c:v>
                </c:pt>
                <c:pt idx="286">
                  <c:v>525486</c:v>
                </c:pt>
                <c:pt idx="287">
                  <c:v>532730</c:v>
                </c:pt>
                <c:pt idx="288">
                  <c:v>543769</c:v>
                </c:pt>
                <c:pt idx="289">
                  <c:v>566005</c:v>
                </c:pt>
                <c:pt idx="290">
                  <c:v>580325</c:v>
                </c:pt>
                <c:pt idx="291">
                  <c:v>596721</c:v>
                </c:pt>
                <c:pt idx="292">
                  <c:v>610372</c:v>
                </c:pt>
                <c:pt idx="293">
                  <c:v>623670</c:v>
                </c:pt>
                <c:pt idx="294">
                  <c:v>634849</c:v>
                </c:pt>
                <c:pt idx="295">
                  <c:v>647542</c:v>
                </c:pt>
                <c:pt idx="296">
                  <c:v>663954</c:v>
                </c:pt>
                <c:pt idx="297">
                  <c:v>677299</c:v>
                </c:pt>
                <c:pt idx="298">
                  <c:v>706448</c:v>
                </c:pt>
                <c:pt idx="299">
                  <c:v>706448</c:v>
                </c:pt>
                <c:pt idx="300">
                  <c:v>719833</c:v>
                </c:pt>
                <c:pt idx="301">
                  <c:v>733325</c:v>
                </c:pt>
                <c:pt idx="302">
                  <c:v>746089</c:v>
                </c:pt>
                <c:pt idx="303">
                  <c:v>756116</c:v>
                </c:pt>
                <c:pt idx="304">
                  <c:v>770602</c:v>
                </c:pt>
                <c:pt idx="305">
                  <c:v>790582</c:v>
                </c:pt>
              </c:numCache>
            </c:numRef>
          </c:yVal>
          <c:smooth val="0"/>
          <c:extLst>
            <c:ext xmlns:c16="http://schemas.microsoft.com/office/drawing/2014/chart" uri="{C3380CC4-5D6E-409C-BE32-E72D297353CC}">
              <c16:uniqueId val="{00000000-E15D-4A8F-A9D0-8C9143E48DEB}"/>
            </c:ext>
          </c:extLst>
        </c:ser>
        <c:ser>
          <c:idx val="0"/>
          <c:order val="1"/>
          <c:tx>
            <c:v>Deaths</c:v>
          </c:tx>
          <c:spPr>
            <a:ln w="19050" cap="rnd">
              <a:noFill/>
              <a:round/>
            </a:ln>
            <a:effectLst/>
          </c:spPr>
          <c:marker>
            <c:symbol val="circle"/>
            <c:size val="5"/>
            <c:spPr>
              <a:solidFill>
                <a:srgbClr val="FF0000"/>
              </a:solidFill>
              <a:ln w="9525">
                <a:noFill/>
              </a:ln>
              <a:effectLst/>
            </c:spPr>
          </c:marker>
          <c:trendline>
            <c:spPr>
              <a:ln w="19050" cap="rnd">
                <a:solidFill>
                  <a:srgbClr val="FF0000"/>
                </a:solidFill>
                <a:prstDash val="sysDot"/>
              </a:ln>
              <a:effectLst/>
            </c:spPr>
            <c:trendlineType val="linear"/>
            <c:forward val="365"/>
            <c:dispRSqr val="0"/>
            <c:dispEq val="0"/>
          </c:trendline>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f>Data!$H$3:$H$308</c:f>
              <c:numCache>
                <c:formatCode>General</c:formatCode>
                <c:ptCount val="306"/>
                <c:pt idx="22">
                  <c:v>7</c:v>
                </c:pt>
                <c:pt idx="23">
                  <c:v>11</c:v>
                </c:pt>
                <c:pt idx="24">
                  <c:v>13</c:v>
                </c:pt>
                <c:pt idx="25">
                  <c:v>21</c:v>
                </c:pt>
                <c:pt idx="26">
                  <c:v>26</c:v>
                </c:pt>
                <c:pt idx="27">
                  <c:v>32</c:v>
                </c:pt>
                <c:pt idx="28">
                  <c:v>37</c:v>
                </c:pt>
                <c:pt idx="29">
                  <c:v>44</c:v>
                </c:pt>
                <c:pt idx="30">
                  <c:v>54</c:v>
                </c:pt>
                <c:pt idx="31">
                  <c:v>64</c:v>
                </c:pt>
                <c:pt idx="32">
                  <c:v>78</c:v>
                </c:pt>
                <c:pt idx="33">
                  <c:v>89</c:v>
                </c:pt>
                <c:pt idx="34">
                  <c:v>117</c:v>
                </c:pt>
                <c:pt idx="35">
                  <c:v>132</c:v>
                </c:pt>
                <c:pt idx="36">
                  <c:v>147</c:v>
                </c:pt>
                <c:pt idx="37">
                  <c:v>169</c:v>
                </c:pt>
                <c:pt idx="38">
                  <c:v>198</c:v>
                </c:pt>
                <c:pt idx="39">
                  <c:v>223</c:v>
                </c:pt>
                <c:pt idx="40">
                  <c:v>241</c:v>
                </c:pt>
                <c:pt idx="41">
                  <c:v>265</c:v>
                </c:pt>
                <c:pt idx="42">
                  <c:v>296</c:v>
                </c:pt>
                <c:pt idx="43">
                  <c:v>320</c:v>
                </c:pt>
                <c:pt idx="44">
                  <c:v>360</c:v>
                </c:pt>
                <c:pt idx="45">
                  <c:v>402</c:v>
                </c:pt>
                <c:pt idx="46">
                  <c:v>455</c:v>
                </c:pt>
                <c:pt idx="47">
                  <c:v>495</c:v>
                </c:pt>
                <c:pt idx="48">
                  <c:v>576</c:v>
                </c:pt>
                <c:pt idx="49">
                  <c:v>600</c:v>
                </c:pt>
                <c:pt idx="50">
                  <c:v>617</c:v>
                </c:pt>
                <c:pt idx="51">
                  <c:v>663</c:v>
                </c:pt>
                <c:pt idx="52">
                  <c:v>729</c:v>
                </c:pt>
                <c:pt idx="53">
                  <c:v>848</c:v>
                </c:pt>
                <c:pt idx="54">
                  <c:v>895</c:v>
                </c:pt>
                <c:pt idx="55">
                  <c:v>913</c:v>
                </c:pt>
                <c:pt idx="56">
                  <c:v>942</c:v>
                </c:pt>
                <c:pt idx="57">
                  <c:v>1000</c:v>
                </c:pt>
                <c:pt idx="58">
                  <c:v>1056</c:v>
                </c:pt>
                <c:pt idx="59">
                  <c:v>1111</c:v>
                </c:pt>
                <c:pt idx="60">
                  <c:v>1172</c:v>
                </c:pt>
                <c:pt idx="61">
                  <c:v>1209</c:v>
                </c:pt>
                <c:pt idx="62">
                  <c:v>1229</c:v>
                </c:pt>
                <c:pt idx="63">
                  <c:v>1256</c:v>
                </c:pt>
                <c:pt idx="64">
                  <c:v>1313</c:v>
                </c:pt>
                <c:pt idx="65">
                  <c:v>1367</c:v>
                </c:pt>
                <c:pt idx="66">
                  <c:v>1418</c:v>
                </c:pt>
                <c:pt idx="67">
                  <c:v>1468</c:v>
                </c:pt>
                <c:pt idx="68">
                  <c:v>1512</c:v>
                </c:pt>
                <c:pt idx="69">
                  <c:v>1530</c:v>
                </c:pt>
                <c:pt idx="70">
                  <c:v>1569</c:v>
                </c:pt>
                <c:pt idx="71">
                  <c:v>1613</c:v>
                </c:pt>
                <c:pt idx="72">
                  <c:v>1659</c:v>
                </c:pt>
                <c:pt idx="73">
                  <c:v>1709</c:v>
                </c:pt>
                <c:pt idx="74">
                  <c:v>1755</c:v>
                </c:pt>
                <c:pt idx="75">
                  <c:v>1793</c:v>
                </c:pt>
                <c:pt idx="76">
                  <c:v>1821</c:v>
                </c:pt>
                <c:pt idx="77">
                  <c:v>1839</c:v>
                </c:pt>
                <c:pt idx="78">
                  <c:v>1913</c:v>
                </c:pt>
                <c:pt idx="79">
                  <c:v>1970</c:v>
                </c:pt>
                <c:pt idx="80">
                  <c:v>2016</c:v>
                </c:pt>
                <c:pt idx="81">
                  <c:v>2049</c:v>
                </c:pt>
                <c:pt idx="82">
                  <c:v>2090</c:v>
                </c:pt>
                <c:pt idx="83">
                  <c:v>2104</c:v>
                </c:pt>
                <c:pt idx="84">
                  <c:v>2116</c:v>
                </c:pt>
                <c:pt idx="85">
                  <c:v>2143</c:v>
                </c:pt>
                <c:pt idx="86">
                  <c:v>2195</c:v>
                </c:pt>
                <c:pt idx="87">
                  <c:v>2241</c:v>
                </c:pt>
                <c:pt idx="88">
                  <c:v>2290</c:v>
                </c:pt>
                <c:pt idx="89">
                  <c:v>2338</c:v>
                </c:pt>
                <c:pt idx="90">
                  <c:v>2362</c:v>
                </c:pt>
                <c:pt idx="91">
                  <c:v>2384</c:v>
                </c:pt>
                <c:pt idx="92">
                  <c:v>2443</c:v>
                </c:pt>
                <c:pt idx="93">
                  <c:v>2489</c:v>
                </c:pt>
                <c:pt idx="94">
                  <c:v>2531</c:v>
                </c:pt>
                <c:pt idx="95">
                  <c:v>2565</c:v>
                </c:pt>
                <c:pt idx="96">
                  <c:v>2620</c:v>
                </c:pt>
                <c:pt idx="97">
                  <c:v>2645</c:v>
                </c:pt>
                <c:pt idx="98">
                  <c:v>2655</c:v>
                </c:pt>
                <c:pt idx="99">
                  <c:v>2707</c:v>
                </c:pt>
                <c:pt idx="100">
                  <c:v>2768</c:v>
                </c:pt>
                <c:pt idx="101">
                  <c:v>2813</c:v>
                </c:pt>
                <c:pt idx="102">
                  <c:v>2832</c:v>
                </c:pt>
                <c:pt idx="103">
                  <c:v>2890</c:v>
                </c:pt>
                <c:pt idx="104">
                  <c:v>2907</c:v>
                </c:pt>
                <c:pt idx="105">
                  <c:v>2926</c:v>
                </c:pt>
                <c:pt idx="106">
                  <c:v>2959</c:v>
                </c:pt>
                <c:pt idx="107">
                  <c:v>2991</c:v>
                </c:pt>
                <c:pt idx="108">
                  <c:v>3027</c:v>
                </c:pt>
                <c:pt idx="109">
                  <c:v>3063</c:v>
                </c:pt>
                <c:pt idx="110">
                  <c:v>3110</c:v>
                </c:pt>
                <c:pt idx="111">
                  <c:v>3120</c:v>
                </c:pt>
                <c:pt idx="112">
                  <c:v>3137</c:v>
                </c:pt>
                <c:pt idx="113">
                  <c:v>3171</c:v>
                </c:pt>
                <c:pt idx="114">
                  <c:v>3205</c:v>
                </c:pt>
                <c:pt idx="115">
                  <c:v>3246</c:v>
                </c:pt>
                <c:pt idx="116">
                  <c:v>3267</c:v>
                </c:pt>
                <c:pt idx="117">
                  <c:v>3285</c:v>
                </c:pt>
                <c:pt idx="118">
                  <c:v>3305</c:v>
                </c:pt>
                <c:pt idx="119">
                  <c:v>3326</c:v>
                </c:pt>
                <c:pt idx="120">
                  <c:v>3369</c:v>
                </c:pt>
                <c:pt idx="121">
                  <c:v>3402</c:v>
                </c:pt>
                <c:pt idx="122">
                  <c:v>3454</c:v>
                </c:pt>
                <c:pt idx="123">
                  <c:v>3465</c:v>
                </c:pt>
                <c:pt idx="124">
                  <c:v>3476</c:v>
                </c:pt>
                <c:pt idx="125">
                  <c:v>3487</c:v>
                </c:pt>
                <c:pt idx="126">
                  <c:v>3534</c:v>
                </c:pt>
                <c:pt idx="127">
                  <c:v>3579</c:v>
                </c:pt>
                <c:pt idx="128">
                  <c:v>3642</c:v>
                </c:pt>
                <c:pt idx="129">
                  <c:v>3689</c:v>
                </c:pt>
                <c:pt idx="130">
                  <c:v>3738</c:v>
                </c:pt>
                <c:pt idx="131">
                  <c:v>3793</c:v>
                </c:pt>
                <c:pt idx="132">
                  <c:v>3809</c:v>
                </c:pt>
                <c:pt idx="133">
                  <c:v>3822</c:v>
                </c:pt>
                <c:pt idx="134">
                  <c:v>3894</c:v>
                </c:pt>
                <c:pt idx="135">
                  <c:v>3936</c:v>
                </c:pt>
                <c:pt idx="136">
                  <c:v>3988</c:v>
                </c:pt>
                <c:pt idx="137">
                  <c:v>4047</c:v>
                </c:pt>
                <c:pt idx="138">
                  <c:v>4084</c:v>
                </c:pt>
                <c:pt idx="139">
                  <c:v>4095</c:v>
                </c:pt>
                <c:pt idx="140">
                  <c:v>4104</c:v>
                </c:pt>
                <c:pt idx="141">
                  <c:v>4154</c:v>
                </c:pt>
                <c:pt idx="142">
                  <c:v>4213</c:v>
                </c:pt>
                <c:pt idx="143">
                  <c:v>4262</c:v>
                </c:pt>
                <c:pt idx="144">
                  <c:v>4300</c:v>
                </c:pt>
                <c:pt idx="145">
                  <c:v>4351</c:v>
                </c:pt>
                <c:pt idx="146">
                  <c:v>4360</c:v>
                </c:pt>
                <c:pt idx="147">
                  <c:v>4375</c:v>
                </c:pt>
                <c:pt idx="148">
                  <c:v>4426</c:v>
                </c:pt>
                <c:pt idx="149">
                  <c:v>4516</c:v>
                </c:pt>
                <c:pt idx="150">
                  <c:v>4552</c:v>
                </c:pt>
                <c:pt idx="151">
                  <c:v>4621</c:v>
                </c:pt>
                <c:pt idx="152">
                  <c:v>4669</c:v>
                </c:pt>
                <c:pt idx="153">
                  <c:v>4692</c:v>
                </c:pt>
                <c:pt idx="154">
                  <c:v>4701</c:v>
                </c:pt>
                <c:pt idx="155">
                  <c:v>4758</c:v>
                </c:pt>
                <c:pt idx="156">
                  <c:v>4825</c:v>
                </c:pt>
                <c:pt idx="157">
                  <c:v>4869</c:v>
                </c:pt>
                <c:pt idx="158">
                  <c:v>4918</c:v>
                </c:pt>
                <c:pt idx="159">
                  <c:v>4967</c:v>
                </c:pt>
                <c:pt idx="160">
                  <c:v>4977</c:v>
                </c:pt>
                <c:pt idx="161">
                  <c:v>4996</c:v>
                </c:pt>
                <c:pt idx="162">
                  <c:v>5057</c:v>
                </c:pt>
                <c:pt idx="163">
                  <c:v>5109</c:v>
                </c:pt>
                <c:pt idx="164">
                  <c:v>5171</c:v>
                </c:pt>
                <c:pt idx="165">
                  <c:v>5214</c:v>
                </c:pt>
                <c:pt idx="166">
                  <c:v>5245</c:v>
                </c:pt>
                <c:pt idx="167">
                  <c:v>5254</c:v>
                </c:pt>
                <c:pt idx="168">
                  <c:v>5273</c:v>
                </c:pt>
                <c:pt idx="169">
                  <c:v>5335</c:v>
                </c:pt>
                <c:pt idx="170">
                  <c:v>5392</c:v>
                </c:pt>
                <c:pt idx="171">
                  <c:v>5446</c:v>
                </c:pt>
                <c:pt idx="172">
                  <c:v>5491</c:v>
                </c:pt>
                <c:pt idx="173">
                  <c:v>5537</c:v>
                </c:pt>
                <c:pt idx="174">
                  <c:v>5545</c:v>
                </c:pt>
                <c:pt idx="175">
                  <c:v>5558</c:v>
                </c:pt>
                <c:pt idx="176">
                  <c:v>5605</c:v>
                </c:pt>
                <c:pt idx="177">
                  <c:v>5663</c:v>
                </c:pt>
                <c:pt idx="178">
                  <c:v>5701</c:v>
                </c:pt>
                <c:pt idx="179">
                  <c:v>5732</c:v>
                </c:pt>
                <c:pt idx="180">
                  <c:v>5759</c:v>
                </c:pt>
                <c:pt idx="181">
                  <c:v>5769</c:v>
                </c:pt>
                <c:pt idx="182">
                  <c:v>5784</c:v>
                </c:pt>
                <c:pt idx="183">
                  <c:v>5829</c:v>
                </c:pt>
                <c:pt idx="184">
                  <c:v>5878</c:v>
                </c:pt>
                <c:pt idx="185">
                  <c:v>5932</c:v>
                </c:pt>
                <c:pt idx="186">
                  <c:v>5977</c:v>
                </c:pt>
                <c:pt idx="187">
                  <c:v>6000</c:v>
                </c:pt>
                <c:pt idx="188">
                  <c:v>6005</c:v>
                </c:pt>
                <c:pt idx="189">
                  <c:v>6030</c:v>
                </c:pt>
                <c:pt idx="190">
                  <c:v>6036</c:v>
                </c:pt>
                <c:pt idx="191">
                  <c:v>6090</c:v>
                </c:pt>
                <c:pt idx="192">
                  <c:v>6128</c:v>
                </c:pt>
                <c:pt idx="193">
                  <c:v>6171</c:v>
                </c:pt>
                <c:pt idx="194">
                  <c:v>6197</c:v>
                </c:pt>
                <c:pt idx="195">
                  <c:v>6208</c:v>
                </c:pt>
                <c:pt idx="196">
                  <c:v>6231</c:v>
                </c:pt>
                <c:pt idx="197">
                  <c:v>6273</c:v>
                </c:pt>
                <c:pt idx="198">
                  <c:v>6303</c:v>
                </c:pt>
                <c:pt idx="199">
                  <c:v>6324</c:v>
                </c:pt>
                <c:pt idx="200">
                  <c:v>6330</c:v>
                </c:pt>
                <c:pt idx="201">
                  <c:v>6330</c:v>
                </c:pt>
                <c:pt idx="202">
                  <c:v>6353</c:v>
                </c:pt>
                <c:pt idx="203">
                  <c:v>6366</c:v>
                </c:pt>
                <c:pt idx="204">
                  <c:v>6401</c:v>
                </c:pt>
                <c:pt idx="205">
                  <c:v>6423</c:v>
                </c:pt>
                <c:pt idx="206">
                  <c:v>6455</c:v>
                </c:pt>
                <c:pt idx="207">
                  <c:v>6488</c:v>
                </c:pt>
                <c:pt idx="208">
                  <c:v>6504</c:v>
                </c:pt>
                <c:pt idx="209">
                  <c:v>6514</c:v>
                </c:pt>
                <c:pt idx="210">
                  <c:v>6515</c:v>
                </c:pt>
                <c:pt idx="211">
                  <c:v>6551</c:v>
                </c:pt>
                <c:pt idx="212">
                  <c:v>6576</c:v>
                </c:pt>
                <c:pt idx="213">
                  <c:v>6610</c:v>
                </c:pt>
                <c:pt idx="214">
                  <c:v>6626</c:v>
                </c:pt>
                <c:pt idx="215">
                  <c:v>6642</c:v>
                </c:pt>
                <c:pt idx="216">
                  <c:v>6647</c:v>
                </c:pt>
                <c:pt idx="217">
                  <c:v>6654</c:v>
                </c:pt>
                <c:pt idx="218">
                  <c:v>6681</c:v>
                </c:pt>
                <c:pt idx="219">
                  <c:v>6709</c:v>
                </c:pt>
                <c:pt idx="220">
                  <c:v>6726</c:v>
                </c:pt>
                <c:pt idx="221">
                  <c:v>6741</c:v>
                </c:pt>
                <c:pt idx="222">
                  <c:v>6768</c:v>
                </c:pt>
                <c:pt idx="223">
                  <c:v>6771</c:v>
                </c:pt>
                <c:pt idx="224">
                  <c:v>6773</c:v>
                </c:pt>
                <c:pt idx="225">
                  <c:v>6790</c:v>
                </c:pt>
                <c:pt idx="226">
                  <c:v>6812</c:v>
                </c:pt>
                <c:pt idx="227">
                  <c:v>6834</c:v>
                </c:pt>
                <c:pt idx="228">
                  <c:v>6855</c:v>
                </c:pt>
                <c:pt idx="229">
                  <c:v>6863</c:v>
                </c:pt>
                <c:pt idx="230">
                  <c:v>6876</c:v>
                </c:pt>
                <c:pt idx="231">
                  <c:v>6877</c:v>
                </c:pt>
                <c:pt idx="232">
                  <c:v>6912</c:v>
                </c:pt>
                <c:pt idx="233">
                  <c:v>6944</c:v>
                </c:pt>
                <c:pt idx="234">
                  <c:v>6956</c:v>
                </c:pt>
                <c:pt idx="235">
                  <c:v>6974</c:v>
                </c:pt>
                <c:pt idx="236">
                  <c:v>6989</c:v>
                </c:pt>
                <c:pt idx="237">
                  <c:v>6993</c:v>
                </c:pt>
                <c:pt idx="238">
                  <c:v>7000</c:v>
                </c:pt>
                <c:pt idx="239">
                  <c:v>7027</c:v>
                </c:pt>
                <c:pt idx="240">
                  <c:v>7040</c:v>
                </c:pt>
                <c:pt idx="241">
                  <c:v>7044</c:v>
                </c:pt>
                <c:pt idx="242">
                  <c:v>7056</c:v>
                </c:pt>
                <c:pt idx="243">
                  <c:v>7071</c:v>
                </c:pt>
                <c:pt idx="244">
                  <c:v>7074</c:v>
                </c:pt>
                <c:pt idx="245">
                  <c:v>7076</c:v>
                </c:pt>
                <c:pt idx="246">
                  <c:v>7097</c:v>
                </c:pt>
                <c:pt idx="247">
                  <c:v>7117</c:v>
                </c:pt>
                <c:pt idx="248">
                  <c:v>7140</c:v>
                </c:pt>
                <c:pt idx="249">
                  <c:v>7157</c:v>
                </c:pt>
                <c:pt idx="250">
                  <c:v>7170</c:v>
                </c:pt>
                <c:pt idx="251">
                  <c:v>7172</c:v>
                </c:pt>
                <c:pt idx="252">
                  <c:v>7177</c:v>
                </c:pt>
                <c:pt idx="253">
                  <c:v>7200</c:v>
                </c:pt>
                <c:pt idx="254">
                  <c:v>7216</c:v>
                </c:pt>
                <c:pt idx="255">
                  <c:v>7221</c:v>
                </c:pt>
                <c:pt idx="256">
                  <c:v>7246</c:v>
                </c:pt>
                <c:pt idx="257">
                  <c:v>7266</c:v>
                </c:pt>
                <c:pt idx="258">
                  <c:v>7269</c:v>
                </c:pt>
                <c:pt idx="259">
                  <c:v>7275</c:v>
                </c:pt>
                <c:pt idx="260">
                  <c:v>7299</c:v>
                </c:pt>
                <c:pt idx="261">
                  <c:v>7335</c:v>
                </c:pt>
                <c:pt idx="262">
                  <c:v>7363</c:v>
                </c:pt>
                <c:pt idx="263">
                  <c:v>7396</c:v>
                </c:pt>
                <c:pt idx="264">
                  <c:v>7329</c:v>
                </c:pt>
                <c:pt idx="265">
                  <c:v>7438</c:v>
                </c:pt>
                <c:pt idx="266">
                  <c:v>7446</c:v>
                </c:pt>
                <c:pt idx="267">
                  <c:v>7497</c:v>
                </c:pt>
                <c:pt idx="268">
                  <c:v>7543</c:v>
                </c:pt>
                <c:pt idx="269">
                  <c:v>7580</c:v>
                </c:pt>
                <c:pt idx="270">
                  <c:v>7604</c:v>
                </c:pt>
                <c:pt idx="271">
                  <c:v>7623</c:v>
                </c:pt>
                <c:pt idx="272">
                  <c:v>7639</c:v>
                </c:pt>
                <c:pt idx="273">
                  <c:v>7655</c:v>
                </c:pt>
                <c:pt idx="274">
                  <c:v>7700</c:v>
                </c:pt>
                <c:pt idx="275">
                  <c:v>7740</c:v>
                </c:pt>
                <c:pt idx="276">
                  <c:v>7782</c:v>
                </c:pt>
                <c:pt idx="277">
                  <c:v>7842</c:v>
                </c:pt>
                <c:pt idx="278">
                  <c:v>7886</c:v>
                </c:pt>
                <c:pt idx="279">
                  <c:v>7909</c:v>
                </c:pt>
                <c:pt idx="280">
                  <c:v>7936</c:v>
                </c:pt>
                <c:pt idx="281">
                  <c:v>8000</c:v>
                </c:pt>
                <c:pt idx="282">
                  <c:v>8075</c:v>
                </c:pt>
                <c:pt idx="283">
                  <c:v>8149</c:v>
                </c:pt>
                <c:pt idx="284">
                  <c:v>8199</c:v>
                </c:pt>
                <c:pt idx="285">
                  <c:v>8269</c:v>
                </c:pt>
                <c:pt idx="286">
                  <c:v>8298</c:v>
                </c:pt>
                <c:pt idx="287">
                  <c:v>8345</c:v>
                </c:pt>
                <c:pt idx="288">
                  <c:v>8431</c:v>
                </c:pt>
                <c:pt idx="289">
                  <c:v>8568</c:v>
                </c:pt>
                <c:pt idx="290">
                  <c:v>8664</c:v>
                </c:pt>
                <c:pt idx="291">
                  <c:v>8757</c:v>
                </c:pt>
                <c:pt idx="292">
                  <c:v>8817</c:v>
                </c:pt>
                <c:pt idx="293">
                  <c:v>8875</c:v>
                </c:pt>
                <c:pt idx="294">
                  <c:v>8931</c:v>
                </c:pt>
                <c:pt idx="295">
                  <c:v>9016</c:v>
                </c:pt>
                <c:pt idx="296">
                  <c:v>9153</c:v>
                </c:pt>
                <c:pt idx="297">
                  <c:v>9299</c:v>
                </c:pt>
                <c:pt idx="298">
                  <c:v>9438</c:v>
                </c:pt>
                <c:pt idx="299">
                  <c:v>9438</c:v>
                </c:pt>
                <c:pt idx="300">
                  <c:v>9482</c:v>
                </c:pt>
                <c:pt idx="301">
                  <c:v>9555</c:v>
                </c:pt>
                <c:pt idx="302">
                  <c:v>9782</c:v>
                </c:pt>
                <c:pt idx="303">
                  <c:v>10056</c:v>
                </c:pt>
                <c:pt idx="304">
                  <c:v>10345</c:v>
                </c:pt>
                <c:pt idx="305">
                  <c:v>10552</c:v>
                </c:pt>
              </c:numCache>
            </c:numRef>
          </c:yVal>
          <c:smooth val="0"/>
          <c:extLst>
            <c:ext xmlns:c16="http://schemas.microsoft.com/office/drawing/2014/chart" uri="{C3380CC4-5D6E-409C-BE32-E72D297353CC}">
              <c16:uniqueId val="{00000002-E15D-4A8F-A9D0-8C9143E48DEB}"/>
            </c:ext>
          </c:extLst>
        </c:ser>
        <c:ser>
          <c:idx val="2"/>
          <c:order val="2"/>
          <c:tx>
            <c:v>Projected Case 1</c:v>
          </c:tx>
          <c:spPr>
            <a:ln w="25400" cap="rnd">
              <a:noFill/>
              <a:round/>
            </a:ln>
            <a:effectLst/>
          </c:spPr>
          <c:marker>
            <c:symbol val="circle"/>
            <c:size val="5"/>
            <c:spPr>
              <a:solidFill>
                <a:schemeClr val="accent4">
                  <a:lumMod val="75000"/>
                </a:schemeClr>
              </a:solidFill>
              <a:ln w="9525">
                <a:noFill/>
              </a:ln>
              <a:effectLst/>
            </c:spPr>
          </c:marker>
          <c:xVal>
            <c:numRef>
              <c:f>Data!$A$37:$A$75</c:f>
              <c:numCache>
                <c:formatCode>d\-mmm</c:formatCode>
                <c:ptCount val="39"/>
                <c:pt idx="0">
                  <c:v>43925</c:v>
                </c:pt>
                <c:pt idx="1">
                  <c:v>43926</c:v>
                </c:pt>
                <c:pt idx="2">
                  <c:v>43927</c:v>
                </c:pt>
                <c:pt idx="3">
                  <c:v>43928</c:v>
                </c:pt>
                <c:pt idx="4">
                  <c:v>43929</c:v>
                </c:pt>
                <c:pt idx="5">
                  <c:v>43930</c:v>
                </c:pt>
                <c:pt idx="6">
                  <c:v>43931</c:v>
                </c:pt>
                <c:pt idx="7">
                  <c:v>43932</c:v>
                </c:pt>
                <c:pt idx="8">
                  <c:v>43933</c:v>
                </c:pt>
                <c:pt idx="9">
                  <c:v>43934</c:v>
                </c:pt>
                <c:pt idx="10">
                  <c:v>43935</c:v>
                </c:pt>
                <c:pt idx="11">
                  <c:v>43936</c:v>
                </c:pt>
                <c:pt idx="12">
                  <c:v>43937</c:v>
                </c:pt>
                <c:pt idx="13">
                  <c:v>43938</c:v>
                </c:pt>
                <c:pt idx="14">
                  <c:v>43939</c:v>
                </c:pt>
                <c:pt idx="15">
                  <c:v>43940</c:v>
                </c:pt>
                <c:pt idx="16">
                  <c:v>43941</c:v>
                </c:pt>
                <c:pt idx="17">
                  <c:v>43942</c:v>
                </c:pt>
                <c:pt idx="18">
                  <c:v>43943</c:v>
                </c:pt>
                <c:pt idx="19">
                  <c:v>43944</c:v>
                </c:pt>
                <c:pt idx="20">
                  <c:v>43945</c:v>
                </c:pt>
                <c:pt idx="21">
                  <c:v>43946</c:v>
                </c:pt>
                <c:pt idx="22">
                  <c:v>43947</c:v>
                </c:pt>
                <c:pt idx="23">
                  <c:v>43948</c:v>
                </c:pt>
                <c:pt idx="24">
                  <c:v>43949</c:v>
                </c:pt>
                <c:pt idx="25">
                  <c:v>43950</c:v>
                </c:pt>
                <c:pt idx="26">
                  <c:v>43951</c:v>
                </c:pt>
                <c:pt idx="27">
                  <c:v>43952</c:v>
                </c:pt>
                <c:pt idx="28">
                  <c:v>43953</c:v>
                </c:pt>
                <c:pt idx="29">
                  <c:v>43954</c:v>
                </c:pt>
                <c:pt idx="30">
                  <c:v>43955</c:v>
                </c:pt>
                <c:pt idx="31">
                  <c:v>43956</c:v>
                </c:pt>
                <c:pt idx="32">
                  <c:v>43957</c:v>
                </c:pt>
                <c:pt idx="33">
                  <c:v>43958</c:v>
                </c:pt>
                <c:pt idx="34">
                  <c:v>43959</c:v>
                </c:pt>
                <c:pt idx="35">
                  <c:v>43960</c:v>
                </c:pt>
                <c:pt idx="36">
                  <c:v>43961</c:v>
                </c:pt>
                <c:pt idx="37">
                  <c:v>43962</c:v>
                </c:pt>
                <c:pt idx="38">
                  <c:v>43963</c:v>
                </c:pt>
              </c:numCache>
              <c:extLst xmlns:c15="http://schemas.microsoft.com/office/drawing/2012/chart"/>
            </c:numRef>
          </c:xVal>
          <c:yVal>
            <c:numRef>
              <c:f>Data!$Y$37:$Y$75</c:f>
              <c:extLst xmlns:c15="http://schemas.microsoft.com/office/drawing/2012/chart"/>
            </c:numRef>
          </c:yVal>
          <c:smooth val="0"/>
          <c:extLst xmlns:c15="http://schemas.microsoft.com/office/drawing/2012/chart">
            <c:ext xmlns:c16="http://schemas.microsoft.com/office/drawing/2014/chart" uri="{C3380CC4-5D6E-409C-BE32-E72D297353CC}">
              <c16:uniqueId val="{00000003-E15D-4A8F-A9D0-8C9143E48DEB}"/>
            </c:ext>
          </c:extLst>
        </c:ser>
        <c:ser>
          <c:idx val="3"/>
          <c:order val="3"/>
          <c:tx>
            <c:v>Projected Case 2</c:v>
          </c:tx>
          <c:spPr>
            <a:ln w="25400" cap="rnd">
              <a:noFill/>
              <a:round/>
            </a:ln>
            <a:effectLst/>
          </c:spPr>
          <c:marker>
            <c:symbol val="square"/>
            <c:size val="5"/>
            <c:spPr>
              <a:solidFill>
                <a:schemeClr val="accent4">
                  <a:lumMod val="75000"/>
                </a:schemeClr>
              </a:solidFill>
              <a:ln w="9525">
                <a:noFill/>
              </a:ln>
              <a:effectLst/>
            </c:spPr>
          </c:marker>
          <c:xVal>
            <c:numRef>
              <c:f>Data!$A$47:$A$95</c:f>
              <c:numCache>
                <c:formatCode>d\-mmm</c:formatCode>
                <c:ptCount val="49"/>
                <c:pt idx="0">
                  <c:v>43935</c:v>
                </c:pt>
                <c:pt idx="1">
                  <c:v>43936</c:v>
                </c:pt>
                <c:pt idx="2">
                  <c:v>43937</c:v>
                </c:pt>
                <c:pt idx="3">
                  <c:v>43938</c:v>
                </c:pt>
                <c:pt idx="4">
                  <c:v>43939</c:v>
                </c:pt>
                <c:pt idx="5">
                  <c:v>43940</c:v>
                </c:pt>
                <c:pt idx="6">
                  <c:v>43941</c:v>
                </c:pt>
                <c:pt idx="7">
                  <c:v>43942</c:v>
                </c:pt>
                <c:pt idx="8">
                  <c:v>43943</c:v>
                </c:pt>
                <c:pt idx="9">
                  <c:v>43944</c:v>
                </c:pt>
                <c:pt idx="10">
                  <c:v>43945</c:v>
                </c:pt>
                <c:pt idx="11">
                  <c:v>43946</c:v>
                </c:pt>
                <c:pt idx="12">
                  <c:v>43947</c:v>
                </c:pt>
                <c:pt idx="13">
                  <c:v>43948</c:v>
                </c:pt>
                <c:pt idx="14">
                  <c:v>43949</c:v>
                </c:pt>
                <c:pt idx="15">
                  <c:v>43950</c:v>
                </c:pt>
                <c:pt idx="16">
                  <c:v>43951</c:v>
                </c:pt>
                <c:pt idx="17">
                  <c:v>43952</c:v>
                </c:pt>
                <c:pt idx="18">
                  <c:v>43953</c:v>
                </c:pt>
                <c:pt idx="19">
                  <c:v>43954</c:v>
                </c:pt>
                <c:pt idx="20">
                  <c:v>43955</c:v>
                </c:pt>
                <c:pt idx="21">
                  <c:v>43956</c:v>
                </c:pt>
                <c:pt idx="22">
                  <c:v>43957</c:v>
                </c:pt>
                <c:pt idx="23">
                  <c:v>43958</c:v>
                </c:pt>
                <c:pt idx="24">
                  <c:v>43959</c:v>
                </c:pt>
                <c:pt idx="25">
                  <c:v>43960</c:v>
                </c:pt>
                <c:pt idx="26">
                  <c:v>43961</c:v>
                </c:pt>
                <c:pt idx="27">
                  <c:v>43962</c:v>
                </c:pt>
                <c:pt idx="28">
                  <c:v>43963</c:v>
                </c:pt>
                <c:pt idx="29">
                  <c:v>43964</c:v>
                </c:pt>
                <c:pt idx="30">
                  <c:v>43965</c:v>
                </c:pt>
                <c:pt idx="31">
                  <c:v>43966</c:v>
                </c:pt>
                <c:pt idx="32">
                  <c:v>43967</c:v>
                </c:pt>
                <c:pt idx="33">
                  <c:v>43968</c:v>
                </c:pt>
                <c:pt idx="34">
                  <c:v>43969</c:v>
                </c:pt>
                <c:pt idx="35">
                  <c:v>43970</c:v>
                </c:pt>
                <c:pt idx="36">
                  <c:v>43971</c:v>
                </c:pt>
                <c:pt idx="37">
                  <c:v>43972</c:v>
                </c:pt>
                <c:pt idx="38">
                  <c:v>43973</c:v>
                </c:pt>
                <c:pt idx="39">
                  <c:v>43974</c:v>
                </c:pt>
                <c:pt idx="40">
                  <c:v>43975</c:v>
                </c:pt>
                <c:pt idx="41">
                  <c:v>43976</c:v>
                </c:pt>
                <c:pt idx="42">
                  <c:v>43977</c:v>
                </c:pt>
                <c:pt idx="43">
                  <c:v>43978</c:v>
                </c:pt>
                <c:pt idx="44">
                  <c:v>43979</c:v>
                </c:pt>
                <c:pt idx="45">
                  <c:v>43980</c:v>
                </c:pt>
                <c:pt idx="46">
                  <c:v>43981</c:v>
                </c:pt>
                <c:pt idx="47">
                  <c:v>43982</c:v>
                </c:pt>
                <c:pt idx="48">
                  <c:v>43983</c:v>
                </c:pt>
              </c:numCache>
              <c:extLst xmlns:c15="http://schemas.microsoft.com/office/drawing/2012/chart"/>
            </c:numRef>
          </c:xVal>
          <c:yVal>
            <c:numRef>
              <c:f>Data!$AA$47:$AA$95</c:f>
              <c:extLst xmlns:c15="http://schemas.microsoft.com/office/drawing/2012/chart"/>
            </c:numRef>
          </c:yVal>
          <c:smooth val="0"/>
          <c:extLst xmlns:c15="http://schemas.microsoft.com/office/drawing/2012/chart">
            <c:ext xmlns:c16="http://schemas.microsoft.com/office/drawing/2014/chart" uri="{C3380CC4-5D6E-409C-BE32-E72D297353CC}">
              <c16:uniqueId val="{00000004-E15D-4A8F-A9D0-8C9143E48DEB}"/>
            </c:ext>
          </c:extLst>
        </c:ser>
        <c:ser>
          <c:idx val="4"/>
          <c:order val="4"/>
          <c:tx>
            <c:v>Projected Case 3</c:v>
          </c:tx>
          <c:spPr>
            <a:ln w="25400" cap="rnd">
              <a:noFill/>
              <a:round/>
            </a:ln>
            <a:effectLst/>
          </c:spPr>
          <c:marker>
            <c:symbol val="triangle"/>
            <c:size val="5"/>
            <c:spPr>
              <a:solidFill>
                <a:schemeClr val="accent4">
                  <a:lumMod val="75000"/>
                </a:schemeClr>
              </a:solidFill>
              <a:ln w="9525">
                <a:noFill/>
              </a:ln>
              <a:effectLst/>
            </c:spPr>
          </c:marker>
          <c:xVal>
            <c:numRef>
              <c:f>Data!$A$57:$A$117</c:f>
              <c:numCache>
                <c:formatCode>d\-mmm</c:formatCode>
                <c:ptCount val="61"/>
                <c:pt idx="0">
                  <c:v>43945</c:v>
                </c:pt>
                <c:pt idx="1">
                  <c:v>43946</c:v>
                </c:pt>
                <c:pt idx="2">
                  <c:v>43947</c:v>
                </c:pt>
                <c:pt idx="3">
                  <c:v>43948</c:v>
                </c:pt>
                <c:pt idx="4">
                  <c:v>43949</c:v>
                </c:pt>
                <c:pt idx="5">
                  <c:v>43950</c:v>
                </c:pt>
                <c:pt idx="6">
                  <c:v>43951</c:v>
                </c:pt>
                <c:pt idx="7">
                  <c:v>43952</c:v>
                </c:pt>
                <c:pt idx="8">
                  <c:v>43953</c:v>
                </c:pt>
                <c:pt idx="9">
                  <c:v>43954</c:v>
                </c:pt>
                <c:pt idx="10">
                  <c:v>43955</c:v>
                </c:pt>
                <c:pt idx="11">
                  <c:v>43956</c:v>
                </c:pt>
                <c:pt idx="12">
                  <c:v>43957</c:v>
                </c:pt>
                <c:pt idx="13">
                  <c:v>43958</c:v>
                </c:pt>
                <c:pt idx="14">
                  <c:v>43959</c:v>
                </c:pt>
                <c:pt idx="15">
                  <c:v>43960</c:v>
                </c:pt>
                <c:pt idx="16">
                  <c:v>43961</c:v>
                </c:pt>
                <c:pt idx="17">
                  <c:v>43962</c:v>
                </c:pt>
                <c:pt idx="18">
                  <c:v>43963</c:v>
                </c:pt>
                <c:pt idx="19">
                  <c:v>43964</c:v>
                </c:pt>
                <c:pt idx="20">
                  <c:v>43965</c:v>
                </c:pt>
                <c:pt idx="21">
                  <c:v>43966</c:v>
                </c:pt>
                <c:pt idx="22">
                  <c:v>43967</c:v>
                </c:pt>
                <c:pt idx="23">
                  <c:v>43968</c:v>
                </c:pt>
                <c:pt idx="24">
                  <c:v>43969</c:v>
                </c:pt>
                <c:pt idx="25">
                  <c:v>43970</c:v>
                </c:pt>
                <c:pt idx="26">
                  <c:v>43971</c:v>
                </c:pt>
                <c:pt idx="27">
                  <c:v>43972</c:v>
                </c:pt>
                <c:pt idx="28">
                  <c:v>43973</c:v>
                </c:pt>
                <c:pt idx="29">
                  <c:v>43974</c:v>
                </c:pt>
                <c:pt idx="30">
                  <c:v>43975</c:v>
                </c:pt>
                <c:pt idx="31">
                  <c:v>43976</c:v>
                </c:pt>
                <c:pt idx="32">
                  <c:v>43977</c:v>
                </c:pt>
                <c:pt idx="33">
                  <c:v>43978</c:v>
                </c:pt>
                <c:pt idx="34">
                  <c:v>43979</c:v>
                </c:pt>
                <c:pt idx="35">
                  <c:v>43980</c:v>
                </c:pt>
                <c:pt idx="36">
                  <c:v>43981</c:v>
                </c:pt>
                <c:pt idx="37">
                  <c:v>43982</c:v>
                </c:pt>
                <c:pt idx="38">
                  <c:v>43983</c:v>
                </c:pt>
                <c:pt idx="39">
                  <c:v>43984</c:v>
                </c:pt>
                <c:pt idx="40">
                  <c:v>43985</c:v>
                </c:pt>
                <c:pt idx="41">
                  <c:v>43986</c:v>
                </c:pt>
                <c:pt idx="42">
                  <c:v>43987</c:v>
                </c:pt>
                <c:pt idx="43">
                  <c:v>43988</c:v>
                </c:pt>
                <c:pt idx="44">
                  <c:v>43989</c:v>
                </c:pt>
                <c:pt idx="45">
                  <c:v>43990</c:v>
                </c:pt>
                <c:pt idx="46">
                  <c:v>43991</c:v>
                </c:pt>
                <c:pt idx="47">
                  <c:v>43992</c:v>
                </c:pt>
                <c:pt idx="48">
                  <c:v>43993</c:v>
                </c:pt>
                <c:pt idx="49">
                  <c:v>43994</c:v>
                </c:pt>
                <c:pt idx="50">
                  <c:v>43995</c:v>
                </c:pt>
                <c:pt idx="51">
                  <c:v>43996</c:v>
                </c:pt>
                <c:pt idx="52">
                  <c:v>43997</c:v>
                </c:pt>
                <c:pt idx="53">
                  <c:v>43998</c:v>
                </c:pt>
                <c:pt idx="54">
                  <c:v>43999</c:v>
                </c:pt>
                <c:pt idx="55">
                  <c:v>44000</c:v>
                </c:pt>
                <c:pt idx="56">
                  <c:v>44001</c:v>
                </c:pt>
                <c:pt idx="57">
                  <c:v>44002</c:v>
                </c:pt>
                <c:pt idx="58">
                  <c:v>44003</c:v>
                </c:pt>
                <c:pt idx="59">
                  <c:v>44004</c:v>
                </c:pt>
                <c:pt idx="60">
                  <c:v>44005</c:v>
                </c:pt>
              </c:numCache>
              <c:extLst xmlns:c15="http://schemas.microsoft.com/office/drawing/2012/chart"/>
            </c:numRef>
          </c:xVal>
          <c:yVal>
            <c:numRef>
              <c:f>Data!$AC$57:$AC$117</c:f>
              <c:extLst xmlns:c15="http://schemas.microsoft.com/office/drawing/2012/chart"/>
            </c:numRef>
          </c:yVal>
          <c:smooth val="0"/>
          <c:extLst xmlns:c15="http://schemas.microsoft.com/office/drawing/2012/chart">
            <c:ext xmlns:c16="http://schemas.microsoft.com/office/drawing/2014/chart" uri="{C3380CC4-5D6E-409C-BE32-E72D297353CC}">
              <c16:uniqueId val="{00000005-E15D-4A8F-A9D0-8C9143E48DEB}"/>
            </c:ext>
          </c:extLst>
        </c:ser>
        <c:ser>
          <c:idx val="5"/>
          <c:order val="5"/>
          <c:tx>
            <c:v>SIS Model Covid - Cases</c:v>
          </c:tx>
          <c:spPr>
            <a:ln w="25400" cap="rnd">
              <a:noFill/>
              <a:round/>
            </a:ln>
            <a:effectLst/>
          </c:spPr>
          <c:marker>
            <c:symbol val="square"/>
            <c:size val="5"/>
            <c:spPr>
              <a:solidFill>
                <a:srgbClr val="0070C0"/>
              </a:solidFill>
              <a:ln w="9525">
                <a:noFill/>
              </a:ln>
              <a:effectLst/>
            </c:spPr>
          </c:marker>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f>Data!$N$3:$N$308</c:f>
            </c:numRef>
          </c:yVal>
          <c:smooth val="0"/>
          <c:extLst>
            <c:ext xmlns:c16="http://schemas.microsoft.com/office/drawing/2014/chart" uri="{C3380CC4-5D6E-409C-BE32-E72D297353CC}">
              <c16:uniqueId val="{00000001-CA04-45F3-A12F-5D84D073759B}"/>
            </c:ext>
          </c:extLst>
        </c:ser>
        <c:ser>
          <c:idx val="7"/>
          <c:order val="6"/>
          <c:tx>
            <c:v>SIS Model Covid - Death</c:v>
          </c:tx>
          <c:spPr>
            <a:ln w="25400" cap="rnd">
              <a:noFill/>
              <a:round/>
            </a:ln>
            <a:effectLst/>
          </c:spPr>
          <c:marker>
            <c:symbol val="square"/>
            <c:size val="5"/>
            <c:spPr>
              <a:solidFill>
                <a:srgbClr val="FF0000"/>
              </a:solidFill>
              <a:ln w="9525">
                <a:solidFill>
                  <a:srgbClr val="0070C0"/>
                </a:solidFill>
              </a:ln>
              <a:effectLst/>
            </c:spPr>
          </c:marker>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extLst xmlns:c15="http://schemas.microsoft.com/office/drawing/2012/chart"/>
            </c:numRef>
          </c:xVal>
          <c:yVal>
            <c:numRef>
              <c:f>Data!$P$3:$P$308</c:f>
              <c:extLst xmlns:c15="http://schemas.microsoft.com/office/drawing/2012/chart"/>
            </c:numRef>
          </c:yVal>
          <c:smooth val="0"/>
          <c:extLst xmlns:c15="http://schemas.microsoft.com/office/drawing/2012/chart">
            <c:ext xmlns:c16="http://schemas.microsoft.com/office/drawing/2014/chart" uri="{C3380CC4-5D6E-409C-BE32-E72D297353CC}">
              <c16:uniqueId val="{00000002-0E48-4970-8C54-39872F70F8B4}"/>
            </c:ext>
          </c:extLst>
        </c:ser>
        <c:ser>
          <c:idx val="9"/>
          <c:order val="7"/>
          <c:tx>
            <c:v>SIS Model Covid - Susceptibles</c:v>
          </c:tx>
          <c:spPr>
            <a:ln w="25400" cap="rnd">
              <a:noFill/>
              <a:round/>
            </a:ln>
            <a:effectLst/>
          </c:spPr>
          <c:marker>
            <c:symbol val="diamond"/>
            <c:size val="5"/>
            <c:spPr>
              <a:solidFill>
                <a:srgbClr val="0070C0"/>
              </a:solidFill>
              <a:ln w="9525">
                <a:noFill/>
              </a:ln>
              <a:effectLst/>
            </c:spPr>
          </c:marker>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extLst xmlns:c15="http://schemas.microsoft.com/office/drawing/2012/chart"/>
            </c:numRef>
          </c:xVal>
          <c:yVal>
            <c:numRef>
              <c:f>Data!$M$3:$M$308</c:f>
              <c:extLst xmlns:c15="http://schemas.microsoft.com/office/drawing/2012/chart"/>
            </c:numRef>
          </c:yVal>
          <c:smooth val="0"/>
          <c:extLst xmlns:c15="http://schemas.microsoft.com/office/drawing/2012/chart">
            <c:ext xmlns:c16="http://schemas.microsoft.com/office/drawing/2014/chart" uri="{C3380CC4-5D6E-409C-BE32-E72D297353CC}">
              <c16:uniqueId val="{00000001-7CF2-41AE-ABCD-3E57EBB8772D}"/>
            </c:ext>
          </c:extLst>
        </c:ser>
        <c:ser>
          <c:idx val="6"/>
          <c:order val="8"/>
          <c:tx>
            <c:v>SIR Model Covid - Cases</c:v>
          </c:tx>
          <c:spPr>
            <a:ln w="25400" cap="rnd">
              <a:noFill/>
              <a:round/>
            </a:ln>
            <a:effectLst/>
          </c:spPr>
          <c:marker>
            <c:symbol val="square"/>
            <c:size val="5"/>
            <c:spPr>
              <a:solidFill>
                <a:srgbClr val="00B050"/>
              </a:solidFill>
              <a:ln w="9525">
                <a:noFill/>
              </a:ln>
              <a:effectLst/>
            </c:spPr>
          </c:marker>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xVal>
          <c:yVal>
            <c:numRef>
              <c:f>Data!$S$3:$S$308</c:f>
            </c:numRef>
          </c:yVal>
          <c:smooth val="0"/>
          <c:extLst>
            <c:ext xmlns:c16="http://schemas.microsoft.com/office/drawing/2014/chart" uri="{C3380CC4-5D6E-409C-BE32-E72D297353CC}">
              <c16:uniqueId val="{00000001-0E48-4970-8C54-39872F70F8B4}"/>
            </c:ext>
          </c:extLst>
        </c:ser>
        <c:ser>
          <c:idx val="8"/>
          <c:order val="9"/>
          <c:tx>
            <c:v>SIR Model Covid - Death</c:v>
          </c:tx>
          <c:spPr>
            <a:ln w="25400" cap="rnd">
              <a:noFill/>
              <a:round/>
            </a:ln>
            <a:effectLst/>
          </c:spPr>
          <c:marker>
            <c:symbol val="square"/>
            <c:size val="5"/>
            <c:spPr>
              <a:solidFill>
                <a:srgbClr val="FF0000"/>
              </a:solidFill>
              <a:ln w="9525">
                <a:solidFill>
                  <a:srgbClr val="00B050"/>
                </a:solidFill>
              </a:ln>
              <a:effectLst/>
            </c:spPr>
          </c:marker>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extLst xmlns:c15="http://schemas.microsoft.com/office/drawing/2012/chart"/>
            </c:numRef>
          </c:xVal>
          <c:yVal>
            <c:numRef>
              <c:f>Data!$V$3:$V$308</c:f>
              <c:extLst xmlns:c15="http://schemas.microsoft.com/office/drawing/2012/chart"/>
            </c:numRef>
          </c:yVal>
          <c:smooth val="0"/>
          <c:extLst xmlns:c15="http://schemas.microsoft.com/office/drawing/2012/chart">
            <c:ext xmlns:c16="http://schemas.microsoft.com/office/drawing/2014/chart" uri="{C3380CC4-5D6E-409C-BE32-E72D297353CC}">
              <c16:uniqueId val="{00000003-0E48-4970-8C54-39872F70F8B4}"/>
            </c:ext>
          </c:extLst>
        </c:ser>
        <c:ser>
          <c:idx val="10"/>
          <c:order val="10"/>
          <c:tx>
            <c:v>SIR Model Covid - Susceptibles</c:v>
          </c:tx>
          <c:spPr>
            <a:ln w="25400" cap="rnd">
              <a:noFill/>
              <a:round/>
            </a:ln>
            <a:effectLst/>
          </c:spPr>
          <c:marker>
            <c:symbol val="diamond"/>
            <c:size val="5"/>
            <c:spPr>
              <a:solidFill>
                <a:srgbClr val="00B050"/>
              </a:solidFill>
              <a:ln w="9525">
                <a:noFill/>
              </a:ln>
              <a:effectLst/>
            </c:spPr>
          </c:marker>
          <c:xVal>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extLst xmlns:c15="http://schemas.microsoft.com/office/drawing/2012/chart"/>
            </c:numRef>
          </c:xVal>
          <c:yVal>
            <c:numRef>
              <c:f>Data!$R$3:$R$308</c:f>
              <c:extLst xmlns:c15="http://schemas.microsoft.com/office/drawing/2012/chart"/>
            </c:numRef>
          </c:yVal>
          <c:smooth val="0"/>
          <c:extLst xmlns:c15="http://schemas.microsoft.com/office/drawing/2012/chart">
            <c:ext xmlns:c16="http://schemas.microsoft.com/office/drawing/2014/chart" uri="{C3380CC4-5D6E-409C-BE32-E72D297353CC}">
              <c16:uniqueId val="{00000002-7CF2-41AE-ABCD-3E57EBB8772D}"/>
            </c:ext>
          </c:extLst>
        </c:ser>
        <c:ser>
          <c:idx val="15"/>
          <c:order val="15"/>
          <c:tx>
            <c:v>Projections - Case</c:v>
          </c:tx>
          <c:spPr>
            <a:ln w="25400" cap="rnd">
              <a:no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Data!$A$310:$A$318</c:f>
              <c:numCache>
                <c:formatCode>m/d/yyyy</c:formatCode>
                <c:ptCount val="9"/>
                <c:pt idx="0">
                  <c:v>44205</c:v>
                </c:pt>
                <c:pt idx="1">
                  <c:v>44207</c:v>
                </c:pt>
                <c:pt idx="2">
                  <c:v>44212</c:v>
                </c:pt>
                <c:pt idx="3">
                  <c:v>44214</c:v>
                </c:pt>
                <c:pt idx="4">
                  <c:v>44217</c:v>
                </c:pt>
                <c:pt idx="5">
                  <c:v>44222</c:v>
                </c:pt>
                <c:pt idx="6">
                  <c:v>44225</c:v>
                </c:pt>
                <c:pt idx="7">
                  <c:v>44230</c:v>
                </c:pt>
                <c:pt idx="8">
                  <c:v>44239</c:v>
                </c:pt>
              </c:numCache>
            </c:numRef>
          </c:xVal>
          <c:yVal>
            <c:numRef>
              <c:f>Data!$B$310:$B$318</c:f>
              <c:numCache>
                <c:formatCode>General</c:formatCode>
                <c:ptCount val="9"/>
                <c:pt idx="0">
                  <c:v>920177</c:v>
                </c:pt>
                <c:pt idx="1">
                  <c:v>944319</c:v>
                </c:pt>
                <c:pt idx="2">
                  <c:v>1014662</c:v>
                </c:pt>
                <c:pt idx="3">
                  <c:v>1031874</c:v>
                </c:pt>
                <c:pt idx="4">
                  <c:v>1054802</c:v>
                </c:pt>
                <c:pt idx="5">
                  <c:v>1091712</c:v>
                </c:pt>
                <c:pt idx="6">
                  <c:v>1111089</c:v>
                </c:pt>
                <c:pt idx="7">
                  <c:v>1134338</c:v>
                </c:pt>
                <c:pt idx="8">
                  <c:v>1164769</c:v>
                </c:pt>
              </c:numCache>
            </c:numRef>
          </c:yVal>
          <c:smooth val="0"/>
          <c:extLst>
            <c:ext xmlns:c16="http://schemas.microsoft.com/office/drawing/2014/chart" uri="{C3380CC4-5D6E-409C-BE32-E72D297353CC}">
              <c16:uniqueId val="{00000003-721D-4307-B8C7-7B45C7D0F25F}"/>
            </c:ext>
          </c:extLst>
        </c:ser>
        <c:ser>
          <c:idx val="16"/>
          <c:order val="16"/>
          <c:tx>
            <c:v>Projections - Death</c:v>
          </c:tx>
          <c:spPr>
            <a:ln w="25400" cap="rnd">
              <a:no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f>Data!$A$310:$A$318</c:f>
              <c:numCache>
                <c:formatCode>m/d/yyyy</c:formatCode>
                <c:ptCount val="9"/>
                <c:pt idx="0">
                  <c:v>44205</c:v>
                </c:pt>
                <c:pt idx="1">
                  <c:v>44207</c:v>
                </c:pt>
                <c:pt idx="2">
                  <c:v>44212</c:v>
                </c:pt>
                <c:pt idx="3">
                  <c:v>44214</c:v>
                </c:pt>
                <c:pt idx="4">
                  <c:v>44217</c:v>
                </c:pt>
                <c:pt idx="5">
                  <c:v>44222</c:v>
                </c:pt>
                <c:pt idx="6">
                  <c:v>44225</c:v>
                </c:pt>
                <c:pt idx="7">
                  <c:v>44230</c:v>
                </c:pt>
                <c:pt idx="8">
                  <c:v>44239</c:v>
                </c:pt>
              </c:numCache>
            </c:numRef>
          </c:xVal>
          <c:yVal>
            <c:numRef>
              <c:f>Data!$H$310:$H$318</c:f>
              <c:numCache>
                <c:formatCode>General</c:formatCode>
                <c:ptCount val="9"/>
                <c:pt idx="0">
                  <c:v>12250</c:v>
                </c:pt>
                <c:pt idx="1">
                  <c:v>12674</c:v>
                </c:pt>
                <c:pt idx="2">
                  <c:v>13848</c:v>
                </c:pt>
                <c:pt idx="3">
                  <c:v>14122</c:v>
                </c:pt>
                <c:pt idx="4">
                  <c:v>14894</c:v>
                </c:pt>
                <c:pt idx="5">
                  <c:v>15897</c:v>
                </c:pt>
                <c:pt idx="6">
                  <c:v>16647</c:v>
                </c:pt>
                <c:pt idx="7">
                  <c:v>17539</c:v>
                </c:pt>
                <c:pt idx="8">
                  <c:v>18984</c:v>
                </c:pt>
              </c:numCache>
            </c:numRef>
          </c:yVal>
          <c:smooth val="0"/>
          <c:extLst>
            <c:ext xmlns:c16="http://schemas.microsoft.com/office/drawing/2014/chart" uri="{C3380CC4-5D6E-409C-BE32-E72D297353CC}">
              <c16:uniqueId val="{00000004-721D-4307-B8C7-7B45C7D0F25F}"/>
            </c:ext>
          </c:extLst>
        </c:ser>
        <c:dLbls>
          <c:showLegendKey val="0"/>
          <c:showVal val="0"/>
          <c:showCatName val="0"/>
          <c:showSerName val="0"/>
          <c:showPercent val="0"/>
          <c:showBubbleSize val="0"/>
        </c:dLbls>
        <c:axId val="576339071"/>
        <c:axId val="572726207"/>
        <c:extLst>
          <c:ext xmlns:c15="http://schemas.microsoft.com/office/drawing/2012/chart" uri="{02D57815-91ED-43cb-92C2-25804820EDAC}">
            <c15:filteredScatterSeries>
              <c15:ser>
                <c:idx val="13"/>
                <c:order val="11"/>
                <c:tx>
                  <c:v>Hypothetical SIS Model SARS - Cases</c:v>
                </c:tx>
                <c:spPr>
                  <a:ln w="25400" cap="rnd">
                    <a:noFill/>
                    <a:round/>
                  </a:ln>
                  <a:effectLst/>
                </c:spPr>
                <c:marker>
                  <c:symbol val="triangle"/>
                  <c:size val="5"/>
                  <c:spPr>
                    <a:solidFill>
                      <a:srgbClr val="CC99FF"/>
                    </a:solidFill>
                    <a:ln w="9525">
                      <a:solidFill>
                        <a:srgbClr val="0070C0"/>
                      </a:solidFill>
                    </a:ln>
                    <a:effectLst/>
                  </c:spPr>
                </c:marker>
                <c:xVal>
                  <c:numRef>
                    <c:extLst>
                      <c:ext uri="{02D57815-91ED-43cb-92C2-25804820EDAC}">
                        <c15:formulaRef>
                          <c15:sqref>Data!$A$25:$A$308</c15:sqref>
                        </c15:formulaRef>
                      </c:ext>
                    </c:extLst>
                    <c:numCache>
                      <c:formatCode>d\-mmm</c:formatCode>
                      <c:ptCount val="284"/>
                      <c:pt idx="0">
                        <c:v>43913</c:v>
                      </c:pt>
                      <c:pt idx="1">
                        <c:v>43914</c:v>
                      </c:pt>
                      <c:pt idx="2">
                        <c:v>43915</c:v>
                      </c:pt>
                      <c:pt idx="3">
                        <c:v>43916</c:v>
                      </c:pt>
                      <c:pt idx="4">
                        <c:v>43917</c:v>
                      </c:pt>
                      <c:pt idx="5">
                        <c:v>43918</c:v>
                      </c:pt>
                      <c:pt idx="6">
                        <c:v>43919</c:v>
                      </c:pt>
                      <c:pt idx="7">
                        <c:v>43920</c:v>
                      </c:pt>
                      <c:pt idx="8">
                        <c:v>43921</c:v>
                      </c:pt>
                      <c:pt idx="9">
                        <c:v>43922</c:v>
                      </c:pt>
                      <c:pt idx="10">
                        <c:v>43923</c:v>
                      </c:pt>
                      <c:pt idx="11">
                        <c:v>43924</c:v>
                      </c:pt>
                      <c:pt idx="12">
                        <c:v>43925</c:v>
                      </c:pt>
                      <c:pt idx="13">
                        <c:v>43926</c:v>
                      </c:pt>
                      <c:pt idx="14">
                        <c:v>43927</c:v>
                      </c:pt>
                      <c:pt idx="15">
                        <c:v>43928</c:v>
                      </c:pt>
                      <c:pt idx="16">
                        <c:v>43929</c:v>
                      </c:pt>
                      <c:pt idx="17">
                        <c:v>43930</c:v>
                      </c:pt>
                      <c:pt idx="18">
                        <c:v>43931</c:v>
                      </c:pt>
                      <c:pt idx="19">
                        <c:v>43932</c:v>
                      </c:pt>
                      <c:pt idx="20">
                        <c:v>43933</c:v>
                      </c:pt>
                      <c:pt idx="21">
                        <c:v>43934</c:v>
                      </c:pt>
                      <c:pt idx="22">
                        <c:v>43935</c:v>
                      </c:pt>
                      <c:pt idx="23">
                        <c:v>43936</c:v>
                      </c:pt>
                      <c:pt idx="24">
                        <c:v>43937</c:v>
                      </c:pt>
                      <c:pt idx="25">
                        <c:v>43938</c:v>
                      </c:pt>
                      <c:pt idx="26">
                        <c:v>43939</c:v>
                      </c:pt>
                      <c:pt idx="27">
                        <c:v>43940</c:v>
                      </c:pt>
                      <c:pt idx="28">
                        <c:v>43941</c:v>
                      </c:pt>
                      <c:pt idx="29">
                        <c:v>43942</c:v>
                      </c:pt>
                      <c:pt idx="30">
                        <c:v>43943</c:v>
                      </c:pt>
                      <c:pt idx="31">
                        <c:v>43944</c:v>
                      </c:pt>
                      <c:pt idx="32">
                        <c:v>43945</c:v>
                      </c:pt>
                      <c:pt idx="33">
                        <c:v>43946</c:v>
                      </c:pt>
                      <c:pt idx="34">
                        <c:v>43947</c:v>
                      </c:pt>
                      <c:pt idx="35">
                        <c:v>43948</c:v>
                      </c:pt>
                      <c:pt idx="36">
                        <c:v>43949</c:v>
                      </c:pt>
                      <c:pt idx="37">
                        <c:v>43950</c:v>
                      </c:pt>
                      <c:pt idx="38">
                        <c:v>43951</c:v>
                      </c:pt>
                      <c:pt idx="39">
                        <c:v>43952</c:v>
                      </c:pt>
                      <c:pt idx="40">
                        <c:v>43953</c:v>
                      </c:pt>
                      <c:pt idx="41">
                        <c:v>43954</c:v>
                      </c:pt>
                      <c:pt idx="42">
                        <c:v>43955</c:v>
                      </c:pt>
                      <c:pt idx="43">
                        <c:v>43956</c:v>
                      </c:pt>
                      <c:pt idx="44">
                        <c:v>43957</c:v>
                      </c:pt>
                      <c:pt idx="45">
                        <c:v>43958</c:v>
                      </c:pt>
                      <c:pt idx="46">
                        <c:v>43959</c:v>
                      </c:pt>
                      <c:pt idx="47">
                        <c:v>43960</c:v>
                      </c:pt>
                      <c:pt idx="48">
                        <c:v>43961</c:v>
                      </c:pt>
                      <c:pt idx="49">
                        <c:v>43962</c:v>
                      </c:pt>
                      <c:pt idx="50">
                        <c:v>43963</c:v>
                      </c:pt>
                      <c:pt idx="51">
                        <c:v>43964</c:v>
                      </c:pt>
                      <c:pt idx="52">
                        <c:v>43965</c:v>
                      </c:pt>
                      <c:pt idx="53">
                        <c:v>43966</c:v>
                      </c:pt>
                      <c:pt idx="54">
                        <c:v>43967</c:v>
                      </c:pt>
                      <c:pt idx="55">
                        <c:v>43968</c:v>
                      </c:pt>
                      <c:pt idx="56">
                        <c:v>43969</c:v>
                      </c:pt>
                      <c:pt idx="57">
                        <c:v>43970</c:v>
                      </c:pt>
                      <c:pt idx="58">
                        <c:v>43971</c:v>
                      </c:pt>
                      <c:pt idx="59">
                        <c:v>43972</c:v>
                      </c:pt>
                      <c:pt idx="60">
                        <c:v>43973</c:v>
                      </c:pt>
                      <c:pt idx="61">
                        <c:v>43974</c:v>
                      </c:pt>
                      <c:pt idx="62">
                        <c:v>43975</c:v>
                      </c:pt>
                      <c:pt idx="63">
                        <c:v>43976</c:v>
                      </c:pt>
                      <c:pt idx="64">
                        <c:v>43977</c:v>
                      </c:pt>
                      <c:pt idx="65">
                        <c:v>43978</c:v>
                      </c:pt>
                      <c:pt idx="66">
                        <c:v>43979</c:v>
                      </c:pt>
                      <c:pt idx="67">
                        <c:v>43980</c:v>
                      </c:pt>
                      <c:pt idx="68">
                        <c:v>43981</c:v>
                      </c:pt>
                      <c:pt idx="69">
                        <c:v>43982</c:v>
                      </c:pt>
                      <c:pt idx="70">
                        <c:v>43983</c:v>
                      </c:pt>
                      <c:pt idx="71">
                        <c:v>43984</c:v>
                      </c:pt>
                      <c:pt idx="72">
                        <c:v>43985</c:v>
                      </c:pt>
                      <c:pt idx="73">
                        <c:v>43986</c:v>
                      </c:pt>
                      <c:pt idx="74">
                        <c:v>43987</c:v>
                      </c:pt>
                      <c:pt idx="75">
                        <c:v>43988</c:v>
                      </c:pt>
                      <c:pt idx="76">
                        <c:v>43989</c:v>
                      </c:pt>
                      <c:pt idx="77">
                        <c:v>43990</c:v>
                      </c:pt>
                      <c:pt idx="78">
                        <c:v>43991</c:v>
                      </c:pt>
                      <c:pt idx="79">
                        <c:v>43992</c:v>
                      </c:pt>
                      <c:pt idx="80">
                        <c:v>43993</c:v>
                      </c:pt>
                      <c:pt idx="81">
                        <c:v>43994</c:v>
                      </c:pt>
                      <c:pt idx="82">
                        <c:v>43995</c:v>
                      </c:pt>
                      <c:pt idx="83">
                        <c:v>43996</c:v>
                      </c:pt>
                      <c:pt idx="84">
                        <c:v>43997</c:v>
                      </c:pt>
                      <c:pt idx="85">
                        <c:v>43998</c:v>
                      </c:pt>
                      <c:pt idx="86">
                        <c:v>43999</c:v>
                      </c:pt>
                      <c:pt idx="87">
                        <c:v>44000</c:v>
                      </c:pt>
                      <c:pt idx="88">
                        <c:v>44001</c:v>
                      </c:pt>
                      <c:pt idx="89">
                        <c:v>44002</c:v>
                      </c:pt>
                      <c:pt idx="90">
                        <c:v>44003</c:v>
                      </c:pt>
                      <c:pt idx="91">
                        <c:v>44004</c:v>
                      </c:pt>
                      <c:pt idx="92">
                        <c:v>44005</c:v>
                      </c:pt>
                      <c:pt idx="93">
                        <c:v>44006</c:v>
                      </c:pt>
                      <c:pt idx="94">
                        <c:v>44007</c:v>
                      </c:pt>
                      <c:pt idx="95">
                        <c:v>44008</c:v>
                      </c:pt>
                      <c:pt idx="96">
                        <c:v>44009</c:v>
                      </c:pt>
                      <c:pt idx="97">
                        <c:v>44010</c:v>
                      </c:pt>
                      <c:pt idx="98">
                        <c:v>44011</c:v>
                      </c:pt>
                      <c:pt idx="99">
                        <c:v>44012</c:v>
                      </c:pt>
                      <c:pt idx="100">
                        <c:v>44013</c:v>
                      </c:pt>
                      <c:pt idx="101">
                        <c:v>44014</c:v>
                      </c:pt>
                      <c:pt idx="102">
                        <c:v>44015</c:v>
                      </c:pt>
                      <c:pt idx="103">
                        <c:v>44016</c:v>
                      </c:pt>
                      <c:pt idx="104">
                        <c:v>44017</c:v>
                      </c:pt>
                      <c:pt idx="105">
                        <c:v>44018</c:v>
                      </c:pt>
                      <c:pt idx="106">
                        <c:v>44019</c:v>
                      </c:pt>
                      <c:pt idx="107">
                        <c:v>44020</c:v>
                      </c:pt>
                      <c:pt idx="108">
                        <c:v>44021</c:v>
                      </c:pt>
                      <c:pt idx="109">
                        <c:v>44022</c:v>
                      </c:pt>
                      <c:pt idx="110">
                        <c:v>44023</c:v>
                      </c:pt>
                      <c:pt idx="111">
                        <c:v>44024</c:v>
                      </c:pt>
                      <c:pt idx="112">
                        <c:v>44025</c:v>
                      </c:pt>
                      <c:pt idx="113">
                        <c:v>44026</c:v>
                      </c:pt>
                      <c:pt idx="114">
                        <c:v>44027</c:v>
                      </c:pt>
                      <c:pt idx="115">
                        <c:v>44028</c:v>
                      </c:pt>
                      <c:pt idx="116">
                        <c:v>44029</c:v>
                      </c:pt>
                      <c:pt idx="117">
                        <c:v>44030</c:v>
                      </c:pt>
                      <c:pt idx="118">
                        <c:v>44031</c:v>
                      </c:pt>
                      <c:pt idx="119">
                        <c:v>44032</c:v>
                      </c:pt>
                      <c:pt idx="120">
                        <c:v>44033</c:v>
                      </c:pt>
                      <c:pt idx="121">
                        <c:v>44034</c:v>
                      </c:pt>
                      <c:pt idx="122">
                        <c:v>44035</c:v>
                      </c:pt>
                      <c:pt idx="123">
                        <c:v>44036</c:v>
                      </c:pt>
                      <c:pt idx="124">
                        <c:v>44037</c:v>
                      </c:pt>
                      <c:pt idx="125">
                        <c:v>44038</c:v>
                      </c:pt>
                      <c:pt idx="126">
                        <c:v>44039</c:v>
                      </c:pt>
                      <c:pt idx="127">
                        <c:v>44040</c:v>
                      </c:pt>
                      <c:pt idx="128">
                        <c:v>44041</c:v>
                      </c:pt>
                      <c:pt idx="129">
                        <c:v>44042</c:v>
                      </c:pt>
                      <c:pt idx="130">
                        <c:v>44043</c:v>
                      </c:pt>
                      <c:pt idx="131">
                        <c:v>44044</c:v>
                      </c:pt>
                      <c:pt idx="132">
                        <c:v>44045</c:v>
                      </c:pt>
                      <c:pt idx="133">
                        <c:v>44046</c:v>
                      </c:pt>
                      <c:pt idx="134">
                        <c:v>44047</c:v>
                      </c:pt>
                      <c:pt idx="135">
                        <c:v>44048</c:v>
                      </c:pt>
                      <c:pt idx="136">
                        <c:v>44049</c:v>
                      </c:pt>
                      <c:pt idx="137">
                        <c:v>44050</c:v>
                      </c:pt>
                      <c:pt idx="138">
                        <c:v>44051</c:v>
                      </c:pt>
                      <c:pt idx="139">
                        <c:v>44052</c:v>
                      </c:pt>
                      <c:pt idx="140">
                        <c:v>44053</c:v>
                      </c:pt>
                      <c:pt idx="141">
                        <c:v>44054</c:v>
                      </c:pt>
                      <c:pt idx="142">
                        <c:v>44055</c:v>
                      </c:pt>
                      <c:pt idx="143">
                        <c:v>44056</c:v>
                      </c:pt>
                      <c:pt idx="144">
                        <c:v>44057</c:v>
                      </c:pt>
                      <c:pt idx="145">
                        <c:v>44058</c:v>
                      </c:pt>
                      <c:pt idx="146">
                        <c:v>44059</c:v>
                      </c:pt>
                      <c:pt idx="147">
                        <c:v>44060</c:v>
                      </c:pt>
                      <c:pt idx="148">
                        <c:v>44061</c:v>
                      </c:pt>
                      <c:pt idx="149">
                        <c:v>44062</c:v>
                      </c:pt>
                      <c:pt idx="150">
                        <c:v>44063</c:v>
                      </c:pt>
                      <c:pt idx="151">
                        <c:v>44064</c:v>
                      </c:pt>
                      <c:pt idx="152">
                        <c:v>44065</c:v>
                      </c:pt>
                      <c:pt idx="153">
                        <c:v>44066</c:v>
                      </c:pt>
                      <c:pt idx="154">
                        <c:v>44067</c:v>
                      </c:pt>
                      <c:pt idx="155">
                        <c:v>44068</c:v>
                      </c:pt>
                      <c:pt idx="156">
                        <c:v>44069</c:v>
                      </c:pt>
                      <c:pt idx="157">
                        <c:v>44070</c:v>
                      </c:pt>
                      <c:pt idx="158">
                        <c:v>44071</c:v>
                      </c:pt>
                      <c:pt idx="159">
                        <c:v>44072</c:v>
                      </c:pt>
                      <c:pt idx="160">
                        <c:v>44073</c:v>
                      </c:pt>
                      <c:pt idx="161">
                        <c:v>44074</c:v>
                      </c:pt>
                      <c:pt idx="162">
                        <c:v>44075</c:v>
                      </c:pt>
                      <c:pt idx="163">
                        <c:v>44076</c:v>
                      </c:pt>
                      <c:pt idx="164">
                        <c:v>44077</c:v>
                      </c:pt>
                      <c:pt idx="165">
                        <c:v>44078</c:v>
                      </c:pt>
                      <c:pt idx="166">
                        <c:v>44079</c:v>
                      </c:pt>
                      <c:pt idx="167">
                        <c:v>44080</c:v>
                      </c:pt>
                      <c:pt idx="168">
                        <c:v>44081</c:v>
                      </c:pt>
                      <c:pt idx="169">
                        <c:v>44082</c:v>
                      </c:pt>
                      <c:pt idx="170">
                        <c:v>44083</c:v>
                      </c:pt>
                      <c:pt idx="171">
                        <c:v>44084</c:v>
                      </c:pt>
                      <c:pt idx="172">
                        <c:v>44085</c:v>
                      </c:pt>
                      <c:pt idx="173">
                        <c:v>44086</c:v>
                      </c:pt>
                      <c:pt idx="174">
                        <c:v>44087</c:v>
                      </c:pt>
                      <c:pt idx="175">
                        <c:v>44088</c:v>
                      </c:pt>
                      <c:pt idx="176">
                        <c:v>44089</c:v>
                      </c:pt>
                      <c:pt idx="177">
                        <c:v>44090</c:v>
                      </c:pt>
                      <c:pt idx="178">
                        <c:v>44091</c:v>
                      </c:pt>
                      <c:pt idx="179">
                        <c:v>44092</c:v>
                      </c:pt>
                      <c:pt idx="180">
                        <c:v>44093</c:v>
                      </c:pt>
                      <c:pt idx="181">
                        <c:v>44094</c:v>
                      </c:pt>
                      <c:pt idx="182">
                        <c:v>44095</c:v>
                      </c:pt>
                      <c:pt idx="183">
                        <c:v>44096</c:v>
                      </c:pt>
                      <c:pt idx="184">
                        <c:v>44097</c:v>
                      </c:pt>
                      <c:pt idx="185">
                        <c:v>44098</c:v>
                      </c:pt>
                      <c:pt idx="186">
                        <c:v>44099</c:v>
                      </c:pt>
                      <c:pt idx="187">
                        <c:v>44100</c:v>
                      </c:pt>
                      <c:pt idx="188">
                        <c:v>44101</c:v>
                      </c:pt>
                      <c:pt idx="189">
                        <c:v>44102</c:v>
                      </c:pt>
                      <c:pt idx="190">
                        <c:v>44103</c:v>
                      </c:pt>
                      <c:pt idx="191">
                        <c:v>44104</c:v>
                      </c:pt>
                      <c:pt idx="192">
                        <c:v>44105</c:v>
                      </c:pt>
                      <c:pt idx="193">
                        <c:v>44106</c:v>
                      </c:pt>
                      <c:pt idx="194">
                        <c:v>44107</c:v>
                      </c:pt>
                      <c:pt idx="195">
                        <c:v>44108</c:v>
                      </c:pt>
                      <c:pt idx="196">
                        <c:v>44109</c:v>
                      </c:pt>
                      <c:pt idx="197">
                        <c:v>44110</c:v>
                      </c:pt>
                      <c:pt idx="198">
                        <c:v>44111</c:v>
                      </c:pt>
                      <c:pt idx="199">
                        <c:v>44112</c:v>
                      </c:pt>
                      <c:pt idx="200">
                        <c:v>44113</c:v>
                      </c:pt>
                      <c:pt idx="201">
                        <c:v>44114</c:v>
                      </c:pt>
                      <c:pt idx="202">
                        <c:v>44115</c:v>
                      </c:pt>
                      <c:pt idx="203">
                        <c:v>44116</c:v>
                      </c:pt>
                      <c:pt idx="204">
                        <c:v>44117</c:v>
                      </c:pt>
                      <c:pt idx="205">
                        <c:v>44118</c:v>
                      </c:pt>
                      <c:pt idx="206">
                        <c:v>44119</c:v>
                      </c:pt>
                      <c:pt idx="207">
                        <c:v>44120</c:v>
                      </c:pt>
                      <c:pt idx="208">
                        <c:v>44121</c:v>
                      </c:pt>
                      <c:pt idx="209">
                        <c:v>44122</c:v>
                      </c:pt>
                      <c:pt idx="210">
                        <c:v>44123</c:v>
                      </c:pt>
                      <c:pt idx="211">
                        <c:v>44124</c:v>
                      </c:pt>
                      <c:pt idx="212">
                        <c:v>44125</c:v>
                      </c:pt>
                      <c:pt idx="213">
                        <c:v>44126</c:v>
                      </c:pt>
                      <c:pt idx="214">
                        <c:v>44127</c:v>
                      </c:pt>
                      <c:pt idx="215">
                        <c:v>44128</c:v>
                      </c:pt>
                      <c:pt idx="216">
                        <c:v>44129</c:v>
                      </c:pt>
                      <c:pt idx="217">
                        <c:v>44130</c:v>
                      </c:pt>
                      <c:pt idx="218">
                        <c:v>44131</c:v>
                      </c:pt>
                      <c:pt idx="219">
                        <c:v>44132</c:v>
                      </c:pt>
                      <c:pt idx="220">
                        <c:v>44133</c:v>
                      </c:pt>
                      <c:pt idx="221">
                        <c:v>44134</c:v>
                      </c:pt>
                      <c:pt idx="222">
                        <c:v>44135</c:v>
                      </c:pt>
                      <c:pt idx="223">
                        <c:v>44136</c:v>
                      </c:pt>
                      <c:pt idx="224">
                        <c:v>44137</c:v>
                      </c:pt>
                      <c:pt idx="225">
                        <c:v>44138</c:v>
                      </c:pt>
                      <c:pt idx="226">
                        <c:v>44139</c:v>
                      </c:pt>
                      <c:pt idx="227">
                        <c:v>44140</c:v>
                      </c:pt>
                      <c:pt idx="228">
                        <c:v>44141</c:v>
                      </c:pt>
                      <c:pt idx="229">
                        <c:v>44142</c:v>
                      </c:pt>
                      <c:pt idx="230">
                        <c:v>44143</c:v>
                      </c:pt>
                      <c:pt idx="231">
                        <c:v>44144</c:v>
                      </c:pt>
                      <c:pt idx="232">
                        <c:v>44145</c:v>
                      </c:pt>
                      <c:pt idx="233">
                        <c:v>44146</c:v>
                      </c:pt>
                      <c:pt idx="234">
                        <c:v>44147</c:v>
                      </c:pt>
                      <c:pt idx="235">
                        <c:v>44148</c:v>
                      </c:pt>
                      <c:pt idx="236">
                        <c:v>44149</c:v>
                      </c:pt>
                      <c:pt idx="237">
                        <c:v>44150</c:v>
                      </c:pt>
                      <c:pt idx="238">
                        <c:v>44151</c:v>
                      </c:pt>
                      <c:pt idx="239">
                        <c:v>44152</c:v>
                      </c:pt>
                      <c:pt idx="240">
                        <c:v>44153</c:v>
                      </c:pt>
                      <c:pt idx="241">
                        <c:v>44154</c:v>
                      </c:pt>
                      <c:pt idx="242">
                        <c:v>44155</c:v>
                      </c:pt>
                      <c:pt idx="243">
                        <c:v>44156</c:v>
                      </c:pt>
                      <c:pt idx="244">
                        <c:v>44157</c:v>
                      </c:pt>
                      <c:pt idx="245">
                        <c:v>44158</c:v>
                      </c:pt>
                      <c:pt idx="246">
                        <c:v>44159</c:v>
                      </c:pt>
                      <c:pt idx="247">
                        <c:v>44160</c:v>
                      </c:pt>
                      <c:pt idx="248">
                        <c:v>44161</c:v>
                      </c:pt>
                      <c:pt idx="249">
                        <c:v>44162</c:v>
                      </c:pt>
                      <c:pt idx="250">
                        <c:v>44163</c:v>
                      </c:pt>
                      <c:pt idx="251">
                        <c:v>44164</c:v>
                      </c:pt>
                      <c:pt idx="252">
                        <c:v>44165</c:v>
                      </c:pt>
                      <c:pt idx="253">
                        <c:v>44166</c:v>
                      </c:pt>
                      <c:pt idx="254">
                        <c:v>44167</c:v>
                      </c:pt>
                      <c:pt idx="255">
                        <c:v>44168</c:v>
                      </c:pt>
                      <c:pt idx="256">
                        <c:v>44169</c:v>
                      </c:pt>
                      <c:pt idx="257">
                        <c:v>44170</c:v>
                      </c:pt>
                      <c:pt idx="258">
                        <c:v>44171</c:v>
                      </c:pt>
                      <c:pt idx="259">
                        <c:v>44172</c:v>
                      </c:pt>
                      <c:pt idx="260">
                        <c:v>44173</c:v>
                      </c:pt>
                      <c:pt idx="261">
                        <c:v>44174</c:v>
                      </c:pt>
                      <c:pt idx="262">
                        <c:v>44175</c:v>
                      </c:pt>
                      <c:pt idx="263">
                        <c:v>44176</c:v>
                      </c:pt>
                      <c:pt idx="264">
                        <c:v>44177</c:v>
                      </c:pt>
                      <c:pt idx="265">
                        <c:v>44178</c:v>
                      </c:pt>
                      <c:pt idx="266">
                        <c:v>44179</c:v>
                      </c:pt>
                      <c:pt idx="267">
                        <c:v>44180</c:v>
                      </c:pt>
                      <c:pt idx="268">
                        <c:v>44181</c:v>
                      </c:pt>
                      <c:pt idx="269">
                        <c:v>44182</c:v>
                      </c:pt>
                      <c:pt idx="270">
                        <c:v>44183</c:v>
                      </c:pt>
                      <c:pt idx="271">
                        <c:v>44184</c:v>
                      </c:pt>
                      <c:pt idx="272">
                        <c:v>44185</c:v>
                      </c:pt>
                      <c:pt idx="273">
                        <c:v>44186</c:v>
                      </c:pt>
                      <c:pt idx="274">
                        <c:v>44187</c:v>
                      </c:pt>
                      <c:pt idx="275">
                        <c:v>44188</c:v>
                      </c:pt>
                      <c:pt idx="276">
                        <c:v>44189</c:v>
                      </c:pt>
                      <c:pt idx="277">
                        <c:v>44190</c:v>
                      </c:pt>
                      <c:pt idx="278">
                        <c:v>44191</c:v>
                      </c:pt>
                      <c:pt idx="279">
                        <c:v>44192</c:v>
                      </c:pt>
                      <c:pt idx="280">
                        <c:v>44193</c:v>
                      </c:pt>
                      <c:pt idx="281">
                        <c:v>44194</c:v>
                      </c:pt>
                      <c:pt idx="282">
                        <c:v>44195</c:v>
                      </c:pt>
                      <c:pt idx="283">
                        <c:v>44196</c:v>
                      </c:pt>
                    </c:numCache>
                  </c:numRef>
                </c:xVal>
                <c:yVal>
                  <c:numRef>
                    <c:extLst>
                      <c:ext uri="{02D57815-91ED-43cb-92C2-25804820EDAC}">
                        <c15:formulaRef>
                          <c15:sqref>SARS!$G$21:$G$326</c15:sqref>
                        </c15:formulaRef>
                      </c:ext>
                    </c:extLst>
                    <c:numCache>
                      <c:formatCode>General</c:formatCode>
                      <c:ptCount val="306"/>
                      <c:pt idx="0">
                        <c:v>500</c:v>
                      </c:pt>
                      <c:pt idx="1">
                        <c:v>652</c:v>
                      </c:pt>
                      <c:pt idx="2">
                        <c:v>849</c:v>
                      </c:pt>
                      <c:pt idx="3">
                        <c:v>1107</c:v>
                      </c:pt>
                      <c:pt idx="4">
                        <c:v>1443</c:v>
                      </c:pt>
                      <c:pt idx="5">
                        <c:v>1881</c:v>
                      </c:pt>
                      <c:pt idx="6">
                        <c:v>2451</c:v>
                      </c:pt>
                      <c:pt idx="7">
                        <c:v>3195</c:v>
                      </c:pt>
                      <c:pt idx="8">
                        <c:v>4163</c:v>
                      </c:pt>
                      <c:pt idx="9">
                        <c:v>5426</c:v>
                      </c:pt>
                      <c:pt idx="10">
                        <c:v>7070</c:v>
                      </c:pt>
                      <c:pt idx="11">
                        <c:v>9213</c:v>
                      </c:pt>
                      <c:pt idx="12">
                        <c:v>12004</c:v>
                      </c:pt>
                      <c:pt idx="13">
                        <c:v>15638</c:v>
                      </c:pt>
                      <c:pt idx="14">
                        <c:v>20370</c:v>
                      </c:pt>
                      <c:pt idx="15">
                        <c:v>26529</c:v>
                      </c:pt>
                      <c:pt idx="16">
                        <c:v>34540</c:v>
                      </c:pt>
                      <c:pt idx="17">
                        <c:v>44956</c:v>
                      </c:pt>
                      <c:pt idx="18">
                        <c:v>58487</c:v>
                      </c:pt>
                      <c:pt idx="19">
                        <c:v>76048</c:v>
                      </c:pt>
                      <c:pt idx="20">
                        <c:v>98809</c:v>
                      </c:pt>
                      <c:pt idx="21">
                        <c:v>128261</c:v>
                      </c:pt>
                      <c:pt idx="22">
                        <c:v>166288</c:v>
                      </c:pt>
                      <c:pt idx="23">
                        <c:v>215249</c:v>
                      </c:pt>
                      <c:pt idx="24">
                        <c:v>278061</c:v>
                      </c:pt>
                      <c:pt idx="25">
                        <c:v>358269</c:v>
                      </c:pt>
                      <c:pt idx="26">
                        <c:v>460090</c:v>
                      </c:pt>
                      <c:pt idx="27">
                        <c:v>588382</c:v>
                      </c:pt>
                      <c:pt idx="28">
                        <c:v>748509</c:v>
                      </c:pt>
                      <c:pt idx="29">
                        <c:v>946036</c:v>
                      </c:pt>
                      <c:pt idx="30">
                        <c:v>1186192</c:v>
                      </c:pt>
                      <c:pt idx="31">
                        <c:v>1473092</c:v>
                      </c:pt>
                      <c:pt idx="32">
                        <c:v>1808719</c:v>
                      </c:pt>
                      <c:pt idx="33">
                        <c:v>2191853</c:v>
                      </c:pt>
                      <c:pt idx="34">
                        <c:v>2617182</c:v>
                      </c:pt>
                      <c:pt idx="35">
                        <c:v>3074973</c:v>
                      </c:pt>
                      <c:pt idx="36">
                        <c:v>3551589</c:v>
                      </c:pt>
                      <c:pt idx="37">
                        <c:v>4030929</c:v>
                      </c:pt>
                      <c:pt idx="38">
                        <c:v>4496527</c:v>
                      </c:pt>
                      <c:pt idx="39">
                        <c:v>4933740</c:v>
                      </c:pt>
                      <c:pt idx="40">
                        <c:v>5331457</c:v>
                      </c:pt>
                      <c:pt idx="41">
                        <c:v>5682922</c:v>
                      </c:pt>
                      <c:pt idx="42">
                        <c:v>5985654</c:v>
                      </c:pt>
                      <c:pt idx="43">
                        <c:v>6240709</c:v>
                      </c:pt>
                      <c:pt idx="44">
                        <c:v>6451622</c:v>
                      </c:pt>
                      <c:pt idx="45">
                        <c:v>6623357</c:v>
                      </c:pt>
                      <c:pt idx="46">
                        <c:v>6761440</c:v>
                      </c:pt>
                      <c:pt idx="47">
                        <c:v>6871345</c:v>
                      </c:pt>
                      <c:pt idx="48">
                        <c:v>6958117</c:v>
                      </c:pt>
                      <c:pt idx="49">
                        <c:v>7026190</c:v>
                      </c:pt>
                      <c:pt idx="50">
                        <c:v>7079325</c:v>
                      </c:pt>
                      <c:pt idx="51">
                        <c:v>7120639</c:v>
                      </c:pt>
                      <c:pt idx="52">
                        <c:v>7152663</c:v>
                      </c:pt>
                      <c:pt idx="53">
                        <c:v>7177428</c:v>
                      </c:pt>
                      <c:pt idx="54">
                        <c:v>7196545</c:v>
                      </c:pt>
                      <c:pt idx="55">
                        <c:v>7211281</c:v>
                      </c:pt>
                      <c:pt idx="56">
                        <c:v>7222627</c:v>
                      </c:pt>
                      <c:pt idx="57">
                        <c:v>7231356</c:v>
                      </c:pt>
                      <c:pt idx="58">
                        <c:v>7238067</c:v>
                      </c:pt>
                      <c:pt idx="59">
                        <c:v>7243225</c:v>
                      </c:pt>
                      <c:pt idx="60">
                        <c:v>7247187</c:v>
                      </c:pt>
                      <c:pt idx="61">
                        <c:v>7250229</c:v>
                      </c:pt>
                      <c:pt idx="62">
                        <c:v>7252565</c:v>
                      </c:pt>
                      <c:pt idx="63">
                        <c:v>7254358</c:v>
                      </c:pt>
                      <c:pt idx="64">
                        <c:v>7255734</c:v>
                      </c:pt>
                      <c:pt idx="65">
                        <c:v>7256791</c:v>
                      </c:pt>
                      <c:pt idx="66">
                        <c:v>7257601</c:v>
                      </c:pt>
                      <c:pt idx="67">
                        <c:v>7258223</c:v>
                      </c:pt>
                      <c:pt idx="68">
                        <c:v>7258701</c:v>
                      </c:pt>
                      <c:pt idx="69">
                        <c:v>7259067</c:v>
                      </c:pt>
                      <c:pt idx="70">
                        <c:v>7259348</c:v>
                      </c:pt>
                      <c:pt idx="71">
                        <c:v>7259563</c:v>
                      </c:pt>
                      <c:pt idx="72">
                        <c:v>7259729</c:v>
                      </c:pt>
                      <c:pt idx="73">
                        <c:v>7259856</c:v>
                      </c:pt>
                      <c:pt idx="74">
                        <c:v>7259953</c:v>
                      </c:pt>
                      <c:pt idx="75">
                        <c:v>7260028</c:v>
                      </c:pt>
                      <c:pt idx="76">
                        <c:v>7260085</c:v>
                      </c:pt>
                      <c:pt idx="77">
                        <c:v>7260129</c:v>
                      </c:pt>
                      <c:pt idx="78">
                        <c:v>7260163</c:v>
                      </c:pt>
                      <c:pt idx="79">
                        <c:v>7260189</c:v>
                      </c:pt>
                      <c:pt idx="80">
                        <c:v>7260209</c:v>
                      </c:pt>
                      <c:pt idx="81">
                        <c:v>7260224</c:v>
                      </c:pt>
                      <c:pt idx="82">
                        <c:v>7260235</c:v>
                      </c:pt>
                      <c:pt idx="83">
                        <c:v>7260244</c:v>
                      </c:pt>
                      <c:pt idx="84">
                        <c:v>7260251</c:v>
                      </c:pt>
                      <c:pt idx="85">
                        <c:v>7260257</c:v>
                      </c:pt>
                      <c:pt idx="86">
                        <c:v>7260261</c:v>
                      </c:pt>
                      <c:pt idx="87">
                        <c:v>7260264</c:v>
                      </c:pt>
                      <c:pt idx="88">
                        <c:v>7260266</c:v>
                      </c:pt>
                      <c:pt idx="89">
                        <c:v>7260268</c:v>
                      </c:pt>
                      <c:pt idx="90">
                        <c:v>7260269</c:v>
                      </c:pt>
                      <c:pt idx="91">
                        <c:v>7260270</c:v>
                      </c:pt>
                      <c:pt idx="92">
                        <c:v>7260271</c:v>
                      </c:pt>
                      <c:pt idx="93">
                        <c:v>7260272</c:v>
                      </c:pt>
                      <c:pt idx="94">
                        <c:v>7260272</c:v>
                      </c:pt>
                      <c:pt idx="95">
                        <c:v>7260273</c:v>
                      </c:pt>
                      <c:pt idx="96">
                        <c:v>7260273</c:v>
                      </c:pt>
                      <c:pt idx="97">
                        <c:v>7260273</c:v>
                      </c:pt>
                      <c:pt idx="98">
                        <c:v>7260273</c:v>
                      </c:pt>
                      <c:pt idx="99">
                        <c:v>7260274</c:v>
                      </c:pt>
                      <c:pt idx="100">
                        <c:v>7260274</c:v>
                      </c:pt>
                      <c:pt idx="101">
                        <c:v>7260274</c:v>
                      </c:pt>
                      <c:pt idx="102">
                        <c:v>7260274</c:v>
                      </c:pt>
                      <c:pt idx="103">
                        <c:v>7260274</c:v>
                      </c:pt>
                      <c:pt idx="104">
                        <c:v>7260274</c:v>
                      </c:pt>
                      <c:pt idx="105">
                        <c:v>7260274</c:v>
                      </c:pt>
                      <c:pt idx="106">
                        <c:v>7260274</c:v>
                      </c:pt>
                      <c:pt idx="107">
                        <c:v>7260274</c:v>
                      </c:pt>
                      <c:pt idx="108">
                        <c:v>7260274</c:v>
                      </c:pt>
                      <c:pt idx="109">
                        <c:v>7260274</c:v>
                      </c:pt>
                      <c:pt idx="110">
                        <c:v>7260274</c:v>
                      </c:pt>
                      <c:pt idx="111">
                        <c:v>7260274</c:v>
                      </c:pt>
                      <c:pt idx="112">
                        <c:v>7260274</c:v>
                      </c:pt>
                      <c:pt idx="113">
                        <c:v>7260274</c:v>
                      </c:pt>
                      <c:pt idx="114">
                        <c:v>7260274</c:v>
                      </c:pt>
                      <c:pt idx="115">
                        <c:v>7260274</c:v>
                      </c:pt>
                      <c:pt idx="116">
                        <c:v>7260274</c:v>
                      </c:pt>
                      <c:pt idx="117">
                        <c:v>7260274</c:v>
                      </c:pt>
                      <c:pt idx="118">
                        <c:v>7260274</c:v>
                      </c:pt>
                      <c:pt idx="119">
                        <c:v>7260274</c:v>
                      </c:pt>
                      <c:pt idx="120">
                        <c:v>7260274</c:v>
                      </c:pt>
                      <c:pt idx="121">
                        <c:v>7260274</c:v>
                      </c:pt>
                      <c:pt idx="122">
                        <c:v>7260274</c:v>
                      </c:pt>
                      <c:pt idx="123">
                        <c:v>7260274</c:v>
                      </c:pt>
                      <c:pt idx="124">
                        <c:v>7260274</c:v>
                      </c:pt>
                      <c:pt idx="125">
                        <c:v>7260274</c:v>
                      </c:pt>
                      <c:pt idx="126">
                        <c:v>7260274</c:v>
                      </c:pt>
                      <c:pt idx="127">
                        <c:v>7260274</c:v>
                      </c:pt>
                      <c:pt idx="128">
                        <c:v>7260274</c:v>
                      </c:pt>
                      <c:pt idx="129">
                        <c:v>7260274</c:v>
                      </c:pt>
                      <c:pt idx="130">
                        <c:v>7260274</c:v>
                      </c:pt>
                      <c:pt idx="131">
                        <c:v>7260274</c:v>
                      </c:pt>
                      <c:pt idx="132">
                        <c:v>7260274</c:v>
                      </c:pt>
                      <c:pt idx="133">
                        <c:v>7260274</c:v>
                      </c:pt>
                      <c:pt idx="134">
                        <c:v>7260274</c:v>
                      </c:pt>
                      <c:pt idx="135">
                        <c:v>7260274</c:v>
                      </c:pt>
                      <c:pt idx="136">
                        <c:v>7260274</c:v>
                      </c:pt>
                      <c:pt idx="137">
                        <c:v>7260274</c:v>
                      </c:pt>
                      <c:pt idx="138">
                        <c:v>7260274</c:v>
                      </c:pt>
                      <c:pt idx="139">
                        <c:v>7260274</c:v>
                      </c:pt>
                      <c:pt idx="140">
                        <c:v>7260274</c:v>
                      </c:pt>
                      <c:pt idx="141">
                        <c:v>7260274</c:v>
                      </c:pt>
                      <c:pt idx="142">
                        <c:v>7260274</c:v>
                      </c:pt>
                      <c:pt idx="143">
                        <c:v>7260274</c:v>
                      </c:pt>
                      <c:pt idx="144">
                        <c:v>7260274</c:v>
                      </c:pt>
                      <c:pt idx="145">
                        <c:v>7260274</c:v>
                      </c:pt>
                      <c:pt idx="146">
                        <c:v>7260274</c:v>
                      </c:pt>
                      <c:pt idx="147">
                        <c:v>7260274</c:v>
                      </c:pt>
                      <c:pt idx="148">
                        <c:v>7260274</c:v>
                      </c:pt>
                      <c:pt idx="149">
                        <c:v>7260274</c:v>
                      </c:pt>
                      <c:pt idx="150">
                        <c:v>7260274</c:v>
                      </c:pt>
                      <c:pt idx="151">
                        <c:v>7260274</c:v>
                      </c:pt>
                      <c:pt idx="152">
                        <c:v>7260274</c:v>
                      </c:pt>
                      <c:pt idx="153">
                        <c:v>7260274</c:v>
                      </c:pt>
                      <c:pt idx="154">
                        <c:v>7260274</c:v>
                      </c:pt>
                      <c:pt idx="155">
                        <c:v>7260274</c:v>
                      </c:pt>
                      <c:pt idx="156">
                        <c:v>7260274</c:v>
                      </c:pt>
                      <c:pt idx="157">
                        <c:v>7260274</c:v>
                      </c:pt>
                      <c:pt idx="158">
                        <c:v>7260274</c:v>
                      </c:pt>
                      <c:pt idx="159">
                        <c:v>7260274</c:v>
                      </c:pt>
                      <c:pt idx="160">
                        <c:v>7260274</c:v>
                      </c:pt>
                      <c:pt idx="161">
                        <c:v>7260274</c:v>
                      </c:pt>
                      <c:pt idx="162">
                        <c:v>7260274</c:v>
                      </c:pt>
                      <c:pt idx="163">
                        <c:v>7260274</c:v>
                      </c:pt>
                      <c:pt idx="164">
                        <c:v>7260274</c:v>
                      </c:pt>
                      <c:pt idx="165">
                        <c:v>7260274</c:v>
                      </c:pt>
                      <c:pt idx="166">
                        <c:v>7260274</c:v>
                      </c:pt>
                      <c:pt idx="167">
                        <c:v>7260274</c:v>
                      </c:pt>
                      <c:pt idx="168">
                        <c:v>7260274</c:v>
                      </c:pt>
                      <c:pt idx="169">
                        <c:v>7260274</c:v>
                      </c:pt>
                      <c:pt idx="170">
                        <c:v>7260274</c:v>
                      </c:pt>
                      <c:pt idx="171">
                        <c:v>7260274</c:v>
                      </c:pt>
                      <c:pt idx="172">
                        <c:v>7260274</c:v>
                      </c:pt>
                      <c:pt idx="173">
                        <c:v>7260274</c:v>
                      </c:pt>
                      <c:pt idx="174">
                        <c:v>7260274</c:v>
                      </c:pt>
                      <c:pt idx="175">
                        <c:v>7260274</c:v>
                      </c:pt>
                      <c:pt idx="176">
                        <c:v>7260274</c:v>
                      </c:pt>
                      <c:pt idx="177">
                        <c:v>7260274</c:v>
                      </c:pt>
                      <c:pt idx="178">
                        <c:v>7260274</c:v>
                      </c:pt>
                      <c:pt idx="179">
                        <c:v>7260274</c:v>
                      </c:pt>
                      <c:pt idx="180">
                        <c:v>7260274</c:v>
                      </c:pt>
                      <c:pt idx="181">
                        <c:v>7260274</c:v>
                      </c:pt>
                      <c:pt idx="182">
                        <c:v>7260274</c:v>
                      </c:pt>
                      <c:pt idx="183">
                        <c:v>7260274</c:v>
                      </c:pt>
                      <c:pt idx="184">
                        <c:v>7260274</c:v>
                      </c:pt>
                      <c:pt idx="185">
                        <c:v>7260274</c:v>
                      </c:pt>
                      <c:pt idx="186">
                        <c:v>7260274</c:v>
                      </c:pt>
                      <c:pt idx="187">
                        <c:v>7260274</c:v>
                      </c:pt>
                      <c:pt idx="188">
                        <c:v>7260274</c:v>
                      </c:pt>
                      <c:pt idx="189">
                        <c:v>7260274</c:v>
                      </c:pt>
                      <c:pt idx="190">
                        <c:v>7260274</c:v>
                      </c:pt>
                      <c:pt idx="191">
                        <c:v>7260274</c:v>
                      </c:pt>
                      <c:pt idx="192">
                        <c:v>7260274</c:v>
                      </c:pt>
                      <c:pt idx="193">
                        <c:v>7260274</c:v>
                      </c:pt>
                      <c:pt idx="194">
                        <c:v>7260274</c:v>
                      </c:pt>
                      <c:pt idx="195">
                        <c:v>7260274</c:v>
                      </c:pt>
                      <c:pt idx="196">
                        <c:v>7260274</c:v>
                      </c:pt>
                      <c:pt idx="197">
                        <c:v>7260274</c:v>
                      </c:pt>
                      <c:pt idx="198">
                        <c:v>7260274</c:v>
                      </c:pt>
                      <c:pt idx="199">
                        <c:v>7260274</c:v>
                      </c:pt>
                      <c:pt idx="200">
                        <c:v>7260274</c:v>
                      </c:pt>
                      <c:pt idx="201">
                        <c:v>7260274</c:v>
                      </c:pt>
                      <c:pt idx="202">
                        <c:v>7260274</c:v>
                      </c:pt>
                      <c:pt idx="203">
                        <c:v>7260274</c:v>
                      </c:pt>
                      <c:pt idx="204">
                        <c:v>7260274</c:v>
                      </c:pt>
                      <c:pt idx="205">
                        <c:v>7260274</c:v>
                      </c:pt>
                      <c:pt idx="206">
                        <c:v>7260274</c:v>
                      </c:pt>
                      <c:pt idx="207">
                        <c:v>7260274</c:v>
                      </c:pt>
                      <c:pt idx="208">
                        <c:v>7260274</c:v>
                      </c:pt>
                      <c:pt idx="209">
                        <c:v>7260274</c:v>
                      </c:pt>
                      <c:pt idx="210">
                        <c:v>7260274</c:v>
                      </c:pt>
                      <c:pt idx="211">
                        <c:v>7260274</c:v>
                      </c:pt>
                      <c:pt idx="212">
                        <c:v>7260274</c:v>
                      </c:pt>
                      <c:pt idx="213">
                        <c:v>7260274</c:v>
                      </c:pt>
                      <c:pt idx="214">
                        <c:v>7260274</c:v>
                      </c:pt>
                      <c:pt idx="215">
                        <c:v>7260274</c:v>
                      </c:pt>
                      <c:pt idx="216">
                        <c:v>7260274</c:v>
                      </c:pt>
                      <c:pt idx="217">
                        <c:v>7260274</c:v>
                      </c:pt>
                      <c:pt idx="218">
                        <c:v>7260274</c:v>
                      </c:pt>
                      <c:pt idx="219">
                        <c:v>7260274</c:v>
                      </c:pt>
                      <c:pt idx="220">
                        <c:v>7260274</c:v>
                      </c:pt>
                      <c:pt idx="221">
                        <c:v>7260274</c:v>
                      </c:pt>
                      <c:pt idx="222">
                        <c:v>7260274</c:v>
                      </c:pt>
                      <c:pt idx="223">
                        <c:v>7260274</c:v>
                      </c:pt>
                      <c:pt idx="224">
                        <c:v>7260274</c:v>
                      </c:pt>
                      <c:pt idx="225">
                        <c:v>7260274</c:v>
                      </c:pt>
                      <c:pt idx="226">
                        <c:v>7260274</c:v>
                      </c:pt>
                      <c:pt idx="227">
                        <c:v>7260274</c:v>
                      </c:pt>
                      <c:pt idx="228">
                        <c:v>7260274</c:v>
                      </c:pt>
                      <c:pt idx="229">
                        <c:v>7260274</c:v>
                      </c:pt>
                      <c:pt idx="230">
                        <c:v>7260274</c:v>
                      </c:pt>
                      <c:pt idx="231">
                        <c:v>7260274</c:v>
                      </c:pt>
                      <c:pt idx="232">
                        <c:v>7260274</c:v>
                      </c:pt>
                      <c:pt idx="233">
                        <c:v>7260274</c:v>
                      </c:pt>
                      <c:pt idx="234">
                        <c:v>7260274</c:v>
                      </c:pt>
                      <c:pt idx="235">
                        <c:v>7260274</c:v>
                      </c:pt>
                      <c:pt idx="236">
                        <c:v>7260274</c:v>
                      </c:pt>
                      <c:pt idx="237">
                        <c:v>7260274</c:v>
                      </c:pt>
                      <c:pt idx="238">
                        <c:v>7260274</c:v>
                      </c:pt>
                      <c:pt idx="239">
                        <c:v>7260274</c:v>
                      </c:pt>
                      <c:pt idx="240">
                        <c:v>7260274</c:v>
                      </c:pt>
                      <c:pt idx="241">
                        <c:v>7260274</c:v>
                      </c:pt>
                      <c:pt idx="242">
                        <c:v>7260274</c:v>
                      </c:pt>
                      <c:pt idx="243">
                        <c:v>7260274</c:v>
                      </c:pt>
                      <c:pt idx="244">
                        <c:v>7260274</c:v>
                      </c:pt>
                      <c:pt idx="245">
                        <c:v>7260274</c:v>
                      </c:pt>
                      <c:pt idx="246">
                        <c:v>7260274</c:v>
                      </c:pt>
                      <c:pt idx="247">
                        <c:v>7260274</c:v>
                      </c:pt>
                      <c:pt idx="248">
                        <c:v>7260274</c:v>
                      </c:pt>
                      <c:pt idx="249">
                        <c:v>7260274</c:v>
                      </c:pt>
                      <c:pt idx="250">
                        <c:v>7260274</c:v>
                      </c:pt>
                      <c:pt idx="251">
                        <c:v>7260274</c:v>
                      </c:pt>
                      <c:pt idx="252">
                        <c:v>7260274</c:v>
                      </c:pt>
                      <c:pt idx="253">
                        <c:v>7260274</c:v>
                      </c:pt>
                      <c:pt idx="254">
                        <c:v>7260274</c:v>
                      </c:pt>
                      <c:pt idx="255">
                        <c:v>7260274</c:v>
                      </c:pt>
                      <c:pt idx="256">
                        <c:v>7260274</c:v>
                      </c:pt>
                      <c:pt idx="257">
                        <c:v>7260274</c:v>
                      </c:pt>
                      <c:pt idx="258">
                        <c:v>7260274</c:v>
                      </c:pt>
                      <c:pt idx="259">
                        <c:v>7260274</c:v>
                      </c:pt>
                      <c:pt idx="260">
                        <c:v>7260274</c:v>
                      </c:pt>
                      <c:pt idx="261">
                        <c:v>7260274</c:v>
                      </c:pt>
                      <c:pt idx="262">
                        <c:v>7260274</c:v>
                      </c:pt>
                      <c:pt idx="263">
                        <c:v>7260274</c:v>
                      </c:pt>
                      <c:pt idx="264">
                        <c:v>7260274</c:v>
                      </c:pt>
                      <c:pt idx="265">
                        <c:v>7260274</c:v>
                      </c:pt>
                      <c:pt idx="266">
                        <c:v>7260274</c:v>
                      </c:pt>
                      <c:pt idx="267">
                        <c:v>7260274</c:v>
                      </c:pt>
                      <c:pt idx="268">
                        <c:v>7260274</c:v>
                      </c:pt>
                      <c:pt idx="269">
                        <c:v>7260274</c:v>
                      </c:pt>
                      <c:pt idx="270">
                        <c:v>7260274</c:v>
                      </c:pt>
                      <c:pt idx="271">
                        <c:v>7260274</c:v>
                      </c:pt>
                      <c:pt idx="272">
                        <c:v>7260274</c:v>
                      </c:pt>
                      <c:pt idx="273">
                        <c:v>7260274</c:v>
                      </c:pt>
                      <c:pt idx="274">
                        <c:v>7260274</c:v>
                      </c:pt>
                      <c:pt idx="275">
                        <c:v>7260274</c:v>
                      </c:pt>
                      <c:pt idx="276">
                        <c:v>7260274</c:v>
                      </c:pt>
                      <c:pt idx="277">
                        <c:v>7260274</c:v>
                      </c:pt>
                      <c:pt idx="278">
                        <c:v>7260274</c:v>
                      </c:pt>
                      <c:pt idx="279">
                        <c:v>7260274</c:v>
                      </c:pt>
                      <c:pt idx="280">
                        <c:v>7260274</c:v>
                      </c:pt>
                      <c:pt idx="281">
                        <c:v>7260274</c:v>
                      </c:pt>
                      <c:pt idx="282">
                        <c:v>7260274</c:v>
                      </c:pt>
                      <c:pt idx="283">
                        <c:v>7260274</c:v>
                      </c:pt>
                      <c:pt idx="284">
                        <c:v>7260274</c:v>
                      </c:pt>
                      <c:pt idx="285">
                        <c:v>7260274</c:v>
                      </c:pt>
                      <c:pt idx="286">
                        <c:v>7260274</c:v>
                      </c:pt>
                      <c:pt idx="287">
                        <c:v>7260274</c:v>
                      </c:pt>
                      <c:pt idx="288">
                        <c:v>7260274</c:v>
                      </c:pt>
                      <c:pt idx="289">
                        <c:v>7260274</c:v>
                      </c:pt>
                      <c:pt idx="290">
                        <c:v>7260274</c:v>
                      </c:pt>
                      <c:pt idx="291">
                        <c:v>7260274</c:v>
                      </c:pt>
                      <c:pt idx="292">
                        <c:v>7260274</c:v>
                      </c:pt>
                      <c:pt idx="293">
                        <c:v>7260274</c:v>
                      </c:pt>
                      <c:pt idx="294">
                        <c:v>7260274</c:v>
                      </c:pt>
                      <c:pt idx="295">
                        <c:v>7260274</c:v>
                      </c:pt>
                      <c:pt idx="296">
                        <c:v>7260274</c:v>
                      </c:pt>
                      <c:pt idx="297">
                        <c:v>7260274</c:v>
                      </c:pt>
                      <c:pt idx="298">
                        <c:v>7260274</c:v>
                      </c:pt>
                      <c:pt idx="299">
                        <c:v>7260274</c:v>
                      </c:pt>
                      <c:pt idx="300">
                        <c:v>7260274</c:v>
                      </c:pt>
                      <c:pt idx="301">
                        <c:v>7260274</c:v>
                      </c:pt>
                      <c:pt idx="302">
                        <c:v>7260274</c:v>
                      </c:pt>
                      <c:pt idx="303">
                        <c:v>7260274</c:v>
                      </c:pt>
                      <c:pt idx="304">
                        <c:v>7260274</c:v>
                      </c:pt>
                      <c:pt idx="305">
                        <c:v>7260274</c:v>
                      </c:pt>
                    </c:numCache>
                  </c:numRef>
                </c:yVal>
                <c:smooth val="0"/>
                <c:extLst>
                  <c:ext xmlns:c16="http://schemas.microsoft.com/office/drawing/2014/chart" uri="{C3380CC4-5D6E-409C-BE32-E72D297353CC}">
                    <c16:uniqueId val="{00000005-6893-443E-9A8F-D9A984D6030C}"/>
                  </c:ext>
                </c:extLst>
              </c15:ser>
            </c15:filteredScatterSeries>
            <c15:filteredScatterSeries>
              <c15:ser>
                <c:idx val="14"/>
                <c:order val="12"/>
                <c:tx>
                  <c:v>Hypothetical SIS Model SARS - Death</c:v>
                </c:tx>
                <c:spPr>
                  <a:ln w="25400" cap="rnd">
                    <a:noFill/>
                    <a:round/>
                  </a:ln>
                  <a:effectLst/>
                </c:spPr>
                <c:marker>
                  <c:symbol val="triangle"/>
                  <c:size val="5"/>
                  <c:spPr>
                    <a:solidFill>
                      <a:srgbClr val="FF0000"/>
                    </a:solidFill>
                    <a:ln w="9525">
                      <a:solidFill>
                        <a:srgbClr val="180000"/>
                      </a:solidFill>
                    </a:ln>
                    <a:effectLst/>
                  </c:spPr>
                </c:marker>
                <c:xVal>
                  <c:numRef>
                    <c:extLst xmlns:c15="http://schemas.microsoft.com/office/drawing/2012/chart">
                      <c:ext xmlns:c15="http://schemas.microsoft.com/office/drawing/2012/chart" uri="{02D57815-91ED-43cb-92C2-25804820EDAC}">
                        <c15:formulaRef>
                          <c15:sqref>Data!$A$25:$A$308</c15:sqref>
                        </c15:formulaRef>
                      </c:ext>
                    </c:extLst>
                    <c:numCache>
                      <c:formatCode>d\-mmm</c:formatCode>
                      <c:ptCount val="284"/>
                      <c:pt idx="0">
                        <c:v>43913</c:v>
                      </c:pt>
                      <c:pt idx="1">
                        <c:v>43914</c:v>
                      </c:pt>
                      <c:pt idx="2">
                        <c:v>43915</c:v>
                      </c:pt>
                      <c:pt idx="3">
                        <c:v>43916</c:v>
                      </c:pt>
                      <c:pt idx="4">
                        <c:v>43917</c:v>
                      </c:pt>
                      <c:pt idx="5">
                        <c:v>43918</c:v>
                      </c:pt>
                      <c:pt idx="6">
                        <c:v>43919</c:v>
                      </c:pt>
                      <c:pt idx="7">
                        <c:v>43920</c:v>
                      </c:pt>
                      <c:pt idx="8">
                        <c:v>43921</c:v>
                      </c:pt>
                      <c:pt idx="9">
                        <c:v>43922</c:v>
                      </c:pt>
                      <c:pt idx="10">
                        <c:v>43923</c:v>
                      </c:pt>
                      <c:pt idx="11">
                        <c:v>43924</c:v>
                      </c:pt>
                      <c:pt idx="12">
                        <c:v>43925</c:v>
                      </c:pt>
                      <c:pt idx="13">
                        <c:v>43926</c:v>
                      </c:pt>
                      <c:pt idx="14">
                        <c:v>43927</c:v>
                      </c:pt>
                      <c:pt idx="15">
                        <c:v>43928</c:v>
                      </c:pt>
                      <c:pt idx="16">
                        <c:v>43929</c:v>
                      </c:pt>
                      <c:pt idx="17">
                        <c:v>43930</c:v>
                      </c:pt>
                      <c:pt idx="18">
                        <c:v>43931</c:v>
                      </c:pt>
                      <c:pt idx="19">
                        <c:v>43932</c:v>
                      </c:pt>
                      <c:pt idx="20">
                        <c:v>43933</c:v>
                      </c:pt>
                      <c:pt idx="21">
                        <c:v>43934</c:v>
                      </c:pt>
                      <c:pt idx="22">
                        <c:v>43935</c:v>
                      </c:pt>
                      <c:pt idx="23">
                        <c:v>43936</c:v>
                      </c:pt>
                      <c:pt idx="24">
                        <c:v>43937</c:v>
                      </c:pt>
                      <c:pt idx="25">
                        <c:v>43938</c:v>
                      </c:pt>
                      <c:pt idx="26">
                        <c:v>43939</c:v>
                      </c:pt>
                      <c:pt idx="27">
                        <c:v>43940</c:v>
                      </c:pt>
                      <c:pt idx="28">
                        <c:v>43941</c:v>
                      </c:pt>
                      <c:pt idx="29">
                        <c:v>43942</c:v>
                      </c:pt>
                      <c:pt idx="30">
                        <c:v>43943</c:v>
                      </c:pt>
                      <c:pt idx="31">
                        <c:v>43944</c:v>
                      </c:pt>
                      <c:pt idx="32">
                        <c:v>43945</c:v>
                      </c:pt>
                      <c:pt idx="33">
                        <c:v>43946</c:v>
                      </c:pt>
                      <c:pt idx="34">
                        <c:v>43947</c:v>
                      </c:pt>
                      <c:pt idx="35">
                        <c:v>43948</c:v>
                      </c:pt>
                      <c:pt idx="36">
                        <c:v>43949</c:v>
                      </c:pt>
                      <c:pt idx="37">
                        <c:v>43950</c:v>
                      </c:pt>
                      <c:pt idx="38">
                        <c:v>43951</c:v>
                      </c:pt>
                      <c:pt idx="39">
                        <c:v>43952</c:v>
                      </c:pt>
                      <c:pt idx="40">
                        <c:v>43953</c:v>
                      </c:pt>
                      <c:pt idx="41">
                        <c:v>43954</c:v>
                      </c:pt>
                      <c:pt idx="42">
                        <c:v>43955</c:v>
                      </c:pt>
                      <c:pt idx="43">
                        <c:v>43956</c:v>
                      </c:pt>
                      <c:pt idx="44">
                        <c:v>43957</c:v>
                      </c:pt>
                      <c:pt idx="45">
                        <c:v>43958</c:v>
                      </c:pt>
                      <c:pt idx="46">
                        <c:v>43959</c:v>
                      </c:pt>
                      <c:pt idx="47">
                        <c:v>43960</c:v>
                      </c:pt>
                      <c:pt idx="48">
                        <c:v>43961</c:v>
                      </c:pt>
                      <c:pt idx="49">
                        <c:v>43962</c:v>
                      </c:pt>
                      <c:pt idx="50">
                        <c:v>43963</c:v>
                      </c:pt>
                      <c:pt idx="51">
                        <c:v>43964</c:v>
                      </c:pt>
                      <c:pt idx="52">
                        <c:v>43965</c:v>
                      </c:pt>
                      <c:pt idx="53">
                        <c:v>43966</c:v>
                      </c:pt>
                      <c:pt idx="54">
                        <c:v>43967</c:v>
                      </c:pt>
                      <c:pt idx="55">
                        <c:v>43968</c:v>
                      </c:pt>
                      <c:pt idx="56">
                        <c:v>43969</c:v>
                      </c:pt>
                      <c:pt idx="57">
                        <c:v>43970</c:v>
                      </c:pt>
                      <c:pt idx="58">
                        <c:v>43971</c:v>
                      </c:pt>
                      <c:pt idx="59">
                        <c:v>43972</c:v>
                      </c:pt>
                      <c:pt idx="60">
                        <c:v>43973</c:v>
                      </c:pt>
                      <c:pt idx="61">
                        <c:v>43974</c:v>
                      </c:pt>
                      <c:pt idx="62">
                        <c:v>43975</c:v>
                      </c:pt>
                      <c:pt idx="63">
                        <c:v>43976</c:v>
                      </c:pt>
                      <c:pt idx="64">
                        <c:v>43977</c:v>
                      </c:pt>
                      <c:pt idx="65">
                        <c:v>43978</c:v>
                      </c:pt>
                      <c:pt idx="66">
                        <c:v>43979</c:v>
                      </c:pt>
                      <c:pt idx="67">
                        <c:v>43980</c:v>
                      </c:pt>
                      <c:pt idx="68">
                        <c:v>43981</c:v>
                      </c:pt>
                      <c:pt idx="69">
                        <c:v>43982</c:v>
                      </c:pt>
                      <c:pt idx="70">
                        <c:v>43983</c:v>
                      </c:pt>
                      <c:pt idx="71">
                        <c:v>43984</c:v>
                      </c:pt>
                      <c:pt idx="72">
                        <c:v>43985</c:v>
                      </c:pt>
                      <c:pt idx="73">
                        <c:v>43986</c:v>
                      </c:pt>
                      <c:pt idx="74">
                        <c:v>43987</c:v>
                      </c:pt>
                      <c:pt idx="75">
                        <c:v>43988</c:v>
                      </c:pt>
                      <c:pt idx="76">
                        <c:v>43989</c:v>
                      </c:pt>
                      <c:pt idx="77">
                        <c:v>43990</c:v>
                      </c:pt>
                      <c:pt idx="78">
                        <c:v>43991</c:v>
                      </c:pt>
                      <c:pt idx="79">
                        <c:v>43992</c:v>
                      </c:pt>
                      <c:pt idx="80">
                        <c:v>43993</c:v>
                      </c:pt>
                      <c:pt idx="81">
                        <c:v>43994</c:v>
                      </c:pt>
                      <c:pt idx="82">
                        <c:v>43995</c:v>
                      </c:pt>
                      <c:pt idx="83">
                        <c:v>43996</c:v>
                      </c:pt>
                      <c:pt idx="84">
                        <c:v>43997</c:v>
                      </c:pt>
                      <c:pt idx="85">
                        <c:v>43998</c:v>
                      </c:pt>
                      <c:pt idx="86">
                        <c:v>43999</c:v>
                      </c:pt>
                      <c:pt idx="87">
                        <c:v>44000</c:v>
                      </c:pt>
                      <c:pt idx="88">
                        <c:v>44001</c:v>
                      </c:pt>
                      <c:pt idx="89">
                        <c:v>44002</c:v>
                      </c:pt>
                      <c:pt idx="90">
                        <c:v>44003</c:v>
                      </c:pt>
                      <c:pt idx="91">
                        <c:v>44004</c:v>
                      </c:pt>
                      <c:pt idx="92">
                        <c:v>44005</c:v>
                      </c:pt>
                      <c:pt idx="93">
                        <c:v>44006</c:v>
                      </c:pt>
                      <c:pt idx="94">
                        <c:v>44007</c:v>
                      </c:pt>
                      <c:pt idx="95">
                        <c:v>44008</c:v>
                      </c:pt>
                      <c:pt idx="96">
                        <c:v>44009</c:v>
                      </c:pt>
                      <c:pt idx="97">
                        <c:v>44010</c:v>
                      </c:pt>
                      <c:pt idx="98">
                        <c:v>44011</c:v>
                      </c:pt>
                      <c:pt idx="99">
                        <c:v>44012</c:v>
                      </c:pt>
                      <c:pt idx="100">
                        <c:v>44013</c:v>
                      </c:pt>
                      <c:pt idx="101">
                        <c:v>44014</c:v>
                      </c:pt>
                      <c:pt idx="102">
                        <c:v>44015</c:v>
                      </c:pt>
                      <c:pt idx="103">
                        <c:v>44016</c:v>
                      </c:pt>
                      <c:pt idx="104">
                        <c:v>44017</c:v>
                      </c:pt>
                      <c:pt idx="105">
                        <c:v>44018</c:v>
                      </c:pt>
                      <c:pt idx="106">
                        <c:v>44019</c:v>
                      </c:pt>
                      <c:pt idx="107">
                        <c:v>44020</c:v>
                      </c:pt>
                      <c:pt idx="108">
                        <c:v>44021</c:v>
                      </c:pt>
                      <c:pt idx="109">
                        <c:v>44022</c:v>
                      </c:pt>
                      <c:pt idx="110">
                        <c:v>44023</c:v>
                      </c:pt>
                      <c:pt idx="111">
                        <c:v>44024</c:v>
                      </c:pt>
                      <c:pt idx="112">
                        <c:v>44025</c:v>
                      </c:pt>
                      <c:pt idx="113">
                        <c:v>44026</c:v>
                      </c:pt>
                      <c:pt idx="114">
                        <c:v>44027</c:v>
                      </c:pt>
                      <c:pt idx="115">
                        <c:v>44028</c:v>
                      </c:pt>
                      <c:pt idx="116">
                        <c:v>44029</c:v>
                      </c:pt>
                      <c:pt idx="117">
                        <c:v>44030</c:v>
                      </c:pt>
                      <c:pt idx="118">
                        <c:v>44031</c:v>
                      </c:pt>
                      <c:pt idx="119">
                        <c:v>44032</c:v>
                      </c:pt>
                      <c:pt idx="120">
                        <c:v>44033</c:v>
                      </c:pt>
                      <c:pt idx="121">
                        <c:v>44034</c:v>
                      </c:pt>
                      <c:pt idx="122">
                        <c:v>44035</c:v>
                      </c:pt>
                      <c:pt idx="123">
                        <c:v>44036</c:v>
                      </c:pt>
                      <c:pt idx="124">
                        <c:v>44037</c:v>
                      </c:pt>
                      <c:pt idx="125">
                        <c:v>44038</c:v>
                      </c:pt>
                      <c:pt idx="126">
                        <c:v>44039</c:v>
                      </c:pt>
                      <c:pt idx="127">
                        <c:v>44040</c:v>
                      </c:pt>
                      <c:pt idx="128">
                        <c:v>44041</c:v>
                      </c:pt>
                      <c:pt idx="129">
                        <c:v>44042</c:v>
                      </c:pt>
                      <c:pt idx="130">
                        <c:v>44043</c:v>
                      </c:pt>
                      <c:pt idx="131">
                        <c:v>44044</c:v>
                      </c:pt>
                      <c:pt idx="132">
                        <c:v>44045</c:v>
                      </c:pt>
                      <c:pt idx="133">
                        <c:v>44046</c:v>
                      </c:pt>
                      <c:pt idx="134">
                        <c:v>44047</c:v>
                      </c:pt>
                      <c:pt idx="135">
                        <c:v>44048</c:v>
                      </c:pt>
                      <c:pt idx="136">
                        <c:v>44049</c:v>
                      </c:pt>
                      <c:pt idx="137">
                        <c:v>44050</c:v>
                      </c:pt>
                      <c:pt idx="138">
                        <c:v>44051</c:v>
                      </c:pt>
                      <c:pt idx="139">
                        <c:v>44052</c:v>
                      </c:pt>
                      <c:pt idx="140">
                        <c:v>44053</c:v>
                      </c:pt>
                      <c:pt idx="141">
                        <c:v>44054</c:v>
                      </c:pt>
                      <c:pt idx="142">
                        <c:v>44055</c:v>
                      </c:pt>
                      <c:pt idx="143">
                        <c:v>44056</c:v>
                      </c:pt>
                      <c:pt idx="144">
                        <c:v>44057</c:v>
                      </c:pt>
                      <c:pt idx="145">
                        <c:v>44058</c:v>
                      </c:pt>
                      <c:pt idx="146">
                        <c:v>44059</c:v>
                      </c:pt>
                      <c:pt idx="147">
                        <c:v>44060</c:v>
                      </c:pt>
                      <c:pt idx="148">
                        <c:v>44061</c:v>
                      </c:pt>
                      <c:pt idx="149">
                        <c:v>44062</c:v>
                      </c:pt>
                      <c:pt idx="150">
                        <c:v>44063</c:v>
                      </c:pt>
                      <c:pt idx="151">
                        <c:v>44064</c:v>
                      </c:pt>
                      <c:pt idx="152">
                        <c:v>44065</c:v>
                      </c:pt>
                      <c:pt idx="153">
                        <c:v>44066</c:v>
                      </c:pt>
                      <c:pt idx="154">
                        <c:v>44067</c:v>
                      </c:pt>
                      <c:pt idx="155">
                        <c:v>44068</c:v>
                      </c:pt>
                      <c:pt idx="156">
                        <c:v>44069</c:v>
                      </c:pt>
                      <c:pt idx="157">
                        <c:v>44070</c:v>
                      </c:pt>
                      <c:pt idx="158">
                        <c:v>44071</c:v>
                      </c:pt>
                      <c:pt idx="159">
                        <c:v>44072</c:v>
                      </c:pt>
                      <c:pt idx="160">
                        <c:v>44073</c:v>
                      </c:pt>
                      <c:pt idx="161">
                        <c:v>44074</c:v>
                      </c:pt>
                      <c:pt idx="162">
                        <c:v>44075</c:v>
                      </c:pt>
                      <c:pt idx="163">
                        <c:v>44076</c:v>
                      </c:pt>
                      <c:pt idx="164">
                        <c:v>44077</c:v>
                      </c:pt>
                      <c:pt idx="165">
                        <c:v>44078</c:v>
                      </c:pt>
                      <c:pt idx="166">
                        <c:v>44079</c:v>
                      </c:pt>
                      <c:pt idx="167">
                        <c:v>44080</c:v>
                      </c:pt>
                      <c:pt idx="168">
                        <c:v>44081</c:v>
                      </c:pt>
                      <c:pt idx="169">
                        <c:v>44082</c:v>
                      </c:pt>
                      <c:pt idx="170">
                        <c:v>44083</c:v>
                      </c:pt>
                      <c:pt idx="171">
                        <c:v>44084</c:v>
                      </c:pt>
                      <c:pt idx="172">
                        <c:v>44085</c:v>
                      </c:pt>
                      <c:pt idx="173">
                        <c:v>44086</c:v>
                      </c:pt>
                      <c:pt idx="174">
                        <c:v>44087</c:v>
                      </c:pt>
                      <c:pt idx="175">
                        <c:v>44088</c:v>
                      </c:pt>
                      <c:pt idx="176">
                        <c:v>44089</c:v>
                      </c:pt>
                      <c:pt idx="177">
                        <c:v>44090</c:v>
                      </c:pt>
                      <c:pt idx="178">
                        <c:v>44091</c:v>
                      </c:pt>
                      <c:pt idx="179">
                        <c:v>44092</c:v>
                      </c:pt>
                      <c:pt idx="180">
                        <c:v>44093</c:v>
                      </c:pt>
                      <c:pt idx="181">
                        <c:v>44094</c:v>
                      </c:pt>
                      <c:pt idx="182">
                        <c:v>44095</c:v>
                      </c:pt>
                      <c:pt idx="183">
                        <c:v>44096</c:v>
                      </c:pt>
                      <c:pt idx="184">
                        <c:v>44097</c:v>
                      </c:pt>
                      <c:pt idx="185">
                        <c:v>44098</c:v>
                      </c:pt>
                      <c:pt idx="186">
                        <c:v>44099</c:v>
                      </c:pt>
                      <c:pt idx="187">
                        <c:v>44100</c:v>
                      </c:pt>
                      <c:pt idx="188">
                        <c:v>44101</c:v>
                      </c:pt>
                      <c:pt idx="189">
                        <c:v>44102</c:v>
                      </c:pt>
                      <c:pt idx="190">
                        <c:v>44103</c:v>
                      </c:pt>
                      <c:pt idx="191">
                        <c:v>44104</c:v>
                      </c:pt>
                      <c:pt idx="192">
                        <c:v>44105</c:v>
                      </c:pt>
                      <c:pt idx="193">
                        <c:v>44106</c:v>
                      </c:pt>
                      <c:pt idx="194">
                        <c:v>44107</c:v>
                      </c:pt>
                      <c:pt idx="195">
                        <c:v>44108</c:v>
                      </c:pt>
                      <c:pt idx="196">
                        <c:v>44109</c:v>
                      </c:pt>
                      <c:pt idx="197">
                        <c:v>44110</c:v>
                      </c:pt>
                      <c:pt idx="198">
                        <c:v>44111</c:v>
                      </c:pt>
                      <c:pt idx="199">
                        <c:v>44112</c:v>
                      </c:pt>
                      <c:pt idx="200">
                        <c:v>44113</c:v>
                      </c:pt>
                      <c:pt idx="201">
                        <c:v>44114</c:v>
                      </c:pt>
                      <c:pt idx="202">
                        <c:v>44115</c:v>
                      </c:pt>
                      <c:pt idx="203">
                        <c:v>44116</c:v>
                      </c:pt>
                      <c:pt idx="204">
                        <c:v>44117</c:v>
                      </c:pt>
                      <c:pt idx="205">
                        <c:v>44118</c:v>
                      </c:pt>
                      <c:pt idx="206">
                        <c:v>44119</c:v>
                      </c:pt>
                      <c:pt idx="207">
                        <c:v>44120</c:v>
                      </c:pt>
                      <c:pt idx="208">
                        <c:v>44121</c:v>
                      </c:pt>
                      <c:pt idx="209">
                        <c:v>44122</c:v>
                      </c:pt>
                      <c:pt idx="210">
                        <c:v>44123</c:v>
                      </c:pt>
                      <c:pt idx="211">
                        <c:v>44124</c:v>
                      </c:pt>
                      <c:pt idx="212">
                        <c:v>44125</c:v>
                      </c:pt>
                      <c:pt idx="213">
                        <c:v>44126</c:v>
                      </c:pt>
                      <c:pt idx="214">
                        <c:v>44127</c:v>
                      </c:pt>
                      <c:pt idx="215">
                        <c:v>44128</c:v>
                      </c:pt>
                      <c:pt idx="216">
                        <c:v>44129</c:v>
                      </c:pt>
                      <c:pt idx="217">
                        <c:v>44130</c:v>
                      </c:pt>
                      <c:pt idx="218">
                        <c:v>44131</c:v>
                      </c:pt>
                      <c:pt idx="219">
                        <c:v>44132</c:v>
                      </c:pt>
                      <c:pt idx="220">
                        <c:v>44133</c:v>
                      </c:pt>
                      <c:pt idx="221">
                        <c:v>44134</c:v>
                      </c:pt>
                      <c:pt idx="222">
                        <c:v>44135</c:v>
                      </c:pt>
                      <c:pt idx="223">
                        <c:v>44136</c:v>
                      </c:pt>
                      <c:pt idx="224">
                        <c:v>44137</c:v>
                      </c:pt>
                      <c:pt idx="225">
                        <c:v>44138</c:v>
                      </c:pt>
                      <c:pt idx="226">
                        <c:v>44139</c:v>
                      </c:pt>
                      <c:pt idx="227">
                        <c:v>44140</c:v>
                      </c:pt>
                      <c:pt idx="228">
                        <c:v>44141</c:v>
                      </c:pt>
                      <c:pt idx="229">
                        <c:v>44142</c:v>
                      </c:pt>
                      <c:pt idx="230">
                        <c:v>44143</c:v>
                      </c:pt>
                      <c:pt idx="231">
                        <c:v>44144</c:v>
                      </c:pt>
                      <c:pt idx="232">
                        <c:v>44145</c:v>
                      </c:pt>
                      <c:pt idx="233">
                        <c:v>44146</c:v>
                      </c:pt>
                      <c:pt idx="234">
                        <c:v>44147</c:v>
                      </c:pt>
                      <c:pt idx="235">
                        <c:v>44148</c:v>
                      </c:pt>
                      <c:pt idx="236">
                        <c:v>44149</c:v>
                      </c:pt>
                      <c:pt idx="237">
                        <c:v>44150</c:v>
                      </c:pt>
                      <c:pt idx="238">
                        <c:v>44151</c:v>
                      </c:pt>
                      <c:pt idx="239">
                        <c:v>44152</c:v>
                      </c:pt>
                      <c:pt idx="240">
                        <c:v>44153</c:v>
                      </c:pt>
                      <c:pt idx="241">
                        <c:v>44154</c:v>
                      </c:pt>
                      <c:pt idx="242">
                        <c:v>44155</c:v>
                      </c:pt>
                      <c:pt idx="243">
                        <c:v>44156</c:v>
                      </c:pt>
                      <c:pt idx="244">
                        <c:v>44157</c:v>
                      </c:pt>
                      <c:pt idx="245">
                        <c:v>44158</c:v>
                      </c:pt>
                      <c:pt idx="246">
                        <c:v>44159</c:v>
                      </c:pt>
                      <c:pt idx="247">
                        <c:v>44160</c:v>
                      </c:pt>
                      <c:pt idx="248">
                        <c:v>44161</c:v>
                      </c:pt>
                      <c:pt idx="249">
                        <c:v>44162</c:v>
                      </c:pt>
                      <c:pt idx="250">
                        <c:v>44163</c:v>
                      </c:pt>
                      <c:pt idx="251">
                        <c:v>44164</c:v>
                      </c:pt>
                      <c:pt idx="252">
                        <c:v>44165</c:v>
                      </c:pt>
                      <c:pt idx="253">
                        <c:v>44166</c:v>
                      </c:pt>
                      <c:pt idx="254">
                        <c:v>44167</c:v>
                      </c:pt>
                      <c:pt idx="255">
                        <c:v>44168</c:v>
                      </c:pt>
                      <c:pt idx="256">
                        <c:v>44169</c:v>
                      </c:pt>
                      <c:pt idx="257">
                        <c:v>44170</c:v>
                      </c:pt>
                      <c:pt idx="258">
                        <c:v>44171</c:v>
                      </c:pt>
                      <c:pt idx="259">
                        <c:v>44172</c:v>
                      </c:pt>
                      <c:pt idx="260">
                        <c:v>44173</c:v>
                      </c:pt>
                      <c:pt idx="261">
                        <c:v>44174</c:v>
                      </c:pt>
                      <c:pt idx="262">
                        <c:v>44175</c:v>
                      </c:pt>
                      <c:pt idx="263">
                        <c:v>44176</c:v>
                      </c:pt>
                      <c:pt idx="264">
                        <c:v>44177</c:v>
                      </c:pt>
                      <c:pt idx="265">
                        <c:v>44178</c:v>
                      </c:pt>
                      <c:pt idx="266">
                        <c:v>44179</c:v>
                      </c:pt>
                      <c:pt idx="267">
                        <c:v>44180</c:v>
                      </c:pt>
                      <c:pt idx="268">
                        <c:v>44181</c:v>
                      </c:pt>
                      <c:pt idx="269">
                        <c:v>44182</c:v>
                      </c:pt>
                      <c:pt idx="270">
                        <c:v>44183</c:v>
                      </c:pt>
                      <c:pt idx="271">
                        <c:v>44184</c:v>
                      </c:pt>
                      <c:pt idx="272">
                        <c:v>44185</c:v>
                      </c:pt>
                      <c:pt idx="273">
                        <c:v>44186</c:v>
                      </c:pt>
                      <c:pt idx="274">
                        <c:v>44187</c:v>
                      </c:pt>
                      <c:pt idx="275">
                        <c:v>44188</c:v>
                      </c:pt>
                      <c:pt idx="276">
                        <c:v>44189</c:v>
                      </c:pt>
                      <c:pt idx="277">
                        <c:v>44190</c:v>
                      </c:pt>
                      <c:pt idx="278">
                        <c:v>44191</c:v>
                      </c:pt>
                      <c:pt idx="279">
                        <c:v>44192</c:v>
                      </c:pt>
                      <c:pt idx="280">
                        <c:v>44193</c:v>
                      </c:pt>
                      <c:pt idx="281">
                        <c:v>44194</c:v>
                      </c:pt>
                      <c:pt idx="282">
                        <c:v>44195</c:v>
                      </c:pt>
                      <c:pt idx="283">
                        <c:v>44196</c:v>
                      </c:pt>
                    </c:numCache>
                  </c:numRef>
                </c:xVal>
                <c:yVal>
                  <c:numRef>
                    <c:extLst xmlns:c15="http://schemas.microsoft.com/office/drawing/2012/chart">
                      <c:ext xmlns:c15="http://schemas.microsoft.com/office/drawing/2012/chart" uri="{02D57815-91ED-43cb-92C2-25804820EDAC}">
                        <c15:formulaRef>
                          <c15:sqref>SARS!$H$21:$H$326</c15:sqref>
                        </c15:formulaRef>
                      </c:ext>
                    </c:extLst>
                    <c:numCache>
                      <c:formatCode>General</c:formatCode>
                      <c:ptCount val="306"/>
                      <c:pt idx="0">
                        <c:v>55</c:v>
                      </c:pt>
                      <c:pt idx="1">
                        <c:v>72</c:v>
                      </c:pt>
                      <c:pt idx="2">
                        <c:v>93</c:v>
                      </c:pt>
                      <c:pt idx="3">
                        <c:v>122</c:v>
                      </c:pt>
                      <c:pt idx="4">
                        <c:v>159</c:v>
                      </c:pt>
                      <c:pt idx="5">
                        <c:v>207</c:v>
                      </c:pt>
                      <c:pt idx="6">
                        <c:v>270</c:v>
                      </c:pt>
                      <c:pt idx="7">
                        <c:v>351</c:v>
                      </c:pt>
                      <c:pt idx="8">
                        <c:v>458</c:v>
                      </c:pt>
                      <c:pt idx="9">
                        <c:v>597</c:v>
                      </c:pt>
                      <c:pt idx="10">
                        <c:v>778</c:v>
                      </c:pt>
                      <c:pt idx="11">
                        <c:v>1013</c:v>
                      </c:pt>
                      <c:pt idx="12">
                        <c:v>1320</c:v>
                      </c:pt>
                      <c:pt idx="13">
                        <c:v>1720</c:v>
                      </c:pt>
                      <c:pt idx="14">
                        <c:v>2241</c:v>
                      </c:pt>
                      <c:pt idx="15">
                        <c:v>2918</c:v>
                      </c:pt>
                      <c:pt idx="16">
                        <c:v>3799</c:v>
                      </c:pt>
                      <c:pt idx="17">
                        <c:v>4945</c:v>
                      </c:pt>
                      <c:pt idx="18">
                        <c:v>6434</c:v>
                      </c:pt>
                      <c:pt idx="19">
                        <c:v>8365</c:v>
                      </c:pt>
                      <c:pt idx="20">
                        <c:v>10869</c:v>
                      </c:pt>
                      <c:pt idx="21">
                        <c:v>14109</c:v>
                      </c:pt>
                      <c:pt idx="22">
                        <c:v>18292</c:v>
                      </c:pt>
                      <c:pt idx="23">
                        <c:v>23677</c:v>
                      </c:pt>
                      <c:pt idx="24">
                        <c:v>30587</c:v>
                      </c:pt>
                      <c:pt idx="25">
                        <c:v>39410</c:v>
                      </c:pt>
                      <c:pt idx="26">
                        <c:v>50610</c:v>
                      </c:pt>
                      <c:pt idx="27">
                        <c:v>64722</c:v>
                      </c:pt>
                      <c:pt idx="28">
                        <c:v>82336</c:v>
                      </c:pt>
                      <c:pt idx="29">
                        <c:v>104064</c:v>
                      </c:pt>
                      <c:pt idx="30">
                        <c:v>130481</c:v>
                      </c:pt>
                      <c:pt idx="31">
                        <c:v>162040</c:v>
                      </c:pt>
                      <c:pt idx="32">
                        <c:v>198959</c:v>
                      </c:pt>
                      <c:pt idx="33">
                        <c:v>241104</c:v>
                      </c:pt>
                      <c:pt idx="34">
                        <c:v>287890</c:v>
                      </c:pt>
                      <c:pt idx="35">
                        <c:v>338247</c:v>
                      </c:pt>
                      <c:pt idx="36">
                        <c:v>390675</c:v>
                      </c:pt>
                      <c:pt idx="37">
                        <c:v>443402</c:v>
                      </c:pt>
                      <c:pt idx="38">
                        <c:v>494618</c:v>
                      </c:pt>
                      <c:pt idx="39">
                        <c:v>542711</c:v>
                      </c:pt>
                      <c:pt idx="40">
                        <c:v>586460</c:v>
                      </c:pt>
                      <c:pt idx="41">
                        <c:v>625121</c:v>
                      </c:pt>
                      <c:pt idx="42">
                        <c:v>658422</c:v>
                      </c:pt>
                      <c:pt idx="43">
                        <c:v>686478</c:v>
                      </c:pt>
                      <c:pt idx="44">
                        <c:v>709678</c:v>
                      </c:pt>
                      <c:pt idx="45">
                        <c:v>728569</c:v>
                      </c:pt>
                      <c:pt idx="46">
                        <c:v>743758</c:v>
                      </c:pt>
                      <c:pt idx="47">
                        <c:v>755848</c:v>
                      </c:pt>
                      <c:pt idx="48">
                        <c:v>765393</c:v>
                      </c:pt>
                      <c:pt idx="49">
                        <c:v>772881</c:v>
                      </c:pt>
                      <c:pt idx="50">
                        <c:v>778726</c:v>
                      </c:pt>
                      <c:pt idx="51">
                        <c:v>783270</c:v>
                      </c:pt>
                      <c:pt idx="52">
                        <c:v>786793</c:v>
                      </c:pt>
                      <c:pt idx="53">
                        <c:v>789517</c:v>
                      </c:pt>
                      <c:pt idx="54">
                        <c:v>791620</c:v>
                      </c:pt>
                      <c:pt idx="55">
                        <c:v>793241</c:v>
                      </c:pt>
                      <c:pt idx="56">
                        <c:v>794489</c:v>
                      </c:pt>
                      <c:pt idx="57">
                        <c:v>795449</c:v>
                      </c:pt>
                      <c:pt idx="58">
                        <c:v>796187</c:v>
                      </c:pt>
                      <c:pt idx="59">
                        <c:v>796755</c:v>
                      </c:pt>
                      <c:pt idx="60">
                        <c:v>797191</c:v>
                      </c:pt>
                      <c:pt idx="61">
                        <c:v>797525</c:v>
                      </c:pt>
                      <c:pt idx="62">
                        <c:v>797782</c:v>
                      </c:pt>
                      <c:pt idx="63">
                        <c:v>797979</c:v>
                      </c:pt>
                      <c:pt idx="64">
                        <c:v>798131</c:v>
                      </c:pt>
                      <c:pt idx="65">
                        <c:v>798247</c:v>
                      </c:pt>
                      <c:pt idx="66">
                        <c:v>798336</c:v>
                      </c:pt>
                      <c:pt idx="67">
                        <c:v>798405</c:v>
                      </c:pt>
                      <c:pt idx="68">
                        <c:v>798457</c:v>
                      </c:pt>
                      <c:pt idx="69">
                        <c:v>798497</c:v>
                      </c:pt>
                      <c:pt idx="70">
                        <c:v>798528</c:v>
                      </c:pt>
                      <c:pt idx="71">
                        <c:v>798552</c:v>
                      </c:pt>
                      <c:pt idx="72">
                        <c:v>798570</c:v>
                      </c:pt>
                      <c:pt idx="73">
                        <c:v>798584</c:v>
                      </c:pt>
                      <c:pt idx="74">
                        <c:v>798595</c:v>
                      </c:pt>
                      <c:pt idx="75">
                        <c:v>798603</c:v>
                      </c:pt>
                      <c:pt idx="76">
                        <c:v>798609</c:v>
                      </c:pt>
                      <c:pt idx="77">
                        <c:v>798614</c:v>
                      </c:pt>
                      <c:pt idx="78">
                        <c:v>798618</c:v>
                      </c:pt>
                      <c:pt idx="79">
                        <c:v>798621</c:v>
                      </c:pt>
                      <c:pt idx="80">
                        <c:v>798623</c:v>
                      </c:pt>
                      <c:pt idx="81">
                        <c:v>798625</c:v>
                      </c:pt>
                      <c:pt idx="82">
                        <c:v>798626</c:v>
                      </c:pt>
                      <c:pt idx="83">
                        <c:v>798627</c:v>
                      </c:pt>
                      <c:pt idx="84">
                        <c:v>798628</c:v>
                      </c:pt>
                      <c:pt idx="85">
                        <c:v>798628</c:v>
                      </c:pt>
                      <c:pt idx="86">
                        <c:v>798629</c:v>
                      </c:pt>
                      <c:pt idx="87">
                        <c:v>798629</c:v>
                      </c:pt>
                      <c:pt idx="88">
                        <c:v>798629</c:v>
                      </c:pt>
                      <c:pt idx="89">
                        <c:v>798629</c:v>
                      </c:pt>
                      <c:pt idx="90">
                        <c:v>798630</c:v>
                      </c:pt>
                      <c:pt idx="91">
                        <c:v>798630</c:v>
                      </c:pt>
                      <c:pt idx="92">
                        <c:v>798630</c:v>
                      </c:pt>
                      <c:pt idx="93">
                        <c:v>798630</c:v>
                      </c:pt>
                      <c:pt idx="94">
                        <c:v>798630</c:v>
                      </c:pt>
                      <c:pt idx="95">
                        <c:v>798630</c:v>
                      </c:pt>
                      <c:pt idx="96">
                        <c:v>798630</c:v>
                      </c:pt>
                      <c:pt idx="97">
                        <c:v>798630</c:v>
                      </c:pt>
                      <c:pt idx="98">
                        <c:v>798630</c:v>
                      </c:pt>
                      <c:pt idx="99">
                        <c:v>798630</c:v>
                      </c:pt>
                      <c:pt idx="100">
                        <c:v>798630</c:v>
                      </c:pt>
                      <c:pt idx="101">
                        <c:v>798630</c:v>
                      </c:pt>
                      <c:pt idx="102">
                        <c:v>798630</c:v>
                      </c:pt>
                      <c:pt idx="103">
                        <c:v>798630</c:v>
                      </c:pt>
                      <c:pt idx="104">
                        <c:v>798630</c:v>
                      </c:pt>
                      <c:pt idx="105">
                        <c:v>798630</c:v>
                      </c:pt>
                      <c:pt idx="106">
                        <c:v>798630</c:v>
                      </c:pt>
                      <c:pt idx="107">
                        <c:v>798630</c:v>
                      </c:pt>
                      <c:pt idx="108">
                        <c:v>798630</c:v>
                      </c:pt>
                      <c:pt idx="109">
                        <c:v>798630</c:v>
                      </c:pt>
                      <c:pt idx="110">
                        <c:v>798630</c:v>
                      </c:pt>
                      <c:pt idx="111">
                        <c:v>798630</c:v>
                      </c:pt>
                      <c:pt idx="112">
                        <c:v>798630</c:v>
                      </c:pt>
                      <c:pt idx="113">
                        <c:v>798630</c:v>
                      </c:pt>
                      <c:pt idx="114">
                        <c:v>798630</c:v>
                      </c:pt>
                      <c:pt idx="115">
                        <c:v>798630</c:v>
                      </c:pt>
                      <c:pt idx="116">
                        <c:v>798630</c:v>
                      </c:pt>
                      <c:pt idx="117">
                        <c:v>798630</c:v>
                      </c:pt>
                      <c:pt idx="118">
                        <c:v>798630</c:v>
                      </c:pt>
                      <c:pt idx="119">
                        <c:v>798630</c:v>
                      </c:pt>
                      <c:pt idx="120">
                        <c:v>798630</c:v>
                      </c:pt>
                      <c:pt idx="121">
                        <c:v>798630</c:v>
                      </c:pt>
                      <c:pt idx="122">
                        <c:v>798630</c:v>
                      </c:pt>
                      <c:pt idx="123">
                        <c:v>798630</c:v>
                      </c:pt>
                      <c:pt idx="124">
                        <c:v>798630</c:v>
                      </c:pt>
                      <c:pt idx="125">
                        <c:v>798630</c:v>
                      </c:pt>
                      <c:pt idx="126">
                        <c:v>798630</c:v>
                      </c:pt>
                      <c:pt idx="127">
                        <c:v>798630</c:v>
                      </c:pt>
                      <c:pt idx="128">
                        <c:v>798630</c:v>
                      </c:pt>
                      <c:pt idx="129">
                        <c:v>798630</c:v>
                      </c:pt>
                      <c:pt idx="130">
                        <c:v>798630</c:v>
                      </c:pt>
                      <c:pt idx="131">
                        <c:v>798630</c:v>
                      </c:pt>
                      <c:pt idx="132">
                        <c:v>798630</c:v>
                      </c:pt>
                      <c:pt idx="133">
                        <c:v>798630</c:v>
                      </c:pt>
                      <c:pt idx="134">
                        <c:v>798630</c:v>
                      </c:pt>
                      <c:pt idx="135">
                        <c:v>798630</c:v>
                      </c:pt>
                      <c:pt idx="136">
                        <c:v>798630</c:v>
                      </c:pt>
                      <c:pt idx="137">
                        <c:v>798630</c:v>
                      </c:pt>
                      <c:pt idx="138">
                        <c:v>798630</c:v>
                      </c:pt>
                      <c:pt idx="139">
                        <c:v>798630</c:v>
                      </c:pt>
                      <c:pt idx="140">
                        <c:v>798630</c:v>
                      </c:pt>
                      <c:pt idx="141">
                        <c:v>798630</c:v>
                      </c:pt>
                      <c:pt idx="142">
                        <c:v>798630</c:v>
                      </c:pt>
                      <c:pt idx="143">
                        <c:v>798630</c:v>
                      </c:pt>
                      <c:pt idx="144">
                        <c:v>798630</c:v>
                      </c:pt>
                      <c:pt idx="145">
                        <c:v>798630</c:v>
                      </c:pt>
                      <c:pt idx="146">
                        <c:v>798630</c:v>
                      </c:pt>
                      <c:pt idx="147">
                        <c:v>798630</c:v>
                      </c:pt>
                      <c:pt idx="148">
                        <c:v>798630</c:v>
                      </c:pt>
                      <c:pt idx="149">
                        <c:v>798630</c:v>
                      </c:pt>
                      <c:pt idx="150">
                        <c:v>798630</c:v>
                      </c:pt>
                      <c:pt idx="151">
                        <c:v>798630</c:v>
                      </c:pt>
                      <c:pt idx="152">
                        <c:v>798630</c:v>
                      </c:pt>
                      <c:pt idx="153">
                        <c:v>798630</c:v>
                      </c:pt>
                      <c:pt idx="154">
                        <c:v>798630</c:v>
                      </c:pt>
                      <c:pt idx="155">
                        <c:v>798630</c:v>
                      </c:pt>
                      <c:pt idx="156">
                        <c:v>798630</c:v>
                      </c:pt>
                      <c:pt idx="157">
                        <c:v>798630</c:v>
                      </c:pt>
                      <c:pt idx="158">
                        <c:v>798630</c:v>
                      </c:pt>
                      <c:pt idx="159">
                        <c:v>798630</c:v>
                      </c:pt>
                      <c:pt idx="160">
                        <c:v>798630</c:v>
                      </c:pt>
                      <c:pt idx="161">
                        <c:v>798630</c:v>
                      </c:pt>
                      <c:pt idx="162">
                        <c:v>798630</c:v>
                      </c:pt>
                      <c:pt idx="163">
                        <c:v>798630</c:v>
                      </c:pt>
                      <c:pt idx="164">
                        <c:v>798630</c:v>
                      </c:pt>
                      <c:pt idx="165">
                        <c:v>798630</c:v>
                      </c:pt>
                      <c:pt idx="166">
                        <c:v>798630</c:v>
                      </c:pt>
                      <c:pt idx="167">
                        <c:v>798630</c:v>
                      </c:pt>
                      <c:pt idx="168">
                        <c:v>798630</c:v>
                      </c:pt>
                      <c:pt idx="169">
                        <c:v>798630</c:v>
                      </c:pt>
                      <c:pt idx="170">
                        <c:v>798630</c:v>
                      </c:pt>
                      <c:pt idx="171">
                        <c:v>798630</c:v>
                      </c:pt>
                      <c:pt idx="172">
                        <c:v>798630</c:v>
                      </c:pt>
                      <c:pt idx="173">
                        <c:v>798630</c:v>
                      </c:pt>
                      <c:pt idx="174">
                        <c:v>798630</c:v>
                      </c:pt>
                      <c:pt idx="175">
                        <c:v>798630</c:v>
                      </c:pt>
                      <c:pt idx="176">
                        <c:v>798630</c:v>
                      </c:pt>
                      <c:pt idx="177">
                        <c:v>798630</c:v>
                      </c:pt>
                      <c:pt idx="178">
                        <c:v>798630</c:v>
                      </c:pt>
                      <c:pt idx="179">
                        <c:v>798630</c:v>
                      </c:pt>
                      <c:pt idx="180">
                        <c:v>798630</c:v>
                      </c:pt>
                      <c:pt idx="181">
                        <c:v>798630</c:v>
                      </c:pt>
                      <c:pt idx="182">
                        <c:v>798630</c:v>
                      </c:pt>
                      <c:pt idx="183">
                        <c:v>798630</c:v>
                      </c:pt>
                      <c:pt idx="184">
                        <c:v>798630</c:v>
                      </c:pt>
                      <c:pt idx="185">
                        <c:v>798630</c:v>
                      </c:pt>
                      <c:pt idx="186">
                        <c:v>798630</c:v>
                      </c:pt>
                      <c:pt idx="187">
                        <c:v>798630</c:v>
                      </c:pt>
                      <c:pt idx="188">
                        <c:v>798630</c:v>
                      </c:pt>
                      <c:pt idx="189">
                        <c:v>798630</c:v>
                      </c:pt>
                      <c:pt idx="190">
                        <c:v>798630</c:v>
                      </c:pt>
                      <c:pt idx="191">
                        <c:v>798630</c:v>
                      </c:pt>
                      <c:pt idx="192">
                        <c:v>798630</c:v>
                      </c:pt>
                      <c:pt idx="193">
                        <c:v>798630</c:v>
                      </c:pt>
                      <c:pt idx="194">
                        <c:v>798630</c:v>
                      </c:pt>
                      <c:pt idx="195">
                        <c:v>798630</c:v>
                      </c:pt>
                      <c:pt idx="196">
                        <c:v>798630</c:v>
                      </c:pt>
                      <c:pt idx="197">
                        <c:v>798630</c:v>
                      </c:pt>
                      <c:pt idx="198">
                        <c:v>798630</c:v>
                      </c:pt>
                      <c:pt idx="199">
                        <c:v>798630</c:v>
                      </c:pt>
                      <c:pt idx="200">
                        <c:v>798630</c:v>
                      </c:pt>
                      <c:pt idx="201">
                        <c:v>798630</c:v>
                      </c:pt>
                      <c:pt idx="202">
                        <c:v>798630</c:v>
                      </c:pt>
                      <c:pt idx="203">
                        <c:v>798630</c:v>
                      </c:pt>
                      <c:pt idx="204">
                        <c:v>798630</c:v>
                      </c:pt>
                      <c:pt idx="205">
                        <c:v>798630</c:v>
                      </c:pt>
                      <c:pt idx="206">
                        <c:v>798630</c:v>
                      </c:pt>
                      <c:pt idx="207">
                        <c:v>798630</c:v>
                      </c:pt>
                      <c:pt idx="208">
                        <c:v>798630</c:v>
                      </c:pt>
                      <c:pt idx="209">
                        <c:v>798630</c:v>
                      </c:pt>
                      <c:pt idx="210">
                        <c:v>798630</c:v>
                      </c:pt>
                      <c:pt idx="211">
                        <c:v>798630</c:v>
                      </c:pt>
                      <c:pt idx="212">
                        <c:v>798630</c:v>
                      </c:pt>
                      <c:pt idx="213">
                        <c:v>798630</c:v>
                      </c:pt>
                      <c:pt idx="214">
                        <c:v>798630</c:v>
                      </c:pt>
                      <c:pt idx="215">
                        <c:v>798630</c:v>
                      </c:pt>
                      <c:pt idx="216">
                        <c:v>798630</c:v>
                      </c:pt>
                      <c:pt idx="217">
                        <c:v>798630</c:v>
                      </c:pt>
                      <c:pt idx="218">
                        <c:v>798630</c:v>
                      </c:pt>
                      <c:pt idx="219">
                        <c:v>798630</c:v>
                      </c:pt>
                      <c:pt idx="220">
                        <c:v>798630</c:v>
                      </c:pt>
                      <c:pt idx="221">
                        <c:v>798630</c:v>
                      </c:pt>
                      <c:pt idx="222">
                        <c:v>798630</c:v>
                      </c:pt>
                      <c:pt idx="223">
                        <c:v>798630</c:v>
                      </c:pt>
                      <c:pt idx="224">
                        <c:v>798630</c:v>
                      </c:pt>
                      <c:pt idx="225">
                        <c:v>798630</c:v>
                      </c:pt>
                      <c:pt idx="226">
                        <c:v>798630</c:v>
                      </c:pt>
                      <c:pt idx="227">
                        <c:v>798630</c:v>
                      </c:pt>
                      <c:pt idx="228">
                        <c:v>798630</c:v>
                      </c:pt>
                      <c:pt idx="229">
                        <c:v>798630</c:v>
                      </c:pt>
                      <c:pt idx="230">
                        <c:v>798630</c:v>
                      </c:pt>
                      <c:pt idx="231">
                        <c:v>798630</c:v>
                      </c:pt>
                      <c:pt idx="232">
                        <c:v>798630</c:v>
                      </c:pt>
                      <c:pt idx="233">
                        <c:v>798630</c:v>
                      </c:pt>
                      <c:pt idx="234">
                        <c:v>798630</c:v>
                      </c:pt>
                      <c:pt idx="235">
                        <c:v>798630</c:v>
                      </c:pt>
                      <c:pt idx="236">
                        <c:v>798630</c:v>
                      </c:pt>
                      <c:pt idx="237">
                        <c:v>798630</c:v>
                      </c:pt>
                      <c:pt idx="238">
                        <c:v>798630</c:v>
                      </c:pt>
                      <c:pt idx="239">
                        <c:v>798630</c:v>
                      </c:pt>
                      <c:pt idx="240">
                        <c:v>798630</c:v>
                      </c:pt>
                      <c:pt idx="241">
                        <c:v>798630</c:v>
                      </c:pt>
                      <c:pt idx="242">
                        <c:v>798630</c:v>
                      </c:pt>
                      <c:pt idx="243">
                        <c:v>798630</c:v>
                      </c:pt>
                      <c:pt idx="244">
                        <c:v>798630</c:v>
                      </c:pt>
                      <c:pt idx="245">
                        <c:v>798630</c:v>
                      </c:pt>
                      <c:pt idx="246">
                        <c:v>798630</c:v>
                      </c:pt>
                      <c:pt idx="247">
                        <c:v>798630</c:v>
                      </c:pt>
                      <c:pt idx="248">
                        <c:v>798630</c:v>
                      </c:pt>
                      <c:pt idx="249">
                        <c:v>798630</c:v>
                      </c:pt>
                      <c:pt idx="250">
                        <c:v>798630</c:v>
                      </c:pt>
                      <c:pt idx="251">
                        <c:v>798630</c:v>
                      </c:pt>
                      <c:pt idx="252">
                        <c:v>798630</c:v>
                      </c:pt>
                      <c:pt idx="253">
                        <c:v>798630</c:v>
                      </c:pt>
                      <c:pt idx="254">
                        <c:v>798630</c:v>
                      </c:pt>
                      <c:pt idx="255">
                        <c:v>798630</c:v>
                      </c:pt>
                      <c:pt idx="256">
                        <c:v>798630</c:v>
                      </c:pt>
                      <c:pt idx="257">
                        <c:v>798630</c:v>
                      </c:pt>
                      <c:pt idx="258">
                        <c:v>798630</c:v>
                      </c:pt>
                      <c:pt idx="259">
                        <c:v>798630</c:v>
                      </c:pt>
                      <c:pt idx="260">
                        <c:v>798630</c:v>
                      </c:pt>
                      <c:pt idx="261">
                        <c:v>798630</c:v>
                      </c:pt>
                      <c:pt idx="262">
                        <c:v>798630</c:v>
                      </c:pt>
                      <c:pt idx="263">
                        <c:v>798630</c:v>
                      </c:pt>
                      <c:pt idx="264">
                        <c:v>798630</c:v>
                      </c:pt>
                      <c:pt idx="265">
                        <c:v>798630</c:v>
                      </c:pt>
                      <c:pt idx="266">
                        <c:v>798630</c:v>
                      </c:pt>
                      <c:pt idx="267">
                        <c:v>798630</c:v>
                      </c:pt>
                      <c:pt idx="268">
                        <c:v>798630</c:v>
                      </c:pt>
                      <c:pt idx="269">
                        <c:v>798630</c:v>
                      </c:pt>
                      <c:pt idx="270">
                        <c:v>798630</c:v>
                      </c:pt>
                      <c:pt idx="271">
                        <c:v>798630</c:v>
                      </c:pt>
                      <c:pt idx="272">
                        <c:v>798630</c:v>
                      </c:pt>
                      <c:pt idx="273">
                        <c:v>798630</c:v>
                      </c:pt>
                      <c:pt idx="274">
                        <c:v>798630</c:v>
                      </c:pt>
                      <c:pt idx="275">
                        <c:v>798630</c:v>
                      </c:pt>
                      <c:pt idx="276">
                        <c:v>798630</c:v>
                      </c:pt>
                      <c:pt idx="277">
                        <c:v>798630</c:v>
                      </c:pt>
                      <c:pt idx="278">
                        <c:v>798630</c:v>
                      </c:pt>
                      <c:pt idx="279">
                        <c:v>798630</c:v>
                      </c:pt>
                      <c:pt idx="280">
                        <c:v>798630</c:v>
                      </c:pt>
                      <c:pt idx="281">
                        <c:v>798630</c:v>
                      </c:pt>
                      <c:pt idx="282">
                        <c:v>798630</c:v>
                      </c:pt>
                      <c:pt idx="283">
                        <c:v>798630</c:v>
                      </c:pt>
                      <c:pt idx="284">
                        <c:v>798630</c:v>
                      </c:pt>
                      <c:pt idx="285">
                        <c:v>798630</c:v>
                      </c:pt>
                      <c:pt idx="286">
                        <c:v>798630</c:v>
                      </c:pt>
                      <c:pt idx="287">
                        <c:v>798630</c:v>
                      </c:pt>
                      <c:pt idx="288">
                        <c:v>798630</c:v>
                      </c:pt>
                      <c:pt idx="289">
                        <c:v>798630</c:v>
                      </c:pt>
                      <c:pt idx="290">
                        <c:v>798630</c:v>
                      </c:pt>
                      <c:pt idx="291">
                        <c:v>798630</c:v>
                      </c:pt>
                      <c:pt idx="292">
                        <c:v>798630</c:v>
                      </c:pt>
                      <c:pt idx="293">
                        <c:v>798630</c:v>
                      </c:pt>
                      <c:pt idx="294">
                        <c:v>798630</c:v>
                      </c:pt>
                      <c:pt idx="295">
                        <c:v>798630</c:v>
                      </c:pt>
                      <c:pt idx="296">
                        <c:v>798630</c:v>
                      </c:pt>
                      <c:pt idx="297">
                        <c:v>798630</c:v>
                      </c:pt>
                      <c:pt idx="298">
                        <c:v>798630</c:v>
                      </c:pt>
                      <c:pt idx="299">
                        <c:v>798630</c:v>
                      </c:pt>
                      <c:pt idx="300">
                        <c:v>798630</c:v>
                      </c:pt>
                      <c:pt idx="301">
                        <c:v>798630</c:v>
                      </c:pt>
                      <c:pt idx="302">
                        <c:v>798630</c:v>
                      </c:pt>
                      <c:pt idx="303">
                        <c:v>798630</c:v>
                      </c:pt>
                      <c:pt idx="304">
                        <c:v>798630</c:v>
                      </c:pt>
                      <c:pt idx="305">
                        <c:v>798630</c:v>
                      </c:pt>
                    </c:numCache>
                  </c:numRef>
                </c:yVal>
                <c:smooth val="0"/>
                <c:extLst xmlns:c15="http://schemas.microsoft.com/office/drawing/2012/chart">
                  <c:ext xmlns:c16="http://schemas.microsoft.com/office/drawing/2014/chart" uri="{C3380CC4-5D6E-409C-BE32-E72D297353CC}">
                    <c16:uniqueId val="{00000006-6893-443E-9A8F-D9A984D6030C}"/>
                  </c:ext>
                </c:extLst>
              </c15:ser>
            </c15:filteredScatterSeries>
            <c15:filteredScatterSeries>
              <c15:ser>
                <c:idx val="11"/>
                <c:order val="13"/>
                <c:tx>
                  <c:v>Hypothetical SIR Model SARS - Cases</c:v>
                </c:tx>
                <c:spPr>
                  <a:ln w="25400" cap="rnd">
                    <a:noFill/>
                    <a:round/>
                  </a:ln>
                  <a:effectLst/>
                </c:spPr>
                <c:marker>
                  <c:symbol val="diamond"/>
                  <c:size val="5"/>
                  <c:spPr>
                    <a:solidFill>
                      <a:srgbClr val="CC99FF"/>
                    </a:solidFill>
                    <a:ln w="9525">
                      <a:solidFill>
                        <a:srgbClr val="00B050"/>
                      </a:solidFill>
                    </a:ln>
                    <a:effectLst/>
                  </c:spPr>
                </c:marker>
                <c:xVal>
                  <c:numRef>
                    <c:extLst xmlns:c15="http://schemas.microsoft.com/office/drawing/2012/chart">
                      <c:ext xmlns:c15="http://schemas.microsoft.com/office/drawing/2012/chart" uri="{02D57815-91ED-43cb-92C2-25804820EDAC}">
                        <c15:formulaRef>
                          <c15:sqref>Data!$A$25:$A$308</c15:sqref>
                        </c15:formulaRef>
                      </c:ext>
                    </c:extLst>
                    <c:numCache>
                      <c:formatCode>d\-mmm</c:formatCode>
                      <c:ptCount val="284"/>
                      <c:pt idx="0">
                        <c:v>43913</c:v>
                      </c:pt>
                      <c:pt idx="1">
                        <c:v>43914</c:v>
                      </c:pt>
                      <c:pt idx="2">
                        <c:v>43915</c:v>
                      </c:pt>
                      <c:pt idx="3">
                        <c:v>43916</c:v>
                      </c:pt>
                      <c:pt idx="4">
                        <c:v>43917</c:v>
                      </c:pt>
                      <c:pt idx="5">
                        <c:v>43918</c:v>
                      </c:pt>
                      <c:pt idx="6">
                        <c:v>43919</c:v>
                      </c:pt>
                      <c:pt idx="7">
                        <c:v>43920</c:v>
                      </c:pt>
                      <c:pt idx="8">
                        <c:v>43921</c:v>
                      </c:pt>
                      <c:pt idx="9">
                        <c:v>43922</c:v>
                      </c:pt>
                      <c:pt idx="10">
                        <c:v>43923</c:v>
                      </c:pt>
                      <c:pt idx="11">
                        <c:v>43924</c:v>
                      </c:pt>
                      <c:pt idx="12">
                        <c:v>43925</c:v>
                      </c:pt>
                      <c:pt idx="13">
                        <c:v>43926</c:v>
                      </c:pt>
                      <c:pt idx="14">
                        <c:v>43927</c:v>
                      </c:pt>
                      <c:pt idx="15">
                        <c:v>43928</c:v>
                      </c:pt>
                      <c:pt idx="16">
                        <c:v>43929</c:v>
                      </c:pt>
                      <c:pt idx="17">
                        <c:v>43930</c:v>
                      </c:pt>
                      <c:pt idx="18">
                        <c:v>43931</c:v>
                      </c:pt>
                      <c:pt idx="19">
                        <c:v>43932</c:v>
                      </c:pt>
                      <c:pt idx="20">
                        <c:v>43933</c:v>
                      </c:pt>
                      <c:pt idx="21">
                        <c:v>43934</c:v>
                      </c:pt>
                      <c:pt idx="22">
                        <c:v>43935</c:v>
                      </c:pt>
                      <c:pt idx="23">
                        <c:v>43936</c:v>
                      </c:pt>
                      <c:pt idx="24">
                        <c:v>43937</c:v>
                      </c:pt>
                      <c:pt idx="25">
                        <c:v>43938</c:v>
                      </c:pt>
                      <c:pt idx="26">
                        <c:v>43939</c:v>
                      </c:pt>
                      <c:pt idx="27">
                        <c:v>43940</c:v>
                      </c:pt>
                      <c:pt idx="28">
                        <c:v>43941</c:v>
                      </c:pt>
                      <c:pt idx="29">
                        <c:v>43942</c:v>
                      </c:pt>
                      <c:pt idx="30">
                        <c:v>43943</c:v>
                      </c:pt>
                      <c:pt idx="31">
                        <c:v>43944</c:v>
                      </c:pt>
                      <c:pt idx="32">
                        <c:v>43945</c:v>
                      </c:pt>
                      <c:pt idx="33">
                        <c:v>43946</c:v>
                      </c:pt>
                      <c:pt idx="34">
                        <c:v>43947</c:v>
                      </c:pt>
                      <c:pt idx="35">
                        <c:v>43948</c:v>
                      </c:pt>
                      <c:pt idx="36">
                        <c:v>43949</c:v>
                      </c:pt>
                      <c:pt idx="37">
                        <c:v>43950</c:v>
                      </c:pt>
                      <c:pt idx="38">
                        <c:v>43951</c:v>
                      </c:pt>
                      <c:pt idx="39">
                        <c:v>43952</c:v>
                      </c:pt>
                      <c:pt idx="40">
                        <c:v>43953</c:v>
                      </c:pt>
                      <c:pt idx="41">
                        <c:v>43954</c:v>
                      </c:pt>
                      <c:pt idx="42">
                        <c:v>43955</c:v>
                      </c:pt>
                      <c:pt idx="43">
                        <c:v>43956</c:v>
                      </c:pt>
                      <c:pt idx="44">
                        <c:v>43957</c:v>
                      </c:pt>
                      <c:pt idx="45">
                        <c:v>43958</c:v>
                      </c:pt>
                      <c:pt idx="46">
                        <c:v>43959</c:v>
                      </c:pt>
                      <c:pt idx="47">
                        <c:v>43960</c:v>
                      </c:pt>
                      <c:pt idx="48">
                        <c:v>43961</c:v>
                      </c:pt>
                      <c:pt idx="49">
                        <c:v>43962</c:v>
                      </c:pt>
                      <c:pt idx="50">
                        <c:v>43963</c:v>
                      </c:pt>
                      <c:pt idx="51">
                        <c:v>43964</c:v>
                      </c:pt>
                      <c:pt idx="52">
                        <c:v>43965</c:v>
                      </c:pt>
                      <c:pt idx="53">
                        <c:v>43966</c:v>
                      </c:pt>
                      <c:pt idx="54">
                        <c:v>43967</c:v>
                      </c:pt>
                      <c:pt idx="55">
                        <c:v>43968</c:v>
                      </c:pt>
                      <c:pt idx="56">
                        <c:v>43969</c:v>
                      </c:pt>
                      <c:pt idx="57">
                        <c:v>43970</c:v>
                      </c:pt>
                      <c:pt idx="58">
                        <c:v>43971</c:v>
                      </c:pt>
                      <c:pt idx="59">
                        <c:v>43972</c:v>
                      </c:pt>
                      <c:pt idx="60">
                        <c:v>43973</c:v>
                      </c:pt>
                      <c:pt idx="61">
                        <c:v>43974</c:v>
                      </c:pt>
                      <c:pt idx="62">
                        <c:v>43975</c:v>
                      </c:pt>
                      <c:pt idx="63">
                        <c:v>43976</c:v>
                      </c:pt>
                      <c:pt idx="64">
                        <c:v>43977</c:v>
                      </c:pt>
                      <c:pt idx="65">
                        <c:v>43978</c:v>
                      </c:pt>
                      <c:pt idx="66">
                        <c:v>43979</c:v>
                      </c:pt>
                      <c:pt idx="67">
                        <c:v>43980</c:v>
                      </c:pt>
                      <c:pt idx="68">
                        <c:v>43981</c:v>
                      </c:pt>
                      <c:pt idx="69">
                        <c:v>43982</c:v>
                      </c:pt>
                      <c:pt idx="70">
                        <c:v>43983</c:v>
                      </c:pt>
                      <c:pt idx="71">
                        <c:v>43984</c:v>
                      </c:pt>
                      <c:pt idx="72">
                        <c:v>43985</c:v>
                      </c:pt>
                      <c:pt idx="73">
                        <c:v>43986</c:v>
                      </c:pt>
                      <c:pt idx="74">
                        <c:v>43987</c:v>
                      </c:pt>
                      <c:pt idx="75">
                        <c:v>43988</c:v>
                      </c:pt>
                      <c:pt idx="76">
                        <c:v>43989</c:v>
                      </c:pt>
                      <c:pt idx="77">
                        <c:v>43990</c:v>
                      </c:pt>
                      <c:pt idx="78">
                        <c:v>43991</c:v>
                      </c:pt>
                      <c:pt idx="79">
                        <c:v>43992</c:v>
                      </c:pt>
                      <c:pt idx="80">
                        <c:v>43993</c:v>
                      </c:pt>
                      <c:pt idx="81">
                        <c:v>43994</c:v>
                      </c:pt>
                      <c:pt idx="82">
                        <c:v>43995</c:v>
                      </c:pt>
                      <c:pt idx="83">
                        <c:v>43996</c:v>
                      </c:pt>
                      <c:pt idx="84">
                        <c:v>43997</c:v>
                      </c:pt>
                      <c:pt idx="85">
                        <c:v>43998</c:v>
                      </c:pt>
                      <c:pt idx="86">
                        <c:v>43999</c:v>
                      </c:pt>
                      <c:pt idx="87">
                        <c:v>44000</c:v>
                      </c:pt>
                      <c:pt idx="88">
                        <c:v>44001</c:v>
                      </c:pt>
                      <c:pt idx="89">
                        <c:v>44002</c:v>
                      </c:pt>
                      <c:pt idx="90">
                        <c:v>44003</c:v>
                      </c:pt>
                      <c:pt idx="91">
                        <c:v>44004</c:v>
                      </c:pt>
                      <c:pt idx="92">
                        <c:v>44005</c:v>
                      </c:pt>
                      <c:pt idx="93">
                        <c:v>44006</c:v>
                      </c:pt>
                      <c:pt idx="94">
                        <c:v>44007</c:v>
                      </c:pt>
                      <c:pt idx="95">
                        <c:v>44008</c:v>
                      </c:pt>
                      <c:pt idx="96">
                        <c:v>44009</c:v>
                      </c:pt>
                      <c:pt idx="97">
                        <c:v>44010</c:v>
                      </c:pt>
                      <c:pt idx="98">
                        <c:v>44011</c:v>
                      </c:pt>
                      <c:pt idx="99">
                        <c:v>44012</c:v>
                      </c:pt>
                      <c:pt idx="100">
                        <c:v>44013</c:v>
                      </c:pt>
                      <c:pt idx="101">
                        <c:v>44014</c:v>
                      </c:pt>
                      <c:pt idx="102">
                        <c:v>44015</c:v>
                      </c:pt>
                      <c:pt idx="103">
                        <c:v>44016</c:v>
                      </c:pt>
                      <c:pt idx="104">
                        <c:v>44017</c:v>
                      </c:pt>
                      <c:pt idx="105">
                        <c:v>44018</c:v>
                      </c:pt>
                      <c:pt idx="106">
                        <c:v>44019</c:v>
                      </c:pt>
                      <c:pt idx="107">
                        <c:v>44020</c:v>
                      </c:pt>
                      <c:pt idx="108">
                        <c:v>44021</c:v>
                      </c:pt>
                      <c:pt idx="109">
                        <c:v>44022</c:v>
                      </c:pt>
                      <c:pt idx="110">
                        <c:v>44023</c:v>
                      </c:pt>
                      <c:pt idx="111">
                        <c:v>44024</c:v>
                      </c:pt>
                      <c:pt idx="112">
                        <c:v>44025</c:v>
                      </c:pt>
                      <c:pt idx="113">
                        <c:v>44026</c:v>
                      </c:pt>
                      <c:pt idx="114">
                        <c:v>44027</c:v>
                      </c:pt>
                      <c:pt idx="115">
                        <c:v>44028</c:v>
                      </c:pt>
                      <c:pt idx="116">
                        <c:v>44029</c:v>
                      </c:pt>
                      <c:pt idx="117">
                        <c:v>44030</c:v>
                      </c:pt>
                      <c:pt idx="118">
                        <c:v>44031</c:v>
                      </c:pt>
                      <c:pt idx="119">
                        <c:v>44032</c:v>
                      </c:pt>
                      <c:pt idx="120">
                        <c:v>44033</c:v>
                      </c:pt>
                      <c:pt idx="121">
                        <c:v>44034</c:v>
                      </c:pt>
                      <c:pt idx="122">
                        <c:v>44035</c:v>
                      </c:pt>
                      <c:pt idx="123">
                        <c:v>44036</c:v>
                      </c:pt>
                      <c:pt idx="124">
                        <c:v>44037</c:v>
                      </c:pt>
                      <c:pt idx="125">
                        <c:v>44038</c:v>
                      </c:pt>
                      <c:pt idx="126">
                        <c:v>44039</c:v>
                      </c:pt>
                      <c:pt idx="127">
                        <c:v>44040</c:v>
                      </c:pt>
                      <c:pt idx="128">
                        <c:v>44041</c:v>
                      </c:pt>
                      <c:pt idx="129">
                        <c:v>44042</c:v>
                      </c:pt>
                      <c:pt idx="130">
                        <c:v>44043</c:v>
                      </c:pt>
                      <c:pt idx="131">
                        <c:v>44044</c:v>
                      </c:pt>
                      <c:pt idx="132">
                        <c:v>44045</c:v>
                      </c:pt>
                      <c:pt idx="133">
                        <c:v>44046</c:v>
                      </c:pt>
                      <c:pt idx="134">
                        <c:v>44047</c:v>
                      </c:pt>
                      <c:pt idx="135">
                        <c:v>44048</c:v>
                      </c:pt>
                      <c:pt idx="136">
                        <c:v>44049</c:v>
                      </c:pt>
                      <c:pt idx="137">
                        <c:v>44050</c:v>
                      </c:pt>
                      <c:pt idx="138">
                        <c:v>44051</c:v>
                      </c:pt>
                      <c:pt idx="139">
                        <c:v>44052</c:v>
                      </c:pt>
                      <c:pt idx="140">
                        <c:v>44053</c:v>
                      </c:pt>
                      <c:pt idx="141">
                        <c:v>44054</c:v>
                      </c:pt>
                      <c:pt idx="142">
                        <c:v>44055</c:v>
                      </c:pt>
                      <c:pt idx="143">
                        <c:v>44056</c:v>
                      </c:pt>
                      <c:pt idx="144">
                        <c:v>44057</c:v>
                      </c:pt>
                      <c:pt idx="145">
                        <c:v>44058</c:v>
                      </c:pt>
                      <c:pt idx="146">
                        <c:v>44059</c:v>
                      </c:pt>
                      <c:pt idx="147">
                        <c:v>44060</c:v>
                      </c:pt>
                      <c:pt idx="148">
                        <c:v>44061</c:v>
                      </c:pt>
                      <c:pt idx="149">
                        <c:v>44062</c:v>
                      </c:pt>
                      <c:pt idx="150">
                        <c:v>44063</c:v>
                      </c:pt>
                      <c:pt idx="151">
                        <c:v>44064</c:v>
                      </c:pt>
                      <c:pt idx="152">
                        <c:v>44065</c:v>
                      </c:pt>
                      <c:pt idx="153">
                        <c:v>44066</c:v>
                      </c:pt>
                      <c:pt idx="154">
                        <c:v>44067</c:v>
                      </c:pt>
                      <c:pt idx="155">
                        <c:v>44068</c:v>
                      </c:pt>
                      <c:pt idx="156">
                        <c:v>44069</c:v>
                      </c:pt>
                      <c:pt idx="157">
                        <c:v>44070</c:v>
                      </c:pt>
                      <c:pt idx="158">
                        <c:v>44071</c:v>
                      </c:pt>
                      <c:pt idx="159">
                        <c:v>44072</c:v>
                      </c:pt>
                      <c:pt idx="160">
                        <c:v>44073</c:v>
                      </c:pt>
                      <c:pt idx="161">
                        <c:v>44074</c:v>
                      </c:pt>
                      <c:pt idx="162">
                        <c:v>44075</c:v>
                      </c:pt>
                      <c:pt idx="163">
                        <c:v>44076</c:v>
                      </c:pt>
                      <c:pt idx="164">
                        <c:v>44077</c:v>
                      </c:pt>
                      <c:pt idx="165">
                        <c:v>44078</c:v>
                      </c:pt>
                      <c:pt idx="166">
                        <c:v>44079</c:v>
                      </c:pt>
                      <c:pt idx="167">
                        <c:v>44080</c:v>
                      </c:pt>
                      <c:pt idx="168">
                        <c:v>44081</c:v>
                      </c:pt>
                      <c:pt idx="169">
                        <c:v>44082</c:v>
                      </c:pt>
                      <c:pt idx="170">
                        <c:v>44083</c:v>
                      </c:pt>
                      <c:pt idx="171">
                        <c:v>44084</c:v>
                      </c:pt>
                      <c:pt idx="172">
                        <c:v>44085</c:v>
                      </c:pt>
                      <c:pt idx="173">
                        <c:v>44086</c:v>
                      </c:pt>
                      <c:pt idx="174">
                        <c:v>44087</c:v>
                      </c:pt>
                      <c:pt idx="175">
                        <c:v>44088</c:v>
                      </c:pt>
                      <c:pt idx="176">
                        <c:v>44089</c:v>
                      </c:pt>
                      <c:pt idx="177">
                        <c:v>44090</c:v>
                      </c:pt>
                      <c:pt idx="178">
                        <c:v>44091</c:v>
                      </c:pt>
                      <c:pt idx="179">
                        <c:v>44092</c:v>
                      </c:pt>
                      <c:pt idx="180">
                        <c:v>44093</c:v>
                      </c:pt>
                      <c:pt idx="181">
                        <c:v>44094</c:v>
                      </c:pt>
                      <c:pt idx="182">
                        <c:v>44095</c:v>
                      </c:pt>
                      <c:pt idx="183">
                        <c:v>44096</c:v>
                      </c:pt>
                      <c:pt idx="184">
                        <c:v>44097</c:v>
                      </c:pt>
                      <c:pt idx="185">
                        <c:v>44098</c:v>
                      </c:pt>
                      <c:pt idx="186">
                        <c:v>44099</c:v>
                      </c:pt>
                      <c:pt idx="187">
                        <c:v>44100</c:v>
                      </c:pt>
                      <c:pt idx="188">
                        <c:v>44101</c:v>
                      </c:pt>
                      <c:pt idx="189">
                        <c:v>44102</c:v>
                      </c:pt>
                      <c:pt idx="190">
                        <c:v>44103</c:v>
                      </c:pt>
                      <c:pt idx="191">
                        <c:v>44104</c:v>
                      </c:pt>
                      <c:pt idx="192">
                        <c:v>44105</c:v>
                      </c:pt>
                      <c:pt idx="193">
                        <c:v>44106</c:v>
                      </c:pt>
                      <c:pt idx="194">
                        <c:v>44107</c:v>
                      </c:pt>
                      <c:pt idx="195">
                        <c:v>44108</c:v>
                      </c:pt>
                      <c:pt idx="196">
                        <c:v>44109</c:v>
                      </c:pt>
                      <c:pt idx="197">
                        <c:v>44110</c:v>
                      </c:pt>
                      <c:pt idx="198">
                        <c:v>44111</c:v>
                      </c:pt>
                      <c:pt idx="199">
                        <c:v>44112</c:v>
                      </c:pt>
                      <c:pt idx="200">
                        <c:v>44113</c:v>
                      </c:pt>
                      <c:pt idx="201">
                        <c:v>44114</c:v>
                      </c:pt>
                      <c:pt idx="202">
                        <c:v>44115</c:v>
                      </c:pt>
                      <c:pt idx="203">
                        <c:v>44116</c:v>
                      </c:pt>
                      <c:pt idx="204">
                        <c:v>44117</c:v>
                      </c:pt>
                      <c:pt idx="205">
                        <c:v>44118</c:v>
                      </c:pt>
                      <c:pt idx="206">
                        <c:v>44119</c:v>
                      </c:pt>
                      <c:pt idx="207">
                        <c:v>44120</c:v>
                      </c:pt>
                      <c:pt idx="208">
                        <c:v>44121</c:v>
                      </c:pt>
                      <c:pt idx="209">
                        <c:v>44122</c:v>
                      </c:pt>
                      <c:pt idx="210">
                        <c:v>44123</c:v>
                      </c:pt>
                      <c:pt idx="211">
                        <c:v>44124</c:v>
                      </c:pt>
                      <c:pt idx="212">
                        <c:v>44125</c:v>
                      </c:pt>
                      <c:pt idx="213">
                        <c:v>44126</c:v>
                      </c:pt>
                      <c:pt idx="214">
                        <c:v>44127</c:v>
                      </c:pt>
                      <c:pt idx="215">
                        <c:v>44128</c:v>
                      </c:pt>
                      <c:pt idx="216">
                        <c:v>44129</c:v>
                      </c:pt>
                      <c:pt idx="217">
                        <c:v>44130</c:v>
                      </c:pt>
                      <c:pt idx="218">
                        <c:v>44131</c:v>
                      </c:pt>
                      <c:pt idx="219">
                        <c:v>44132</c:v>
                      </c:pt>
                      <c:pt idx="220">
                        <c:v>44133</c:v>
                      </c:pt>
                      <c:pt idx="221">
                        <c:v>44134</c:v>
                      </c:pt>
                      <c:pt idx="222">
                        <c:v>44135</c:v>
                      </c:pt>
                      <c:pt idx="223">
                        <c:v>44136</c:v>
                      </c:pt>
                      <c:pt idx="224">
                        <c:v>44137</c:v>
                      </c:pt>
                      <c:pt idx="225">
                        <c:v>44138</c:v>
                      </c:pt>
                      <c:pt idx="226">
                        <c:v>44139</c:v>
                      </c:pt>
                      <c:pt idx="227">
                        <c:v>44140</c:v>
                      </c:pt>
                      <c:pt idx="228">
                        <c:v>44141</c:v>
                      </c:pt>
                      <c:pt idx="229">
                        <c:v>44142</c:v>
                      </c:pt>
                      <c:pt idx="230">
                        <c:v>44143</c:v>
                      </c:pt>
                      <c:pt idx="231">
                        <c:v>44144</c:v>
                      </c:pt>
                      <c:pt idx="232">
                        <c:v>44145</c:v>
                      </c:pt>
                      <c:pt idx="233">
                        <c:v>44146</c:v>
                      </c:pt>
                      <c:pt idx="234">
                        <c:v>44147</c:v>
                      </c:pt>
                      <c:pt idx="235">
                        <c:v>44148</c:v>
                      </c:pt>
                      <c:pt idx="236">
                        <c:v>44149</c:v>
                      </c:pt>
                      <c:pt idx="237">
                        <c:v>44150</c:v>
                      </c:pt>
                      <c:pt idx="238">
                        <c:v>44151</c:v>
                      </c:pt>
                      <c:pt idx="239">
                        <c:v>44152</c:v>
                      </c:pt>
                      <c:pt idx="240">
                        <c:v>44153</c:v>
                      </c:pt>
                      <c:pt idx="241">
                        <c:v>44154</c:v>
                      </c:pt>
                      <c:pt idx="242">
                        <c:v>44155</c:v>
                      </c:pt>
                      <c:pt idx="243">
                        <c:v>44156</c:v>
                      </c:pt>
                      <c:pt idx="244">
                        <c:v>44157</c:v>
                      </c:pt>
                      <c:pt idx="245">
                        <c:v>44158</c:v>
                      </c:pt>
                      <c:pt idx="246">
                        <c:v>44159</c:v>
                      </c:pt>
                      <c:pt idx="247">
                        <c:v>44160</c:v>
                      </c:pt>
                      <c:pt idx="248">
                        <c:v>44161</c:v>
                      </c:pt>
                      <c:pt idx="249">
                        <c:v>44162</c:v>
                      </c:pt>
                      <c:pt idx="250">
                        <c:v>44163</c:v>
                      </c:pt>
                      <c:pt idx="251">
                        <c:v>44164</c:v>
                      </c:pt>
                      <c:pt idx="252">
                        <c:v>44165</c:v>
                      </c:pt>
                      <c:pt idx="253">
                        <c:v>44166</c:v>
                      </c:pt>
                      <c:pt idx="254">
                        <c:v>44167</c:v>
                      </c:pt>
                      <c:pt idx="255">
                        <c:v>44168</c:v>
                      </c:pt>
                      <c:pt idx="256">
                        <c:v>44169</c:v>
                      </c:pt>
                      <c:pt idx="257">
                        <c:v>44170</c:v>
                      </c:pt>
                      <c:pt idx="258">
                        <c:v>44171</c:v>
                      </c:pt>
                      <c:pt idx="259">
                        <c:v>44172</c:v>
                      </c:pt>
                      <c:pt idx="260">
                        <c:v>44173</c:v>
                      </c:pt>
                      <c:pt idx="261">
                        <c:v>44174</c:v>
                      </c:pt>
                      <c:pt idx="262">
                        <c:v>44175</c:v>
                      </c:pt>
                      <c:pt idx="263">
                        <c:v>44176</c:v>
                      </c:pt>
                      <c:pt idx="264">
                        <c:v>44177</c:v>
                      </c:pt>
                      <c:pt idx="265">
                        <c:v>44178</c:v>
                      </c:pt>
                      <c:pt idx="266">
                        <c:v>44179</c:v>
                      </c:pt>
                      <c:pt idx="267">
                        <c:v>44180</c:v>
                      </c:pt>
                      <c:pt idx="268">
                        <c:v>44181</c:v>
                      </c:pt>
                      <c:pt idx="269">
                        <c:v>44182</c:v>
                      </c:pt>
                      <c:pt idx="270">
                        <c:v>44183</c:v>
                      </c:pt>
                      <c:pt idx="271">
                        <c:v>44184</c:v>
                      </c:pt>
                      <c:pt idx="272">
                        <c:v>44185</c:v>
                      </c:pt>
                      <c:pt idx="273">
                        <c:v>44186</c:v>
                      </c:pt>
                      <c:pt idx="274">
                        <c:v>44187</c:v>
                      </c:pt>
                      <c:pt idx="275">
                        <c:v>44188</c:v>
                      </c:pt>
                      <c:pt idx="276">
                        <c:v>44189</c:v>
                      </c:pt>
                      <c:pt idx="277">
                        <c:v>44190</c:v>
                      </c:pt>
                      <c:pt idx="278">
                        <c:v>44191</c:v>
                      </c:pt>
                      <c:pt idx="279">
                        <c:v>44192</c:v>
                      </c:pt>
                      <c:pt idx="280">
                        <c:v>44193</c:v>
                      </c:pt>
                      <c:pt idx="281">
                        <c:v>44194</c:v>
                      </c:pt>
                      <c:pt idx="282">
                        <c:v>44195</c:v>
                      </c:pt>
                      <c:pt idx="283">
                        <c:v>44196</c:v>
                      </c:pt>
                    </c:numCache>
                  </c:numRef>
                </c:xVal>
                <c:yVal>
                  <c:numRef>
                    <c:extLst xmlns:c15="http://schemas.microsoft.com/office/drawing/2012/chart">
                      <c:ext xmlns:c15="http://schemas.microsoft.com/office/drawing/2012/chart" uri="{02D57815-91ED-43cb-92C2-25804820EDAC}">
                        <c15:formulaRef>
                          <c15:sqref>SARS!$C$21:$C$326</c15:sqref>
                        </c15:formulaRef>
                      </c:ext>
                    </c:extLst>
                    <c:numCache>
                      <c:formatCode>General</c:formatCode>
                      <c:ptCount val="306"/>
                      <c:pt idx="0">
                        <c:v>500</c:v>
                      </c:pt>
                      <c:pt idx="1">
                        <c:v>633</c:v>
                      </c:pt>
                      <c:pt idx="2">
                        <c:v>801</c:v>
                      </c:pt>
                      <c:pt idx="3">
                        <c:v>1013</c:v>
                      </c:pt>
                      <c:pt idx="4">
                        <c:v>1281</c:v>
                      </c:pt>
                      <c:pt idx="5">
                        <c:v>1620</c:v>
                      </c:pt>
                      <c:pt idx="6">
                        <c:v>2049</c:v>
                      </c:pt>
                      <c:pt idx="7">
                        <c:v>2592</c:v>
                      </c:pt>
                      <c:pt idx="8">
                        <c:v>3279</c:v>
                      </c:pt>
                      <c:pt idx="9">
                        <c:v>4147</c:v>
                      </c:pt>
                      <c:pt idx="10">
                        <c:v>5245</c:v>
                      </c:pt>
                      <c:pt idx="11">
                        <c:v>6634</c:v>
                      </c:pt>
                      <c:pt idx="12">
                        <c:v>8390</c:v>
                      </c:pt>
                      <c:pt idx="13">
                        <c:v>10610</c:v>
                      </c:pt>
                      <c:pt idx="14">
                        <c:v>13416</c:v>
                      </c:pt>
                      <c:pt idx="15">
                        <c:v>16963</c:v>
                      </c:pt>
                      <c:pt idx="16">
                        <c:v>21444</c:v>
                      </c:pt>
                      <c:pt idx="17">
                        <c:v>27104</c:v>
                      </c:pt>
                      <c:pt idx="18">
                        <c:v>34250</c:v>
                      </c:pt>
                      <c:pt idx="19">
                        <c:v>43268</c:v>
                      </c:pt>
                      <c:pt idx="20">
                        <c:v>54641</c:v>
                      </c:pt>
                      <c:pt idx="21">
                        <c:v>68972</c:v>
                      </c:pt>
                      <c:pt idx="22">
                        <c:v>87012</c:v>
                      </c:pt>
                      <c:pt idx="23">
                        <c:v>109691</c:v>
                      </c:pt>
                      <c:pt idx="24">
                        <c:v>138155</c:v>
                      </c:pt>
                      <c:pt idx="25">
                        <c:v>173807</c:v>
                      </c:pt>
                      <c:pt idx="26">
                        <c:v>218345</c:v>
                      </c:pt>
                      <c:pt idx="27">
                        <c:v>273803</c:v>
                      </c:pt>
                      <c:pt idx="28">
                        <c:v>342574</c:v>
                      </c:pt>
                      <c:pt idx="29">
                        <c:v>427416</c:v>
                      </c:pt>
                      <c:pt idx="30">
                        <c:v>531412</c:v>
                      </c:pt>
                      <c:pt idx="31">
                        <c:v>657866</c:v>
                      </c:pt>
                      <c:pt idx="32">
                        <c:v>810098</c:v>
                      </c:pt>
                      <c:pt idx="33">
                        <c:v>991110</c:v>
                      </c:pt>
                      <c:pt idx="34">
                        <c:v>1203090</c:v>
                      </c:pt>
                      <c:pt idx="35">
                        <c:v>1446748</c:v>
                      </c:pt>
                      <c:pt idx="36">
                        <c:v>1720533</c:v>
                      </c:pt>
                      <c:pt idx="37">
                        <c:v>2019850</c:v>
                      </c:pt>
                      <c:pt idx="38">
                        <c:v>2336487</c:v>
                      </c:pt>
                      <c:pt idx="39">
                        <c:v>2658532</c:v>
                      </c:pt>
                      <c:pt idx="40">
                        <c:v>2971043</c:v>
                      </c:pt>
                      <c:pt idx="41">
                        <c:v>3257570</c:v>
                      </c:pt>
                      <c:pt idx="42">
                        <c:v>3502335</c:v>
                      </c:pt>
                      <c:pt idx="43">
                        <c:v>3692559</c:v>
                      </c:pt>
                      <c:pt idx="44">
                        <c:v>3820272</c:v>
                      </c:pt>
                      <c:pt idx="45">
                        <c:v>3883105</c:v>
                      </c:pt>
                      <c:pt idx="46">
                        <c:v>3883920</c:v>
                      </c:pt>
                      <c:pt idx="47">
                        <c:v>3829572</c:v>
                      </c:pt>
                      <c:pt idx="48">
                        <c:v>3729292</c:v>
                      </c:pt>
                      <c:pt idx="49">
                        <c:v>3593160</c:v>
                      </c:pt>
                      <c:pt idx="50">
                        <c:v>3430941</c:v>
                      </c:pt>
                      <c:pt idx="51">
                        <c:v>3251363</c:v>
                      </c:pt>
                      <c:pt idx="52">
                        <c:v>3061779</c:v>
                      </c:pt>
                      <c:pt idx="53">
                        <c:v>2868101</c:v>
                      </c:pt>
                      <c:pt idx="54">
                        <c:v>2674897</c:v>
                      </c:pt>
                      <c:pt idx="55">
                        <c:v>2485569</c:v>
                      </c:pt>
                      <c:pt idx="56">
                        <c:v>2302550</c:v>
                      </c:pt>
                      <c:pt idx="57">
                        <c:v>2127500</c:v>
                      </c:pt>
                      <c:pt idx="58">
                        <c:v>1961471</c:v>
                      </c:pt>
                      <c:pt idx="59">
                        <c:v>1805054</c:v>
                      </c:pt>
                      <c:pt idx="60">
                        <c:v>1658493</c:v>
                      </c:pt>
                      <c:pt idx="61">
                        <c:v>1521777</c:v>
                      </c:pt>
                      <c:pt idx="62">
                        <c:v>1394713</c:v>
                      </c:pt>
                      <c:pt idx="63">
                        <c:v>1276980</c:v>
                      </c:pt>
                      <c:pt idx="64">
                        <c:v>1168172</c:v>
                      </c:pt>
                      <c:pt idx="65">
                        <c:v>1067830</c:v>
                      </c:pt>
                      <c:pt idx="66">
                        <c:v>975465</c:v>
                      </c:pt>
                      <c:pt idx="67">
                        <c:v>890576</c:v>
                      </c:pt>
                      <c:pt idx="68">
                        <c:v>812663</c:v>
                      </c:pt>
                      <c:pt idx="69">
                        <c:v>741235</c:v>
                      </c:pt>
                      <c:pt idx="70">
                        <c:v>675819</c:v>
                      </c:pt>
                      <c:pt idx="71">
                        <c:v>615962</c:v>
                      </c:pt>
                      <c:pt idx="72">
                        <c:v>561232</c:v>
                      </c:pt>
                      <c:pt idx="73">
                        <c:v>511225</c:v>
                      </c:pt>
                      <c:pt idx="74">
                        <c:v>465559</c:v>
                      </c:pt>
                      <c:pt idx="75">
                        <c:v>423880</c:v>
                      </c:pt>
                      <c:pt idx="76">
                        <c:v>385857</c:v>
                      </c:pt>
                      <c:pt idx="77">
                        <c:v>351183</c:v>
                      </c:pt>
                      <c:pt idx="78">
                        <c:v>319575</c:v>
                      </c:pt>
                      <c:pt idx="79">
                        <c:v>290771</c:v>
                      </c:pt>
                      <c:pt idx="80">
                        <c:v>264529</c:v>
                      </c:pt>
                      <c:pt idx="81">
                        <c:v>240628</c:v>
                      </c:pt>
                      <c:pt idx="82">
                        <c:v>218864</c:v>
                      </c:pt>
                      <c:pt idx="83">
                        <c:v>199050</c:v>
                      </c:pt>
                      <c:pt idx="84">
                        <c:v>181015</c:v>
                      </c:pt>
                      <c:pt idx="85">
                        <c:v>164602</c:v>
                      </c:pt>
                      <c:pt idx="86">
                        <c:v>149667</c:v>
                      </c:pt>
                      <c:pt idx="87">
                        <c:v>136079</c:v>
                      </c:pt>
                      <c:pt idx="88">
                        <c:v>123718</c:v>
                      </c:pt>
                      <c:pt idx="89">
                        <c:v>112474</c:v>
                      </c:pt>
                      <c:pt idx="90">
                        <c:v>102247</c:v>
                      </c:pt>
                      <c:pt idx="91">
                        <c:v>92946</c:v>
                      </c:pt>
                      <c:pt idx="92">
                        <c:v>84488</c:v>
                      </c:pt>
                      <c:pt idx="93">
                        <c:v>76797</c:v>
                      </c:pt>
                      <c:pt idx="94">
                        <c:v>69804</c:v>
                      </c:pt>
                      <c:pt idx="95">
                        <c:v>63446</c:v>
                      </c:pt>
                      <c:pt idx="96">
                        <c:v>57666</c:v>
                      </c:pt>
                      <c:pt idx="97">
                        <c:v>52411</c:v>
                      </c:pt>
                      <c:pt idx="98">
                        <c:v>47634</c:v>
                      </c:pt>
                      <c:pt idx="99">
                        <c:v>43292</c:v>
                      </c:pt>
                      <c:pt idx="100">
                        <c:v>39345</c:v>
                      </c:pt>
                      <c:pt idx="101">
                        <c:v>35757</c:v>
                      </c:pt>
                      <c:pt idx="102">
                        <c:v>32496</c:v>
                      </c:pt>
                      <c:pt idx="103">
                        <c:v>29532</c:v>
                      </c:pt>
                      <c:pt idx="104">
                        <c:v>26838</c:v>
                      </c:pt>
                      <c:pt idx="105">
                        <c:v>24389</c:v>
                      </c:pt>
                      <c:pt idx="106">
                        <c:v>22164</c:v>
                      </c:pt>
                      <c:pt idx="107">
                        <c:v>20142</c:v>
                      </c:pt>
                      <c:pt idx="108">
                        <c:v>18304</c:v>
                      </c:pt>
                      <c:pt idx="109">
                        <c:v>16634</c:v>
                      </c:pt>
                      <c:pt idx="110">
                        <c:v>15116</c:v>
                      </c:pt>
                      <c:pt idx="111">
                        <c:v>13736</c:v>
                      </c:pt>
                      <c:pt idx="112">
                        <c:v>12482</c:v>
                      </c:pt>
                      <c:pt idx="113">
                        <c:v>11343</c:v>
                      </c:pt>
                      <c:pt idx="114">
                        <c:v>10308</c:v>
                      </c:pt>
                      <c:pt idx="115">
                        <c:v>9367</c:v>
                      </c:pt>
                      <c:pt idx="116">
                        <c:v>8512</c:v>
                      </c:pt>
                      <c:pt idx="117">
                        <c:v>7735</c:v>
                      </c:pt>
                      <c:pt idx="118">
                        <c:v>7029</c:v>
                      </c:pt>
                      <c:pt idx="119">
                        <c:v>6387</c:v>
                      </c:pt>
                      <c:pt idx="120">
                        <c:v>5804</c:v>
                      </c:pt>
                      <c:pt idx="121">
                        <c:v>5274</c:v>
                      </c:pt>
                      <c:pt idx="122">
                        <c:v>4792</c:v>
                      </c:pt>
                      <c:pt idx="123">
                        <c:v>4354</c:v>
                      </c:pt>
                      <c:pt idx="124">
                        <c:v>3956</c:v>
                      </c:pt>
                      <c:pt idx="125">
                        <c:v>3595</c:v>
                      </c:pt>
                      <c:pt idx="126">
                        <c:v>3267</c:v>
                      </c:pt>
                      <c:pt idx="127">
                        <c:v>2969</c:v>
                      </c:pt>
                      <c:pt idx="128">
                        <c:v>2698</c:v>
                      </c:pt>
                      <c:pt idx="129">
                        <c:v>2452</c:v>
                      </c:pt>
                      <c:pt idx="130">
                        <c:v>2228</c:v>
                      </c:pt>
                      <c:pt idx="131">
                        <c:v>2025</c:v>
                      </c:pt>
                      <c:pt idx="132">
                        <c:v>1840</c:v>
                      </c:pt>
                      <c:pt idx="133">
                        <c:v>1672</c:v>
                      </c:pt>
                      <c:pt idx="134">
                        <c:v>1519</c:v>
                      </c:pt>
                      <c:pt idx="135">
                        <c:v>1380</c:v>
                      </c:pt>
                      <c:pt idx="136">
                        <c:v>1254</c:v>
                      </c:pt>
                      <c:pt idx="137">
                        <c:v>1139</c:v>
                      </c:pt>
                      <c:pt idx="138">
                        <c:v>1035</c:v>
                      </c:pt>
                      <c:pt idx="139">
                        <c:v>940</c:v>
                      </c:pt>
                      <c:pt idx="140">
                        <c:v>854</c:v>
                      </c:pt>
                      <c:pt idx="141">
                        <c:v>776</c:v>
                      </c:pt>
                      <c:pt idx="142">
                        <c:v>705</c:v>
                      </c:pt>
                      <c:pt idx="143">
                        <c:v>641</c:v>
                      </c:pt>
                      <c:pt idx="144">
                        <c:v>582</c:v>
                      </c:pt>
                      <c:pt idx="145">
                        <c:v>529</c:v>
                      </c:pt>
                      <c:pt idx="146">
                        <c:v>481</c:v>
                      </c:pt>
                      <c:pt idx="147">
                        <c:v>437</c:v>
                      </c:pt>
                      <c:pt idx="148">
                        <c:v>397</c:v>
                      </c:pt>
                      <c:pt idx="149">
                        <c:v>361</c:v>
                      </c:pt>
                      <c:pt idx="150">
                        <c:v>328</c:v>
                      </c:pt>
                      <c:pt idx="151">
                        <c:v>298</c:v>
                      </c:pt>
                      <c:pt idx="152">
                        <c:v>271</c:v>
                      </c:pt>
                      <c:pt idx="153">
                        <c:v>246</c:v>
                      </c:pt>
                      <c:pt idx="154">
                        <c:v>224</c:v>
                      </c:pt>
                      <c:pt idx="155">
                        <c:v>204</c:v>
                      </c:pt>
                      <c:pt idx="156">
                        <c:v>185</c:v>
                      </c:pt>
                      <c:pt idx="157">
                        <c:v>168</c:v>
                      </c:pt>
                      <c:pt idx="158">
                        <c:v>153</c:v>
                      </c:pt>
                      <c:pt idx="159">
                        <c:v>139</c:v>
                      </c:pt>
                      <c:pt idx="160">
                        <c:v>126</c:v>
                      </c:pt>
                      <c:pt idx="161">
                        <c:v>114</c:v>
                      </c:pt>
                      <c:pt idx="162">
                        <c:v>104</c:v>
                      </c:pt>
                      <c:pt idx="163">
                        <c:v>95</c:v>
                      </c:pt>
                      <c:pt idx="164">
                        <c:v>86</c:v>
                      </c:pt>
                      <c:pt idx="165">
                        <c:v>78</c:v>
                      </c:pt>
                      <c:pt idx="166">
                        <c:v>71</c:v>
                      </c:pt>
                      <c:pt idx="167">
                        <c:v>65</c:v>
                      </c:pt>
                      <c:pt idx="168">
                        <c:v>59</c:v>
                      </c:pt>
                      <c:pt idx="169">
                        <c:v>54</c:v>
                      </c:pt>
                      <c:pt idx="170">
                        <c:v>49</c:v>
                      </c:pt>
                      <c:pt idx="171">
                        <c:v>45</c:v>
                      </c:pt>
                      <c:pt idx="172">
                        <c:v>41</c:v>
                      </c:pt>
                      <c:pt idx="173">
                        <c:v>37</c:v>
                      </c:pt>
                      <c:pt idx="174">
                        <c:v>34</c:v>
                      </c:pt>
                      <c:pt idx="175">
                        <c:v>31</c:v>
                      </c:pt>
                      <c:pt idx="176">
                        <c:v>28</c:v>
                      </c:pt>
                      <c:pt idx="177">
                        <c:v>25</c:v>
                      </c:pt>
                      <c:pt idx="178">
                        <c:v>23</c:v>
                      </c:pt>
                      <c:pt idx="179">
                        <c:v>21</c:v>
                      </c:pt>
                      <c:pt idx="180">
                        <c:v>19</c:v>
                      </c:pt>
                      <c:pt idx="181">
                        <c:v>17</c:v>
                      </c:pt>
                      <c:pt idx="182">
                        <c:v>15</c:v>
                      </c:pt>
                      <c:pt idx="183">
                        <c:v>14</c:v>
                      </c:pt>
                      <c:pt idx="184">
                        <c:v>13</c:v>
                      </c:pt>
                      <c:pt idx="185">
                        <c:v>12</c:v>
                      </c:pt>
                      <c:pt idx="186">
                        <c:v>11</c:v>
                      </c:pt>
                      <c:pt idx="187">
                        <c:v>10</c:v>
                      </c:pt>
                      <c:pt idx="188">
                        <c:v>9</c:v>
                      </c:pt>
                      <c:pt idx="189">
                        <c:v>8</c:v>
                      </c:pt>
                      <c:pt idx="190">
                        <c:v>7</c:v>
                      </c:pt>
                      <c:pt idx="191">
                        <c:v>6</c:v>
                      </c:pt>
                      <c:pt idx="192">
                        <c:v>5</c:v>
                      </c:pt>
                      <c:pt idx="193">
                        <c:v>5</c:v>
                      </c:pt>
                      <c:pt idx="194">
                        <c:v>5</c:v>
                      </c:pt>
                      <c:pt idx="195">
                        <c:v>5</c:v>
                      </c:pt>
                      <c:pt idx="196">
                        <c:v>5</c:v>
                      </c:pt>
                      <c:pt idx="197">
                        <c:v>5</c:v>
                      </c:pt>
                      <c:pt idx="198">
                        <c:v>5</c:v>
                      </c:pt>
                      <c:pt idx="199">
                        <c:v>5</c:v>
                      </c:pt>
                      <c:pt idx="200">
                        <c:v>5</c:v>
                      </c:pt>
                      <c:pt idx="201">
                        <c:v>5</c:v>
                      </c:pt>
                      <c:pt idx="202">
                        <c:v>5</c:v>
                      </c:pt>
                      <c:pt idx="203">
                        <c:v>5</c:v>
                      </c:pt>
                      <c:pt idx="204">
                        <c:v>5</c:v>
                      </c:pt>
                      <c:pt idx="205">
                        <c:v>5</c:v>
                      </c:pt>
                      <c:pt idx="206">
                        <c:v>5</c:v>
                      </c:pt>
                      <c:pt idx="207">
                        <c:v>5</c:v>
                      </c:pt>
                      <c:pt idx="208">
                        <c:v>5</c:v>
                      </c:pt>
                      <c:pt idx="209">
                        <c:v>5</c:v>
                      </c:pt>
                      <c:pt idx="210">
                        <c:v>5</c:v>
                      </c:pt>
                      <c:pt idx="211">
                        <c:v>5</c:v>
                      </c:pt>
                      <c:pt idx="212">
                        <c:v>5</c:v>
                      </c:pt>
                      <c:pt idx="213">
                        <c:v>5</c:v>
                      </c:pt>
                      <c:pt idx="214">
                        <c:v>5</c:v>
                      </c:pt>
                      <c:pt idx="215">
                        <c:v>5</c:v>
                      </c:pt>
                      <c:pt idx="216">
                        <c:v>5</c:v>
                      </c:pt>
                      <c:pt idx="217">
                        <c:v>5</c:v>
                      </c:pt>
                      <c:pt idx="218">
                        <c:v>5</c:v>
                      </c:pt>
                      <c:pt idx="219">
                        <c:v>5</c:v>
                      </c:pt>
                      <c:pt idx="220">
                        <c:v>5</c:v>
                      </c:pt>
                      <c:pt idx="221">
                        <c:v>5</c:v>
                      </c:pt>
                      <c:pt idx="222">
                        <c:v>5</c:v>
                      </c:pt>
                      <c:pt idx="223">
                        <c:v>5</c:v>
                      </c:pt>
                      <c:pt idx="224">
                        <c:v>5</c:v>
                      </c:pt>
                      <c:pt idx="225">
                        <c:v>5</c:v>
                      </c:pt>
                      <c:pt idx="226">
                        <c:v>5</c:v>
                      </c:pt>
                      <c:pt idx="227">
                        <c:v>5</c:v>
                      </c:pt>
                      <c:pt idx="228">
                        <c:v>5</c:v>
                      </c:pt>
                      <c:pt idx="229">
                        <c:v>5</c:v>
                      </c:pt>
                      <c:pt idx="230">
                        <c:v>5</c:v>
                      </c:pt>
                      <c:pt idx="231">
                        <c:v>5</c:v>
                      </c:pt>
                      <c:pt idx="232">
                        <c:v>5</c:v>
                      </c:pt>
                      <c:pt idx="233">
                        <c:v>5</c:v>
                      </c:pt>
                      <c:pt idx="234">
                        <c:v>5</c:v>
                      </c:pt>
                      <c:pt idx="235">
                        <c:v>5</c:v>
                      </c:pt>
                      <c:pt idx="236">
                        <c:v>5</c:v>
                      </c:pt>
                      <c:pt idx="237">
                        <c:v>5</c:v>
                      </c:pt>
                      <c:pt idx="238">
                        <c:v>5</c:v>
                      </c:pt>
                      <c:pt idx="239">
                        <c:v>5</c:v>
                      </c:pt>
                      <c:pt idx="240">
                        <c:v>5</c:v>
                      </c:pt>
                      <c:pt idx="241">
                        <c:v>5</c:v>
                      </c:pt>
                      <c:pt idx="242">
                        <c:v>5</c:v>
                      </c:pt>
                      <c:pt idx="243">
                        <c:v>5</c:v>
                      </c:pt>
                      <c:pt idx="244">
                        <c:v>5</c:v>
                      </c:pt>
                      <c:pt idx="245">
                        <c:v>5</c:v>
                      </c:pt>
                      <c:pt idx="246">
                        <c:v>5</c:v>
                      </c:pt>
                      <c:pt idx="247">
                        <c:v>5</c:v>
                      </c:pt>
                      <c:pt idx="248">
                        <c:v>5</c:v>
                      </c:pt>
                      <c:pt idx="249">
                        <c:v>5</c:v>
                      </c:pt>
                      <c:pt idx="250">
                        <c:v>5</c:v>
                      </c:pt>
                      <c:pt idx="251">
                        <c:v>5</c:v>
                      </c:pt>
                      <c:pt idx="252">
                        <c:v>5</c:v>
                      </c:pt>
                      <c:pt idx="253">
                        <c:v>5</c:v>
                      </c:pt>
                      <c:pt idx="254">
                        <c:v>5</c:v>
                      </c:pt>
                      <c:pt idx="255">
                        <c:v>5</c:v>
                      </c:pt>
                      <c:pt idx="256">
                        <c:v>5</c:v>
                      </c:pt>
                      <c:pt idx="257">
                        <c:v>5</c:v>
                      </c:pt>
                      <c:pt idx="258">
                        <c:v>5</c:v>
                      </c:pt>
                      <c:pt idx="259">
                        <c:v>5</c:v>
                      </c:pt>
                      <c:pt idx="260">
                        <c:v>5</c:v>
                      </c:pt>
                      <c:pt idx="261">
                        <c:v>5</c:v>
                      </c:pt>
                      <c:pt idx="262">
                        <c:v>5</c:v>
                      </c:pt>
                      <c:pt idx="263">
                        <c:v>5</c:v>
                      </c:pt>
                      <c:pt idx="264">
                        <c:v>5</c:v>
                      </c:pt>
                      <c:pt idx="265">
                        <c:v>5</c:v>
                      </c:pt>
                      <c:pt idx="266">
                        <c:v>5</c:v>
                      </c:pt>
                      <c:pt idx="267">
                        <c:v>5</c:v>
                      </c:pt>
                      <c:pt idx="268">
                        <c:v>5</c:v>
                      </c:pt>
                      <c:pt idx="269">
                        <c:v>5</c:v>
                      </c:pt>
                      <c:pt idx="270">
                        <c:v>5</c:v>
                      </c:pt>
                      <c:pt idx="271">
                        <c:v>5</c:v>
                      </c:pt>
                      <c:pt idx="272">
                        <c:v>5</c:v>
                      </c:pt>
                      <c:pt idx="273">
                        <c:v>5</c:v>
                      </c:pt>
                      <c:pt idx="274">
                        <c:v>5</c:v>
                      </c:pt>
                      <c:pt idx="275">
                        <c:v>5</c:v>
                      </c:pt>
                      <c:pt idx="276">
                        <c:v>5</c:v>
                      </c:pt>
                      <c:pt idx="277">
                        <c:v>5</c:v>
                      </c:pt>
                      <c:pt idx="278">
                        <c:v>5</c:v>
                      </c:pt>
                      <c:pt idx="279">
                        <c:v>5</c:v>
                      </c:pt>
                      <c:pt idx="280">
                        <c:v>5</c:v>
                      </c:pt>
                      <c:pt idx="281">
                        <c:v>5</c:v>
                      </c:pt>
                      <c:pt idx="282">
                        <c:v>5</c:v>
                      </c:pt>
                      <c:pt idx="283">
                        <c:v>5</c:v>
                      </c:pt>
                      <c:pt idx="284">
                        <c:v>5</c:v>
                      </c:pt>
                      <c:pt idx="285">
                        <c:v>5</c:v>
                      </c:pt>
                      <c:pt idx="286">
                        <c:v>5</c:v>
                      </c:pt>
                      <c:pt idx="287">
                        <c:v>5</c:v>
                      </c:pt>
                      <c:pt idx="288">
                        <c:v>5</c:v>
                      </c:pt>
                      <c:pt idx="289">
                        <c:v>5</c:v>
                      </c:pt>
                      <c:pt idx="290">
                        <c:v>5</c:v>
                      </c:pt>
                      <c:pt idx="291">
                        <c:v>5</c:v>
                      </c:pt>
                      <c:pt idx="292">
                        <c:v>5</c:v>
                      </c:pt>
                      <c:pt idx="293">
                        <c:v>5</c:v>
                      </c:pt>
                      <c:pt idx="294">
                        <c:v>5</c:v>
                      </c:pt>
                      <c:pt idx="295">
                        <c:v>5</c:v>
                      </c:pt>
                      <c:pt idx="296">
                        <c:v>5</c:v>
                      </c:pt>
                      <c:pt idx="297">
                        <c:v>5</c:v>
                      </c:pt>
                      <c:pt idx="298">
                        <c:v>5</c:v>
                      </c:pt>
                      <c:pt idx="299">
                        <c:v>5</c:v>
                      </c:pt>
                      <c:pt idx="300">
                        <c:v>5</c:v>
                      </c:pt>
                      <c:pt idx="301">
                        <c:v>5</c:v>
                      </c:pt>
                      <c:pt idx="302">
                        <c:v>5</c:v>
                      </c:pt>
                      <c:pt idx="303">
                        <c:v>5</c:v>
                      </c:pt>
                      <c:pt idx="304">
                        <c:v>5</c:v>
                      </c:pt>
                      <c:pt idx="305">
                        <c:v>5</c:v>
                      </c:pt>
                    </c:numCache>
                  </c:numRef>
                </c:yVal>
                <c:smooth val="0"/>
                <c:extLst xmlns:c15="http://schemas.microsoft.com/office/drawing/2012/chart">
                  <c:ext xmlns:c16="http://schemas.microsoft.com/office/drawing/2014/chart" uri="{C3380CC4-5D6E-409C-BE32-E72D297353CC}">
                    <c16:uniqueId val="{00000003-6893-443E-9A8F-D9A984D6030C}"/>
                  </c:ext>
                </c:extLst>
              </c15:ser>
            </c15:filteredScatterSeries>
            <c15:filteredScatterSeries>
              <c15:ser>
                <c:idx val="12"/>
                <c:order val="14"/>
                <c:tx>
                  <c:v>Hypothetical SIR Model SARS - Death</c:v>
                </c:tx>
                <c:spPr>
                  <a:ln w="25400" cap="rnd">
                    <a:noFill/>
                    <a:round/>
                  </a:ln>
                  <a:effectLst/>
                </c:spPr>
                <c:marker>
                  <c:symbol val="diamond"/>
                  <c:size val="5"/>
                  <c:spPr>
                    <a:solidFill>
                      <a:srgbClr val="FF0000"/>
                    </a:solidFill>
                    <a:ln w="9525">
                      <a:solidFill>
                        <a:srgbClr val="180000"/>
                      </a:solidFill>
                    </a:ln>
                    <a:effectLst/>
                  </c:spPr>
                </c:marker>
                <c:xVal>
                  <c:numRef>
                    <c:extLst xmlns:c15="http://schemas.microsoft.com/office/drawing/2012/chart">
                      <c:ext xmlns:c15="http://schemas.microsoft.com/office/drawing/2012/chart" uri="{02D57815-91ED-43cb-92C2-25804820EDAC}">
                        <c15:formulaRef>
                          <c15:sqref>Data!$A$25:$A$308</c15:sqref>
                        </c15:formulaRef>
                      </c:ext>
                    </c:extLst>
                    <c:numCache>
                      <c:formatCode>d\-mmm</c:formatCode>
                      <c:ptCount val="284"/>
                      <c:pt idx="0">
                        <c:v>43913</c:v>
                      </c:pt>
                      <c:pt idx="1">
                        <c:v>43914</c:v>
                      </c:pt>
                      <c:pt idx="2">
                        <c:v>43915</c:v>
                      </c:pt>
                      <c:pt idx="3">
                        <c:v>43916</c:v>
                      </c:pt>
                      <c:pt idx="4">
                        <c:v>43917</c:v>
                      </c:pt>
                      <c:pt idx="5">
                        <c:v>43918</c:v>
                      </c:pt>
                      <c:pt idx="6">
                        <c:v>43919</c:v>
                      </c:pt>
                      <c:pt idx="7">
                        <c:v>43920</c:v>
                      </c:pt>
                      <c:pt idx="8">
                        <c:v>43921</c:v>
                      </c:pt>
                      <c:pt idx="9">
                        <c:v>43922</c:v>
                      </c:pt>
                      <c:pt idx="10">
                        <c:v>43923</c:v>
                      </c:pt>
                      <c:pt idx="11">
                        <c:v>43924</c:v>
                      </c:pt>
                      <c:pt idx="12">
                        <c:v>43925</c:v>
                      </c:pt>
                      <c:pt idx="13">
                        <c:v>43926</c:v>
                      </c:pt>
                      <c:pt idx="14">
                        <c:v>43927</c:v>
                      </c:pt>
                      <c:pt idx="15">
                        <c:v>43928</c:v>
                      </c:pt>
                      <c:pt idx="16">
                        <c:v>43929</c:v>
                      </c:pt>
                      <c:pt idx="17">
                        <c:v>43930</c:v>
                      </c:pt>
                      <c:pt idx="18">
                        <c:v>43931</c:v>
                      </c:pt>
                      <c:pt idx="19">
                        <c:v>43932</c:v>
                      </c:pt>
                      <c:pt idx="20">
                        <c:v>43933</c:v>
                      </c:pt>
                      <c:pt idx="21">
                        <c:v>43934</c:v>
                      </c:pt>
                      <c:pt idx="22">
                        <c:v>43935</c:v>
                      </c:pt>
                      <c:pt idx="23">
                        <c:v>43936</c:v>
                      </c:pt>
                      <c:pt idx="24">
                        <c:v>43937</c:v>
                      </c:pt>
                      <c:pt idx="25">
                        <c:v>43938</c:v>
                      </c:pt>
                      <c:pt idx="26">
                        <c:v>43939</c:v>
                      </c:pt>
                      <c:pt idx="27">
                        <c:v>43940</c:v>
                      </c:pt>
                      <c:pt idx="28">
                        <c:v>43941</c:v>
                      </c:pt>
                      <c:pt idx="29">
                        <c:v>43942</c:v>
                      </c:pt>
                      <c:pt idx="30">
                        <c:v>43943</c:v>
                      </c:pt>
                      <c:pt idx="31">
                        <c:v>43944</c:v>
                      </c:pt>
                      <c:pt idx="32">
                        <c:v>43945</c:v>
                      </c:pt>
                      <c:pt idx="33">
                        <c:v>43946</c:v>
                      </c:pt>
                      <c:pt idx="34">
                        <c:v>43947</c:v>
                      </c:pt>
                      <c:pt idx="35">
                        <c:v>43948</c:v>
                      </c:pt>
                      <c:pt idx="36">
                        <c:v>43949</c:v>
                      </c:pt>
                      <c:pt idx="37">
                        <c:v>43950</c:v>
                      </c:pt>
                      <c:pt idx="38">
                        <c:v>43951</c:v>
                      </c:pt>
                      <c:pt idx="39">
                        <c:v>43952</c:v>
                      </c:pt>
                      <c:pt idx="40">
                        <c:v>43953</c:v>
                      </c:pt>
                      <c:pt idx="41">
                        <c:v>43954</c:v>
                      </c:pt>
                      <c:pt idx="42">
                        <c:v>43955</c:v>
                      </c:pt>
                      <c:pt idx="43">
                        <c:v>43956</c:v>
                      </c:pt>
                      <c:pt idx="44">
                        <c:v>43957</c:v>
                      </c:pt>
                      <c:pt idx="45">
                        <c:v>43958</c:v>
                      </c:pt>
                      <c:pt idx="46">
                        <c:v>43959</c:v>
                      </c:pt>
                      <c:pt idx="47">
                        <c:v>43960</c:v>
                      </c:pt>
                      <c:pt idx="48">
                        <c:v>43961</c:v>
                      </c:pt>
                      <c:pt idx="49">
                        <c:v>43962</c:v>
                      </c:pt>
                      <c:pt idx="50">
                        <c:v>43963</c:v>
                      </c:pt>
                      <c:pt idx="51">
                        <c:v>43964</c:v>
                      </c:pt>
                      <c:pt idx="52">
                        <c:v>43965</c:v>
                      </c:pt>
                      <c:pt idx="53">
                        <c:v>43966</c:v>
                      </c:pt>
                      <c:pt idx="54">
                        <c:v>43967</c:v>
                      </c:pt>
                      <c:pt idx="55">
                        <c:v>43968</c:v>
                      </c:pt>
                      <c:pt idx="56">
                        <c:v>43969</c:v>
                      </c:pt>
                      <c:pt idx="57">
                        <c:v>43970</c:v>
                      </c:pt>
                      <c:pt idx="58">
                        <c:v>43971</c:v>
                      </c:pt>
                      <c:pt idx="59">
                        <c:v>43972</c:v>
                      </c:pt>
                      <c:pt idx="60">
                        <c:v>43973</c:v>
                      </c:pt>
                      <c:pt idx="61">
                        <c:v>43974</c:v>
                      </c:pt>
                      <c:pt idx="62">
                        <c:v>43975</c:v>
                      </c:pt>
                      <c:pt idx="63">
                        <c:v>43976</c:v>
                      </c:pt>
                      <c:pt idx="64">
                        <c:v>43977</c:v>
                      </c:pt>
                      <c:pt idx="65">
                        <c:v>43978</c:v>
                      </c:pt>
                      <c:pt idx="66">
                        <c:v>43979</c:v>
                      </c:pt>
                      <c:pt idx="67">
                        <c:v>43980</c:v>
                      </c:pt>
                      <c:pt idx="68">
                        <c:v>43981</c:v>
                      </c:pt>
                      <c:pt idx="69">
                        <c:v>43982</c:v>
                      </c:pt>
                      <c:pt idx="70">
                        <c:v>43983</c:v>
                      </c:pt>
                      <c:pt idx="71">
                        <c:v>43984</c:v>
                      </c:pt>
                      <c:pt idx="72">
                        <c:v>43985</c:v>
                      </c:pt>
                      <c:pt idx="73">
                        <c:v>43986</c:v>
                      </c:pt>
                      <c:pt idx="74">
                        <c:v>43987</c:v>
                      </c:pt>
                      <c:pt idx="75">
                        <c:v>43988</c:v>
                      </c:pt>
                      <c:pt idx="76">
                        <c:v>43989</c:v>
                      </c:pt>
                      <c:pt idx="77">
                        <c:v>43990</c:v>
                      </c:pt>
                      <c:pt idx="78">
                        <c:v>43991</c:v>
                      </c:pt>
                      <c:pt idx="79">
                        <c:v>43992</c:v>
                      </c:pt>
                      <c:pt idx="80">
                        <c:v>43993</c:v>
                      </c:pt>
                      <c:pt idx="81">
                        <c:v>43994</c:v>
                      </c:pt>
                      <c:pt idx="82">
                        <c:v>43995</c:v>
                      </c:pt>
                      <c:pt idx="83">
                        <c:v>43996</c:v>
                      </c:pt>
                      <c:pt idx="84">
                        <c:v>43997</c:v>
                      </c:pt>
                      <c:pt idx="85">
                        <c:v>43998</c:v>
                      </c:pt>
                      <c:pt idx="86">
                        <c:v>43999</c:v>
                      </c:pt>
                      <c:pt idx="87">
                        <c:v>44000</c:v>
                      </c:pt>
                      <c:pt idx="88">
                        <c:v>44001</c:v>
                      </c:pt>
                      <c:pt idx="89">
                        <c:v>44002</c:v>
                      </c:pt>
                      <c:pt idx="90">
                        <c:v>44003</c:v>
                      </c:pt>
                      <c:pt idx="91">
                        <c:v>44004</c:v>
                      </c:pt>
                      <c:pt idx="92">
                        <c:v>44005</c:v>
                      </c:pt>
                      <c:pt idx="93">
                        <c:v>44006</c:v>
                      </c:pt>
                      <c:pt idx="94">
                        <c:v>44007</c:v>
                      </c:pt>
                      <c:pt idx="95">
                        <c:v>44008</c:v>
                      </c:pt>
                      <c:pt idx="96">
                        <c:v>44009</c:v>
                      </c:pt>
                      <c:pt idx="97">
                        <c:v>44010</c:v>
                      </c:pt>
                      <c:pt idx="98">
                        <c:v>44011</c:v>
                      </c:pt>
                      <c:pt idx="99">
                        <c:v>44012</c:v>
                      </c:pt>
                      <c:pt idx="100">
                        <c:v>44013</c:v>
                      </c:pt>
                      <c:pt idx="101">
                        <c:v>44014</c:v>
                      </c:pt>
                      <c:pt idx="102">
                        <c:v>44015</c:v>
                      </c:pt>
                      <c:pt idx="103">
                        <c:v>44016</c:v>
                      </c:pt>
                      <c:pt idx="104">
                        <c:v>44017</c:v>
                      </c:pt>
                      <c:pt idx="105">
                        <c:v>44018</c:v>
                      </c:pt>
                      <c:pt idx="106">
                        <c:v>44019</c:v>
                      </c:pt>
                      <c:pt idx="107">
                        <c:v>44020</c:v>
                      </c:pt>
                      <c:pt idx="108">
                        <c:v>44021</c:v>
                      </c:pt>
                      <c:pt idx="109">
                        <c:v>44022</c:v>
                      </c:pt>
                      <c:pt idx="110">
                        <c:v>44023</c:v>
                      </c:pt>
                      <c:pt idx="111">
                        <c:v>44024</c:v>
                      </c:pt>
                      <c:pt idx="112">
                        <c:v>44025</c:v>
                      </c:pt>
                      <c:pt idx="113">
                        <c:v>44026</c:v>
                      </c:pt>
                      <c:pt idx="114">
                        <c:v>44027</c:v>
                      </c:pt>
                      <c:pt idx="115">
                        <c:v>44028</c:v>
                      </c:pt>
                      <c:pt idx="116">
                        <c:v>44029</c:v>
                      </c:pt>
                      <c:pt idx="117">
                        <c:v>44030</c:v>
                      </c:pt>
                      <c:pt idx="118">
                        <c:v>44031</c:v>
                      </c:pt>
                      <c:pt idx="119">
                        <c:v>44032</c:v>
                      </c:pt>
                      <c:pt idx="120">
                        <c:v>44033</c:v>
                      </c:pt>
                      <c:pt idx="121">
                        <c:v>44034</c:v>
                      </c:pt>
                      <c:pt idx="122">
                        <c:v>44035</c:v>
                      </c:pt>
                      <c:pt idx="123">
                        <c:v>44036</c:v>
                      </c:pt>
                      <c:pt idx="124">
                        <c:v>44037</c:v>
                      </c:pt>
                      <c:pt idx="125">
                        <c:v>44038</c:v>
                      </c:pt>
                      <c:pt idx="126">
                        <c:v>44039</c:v>
                      </c:pt>
                      <c:pt idx="127">
                        <c:v>44040</c:v>
                      </c:pt>
                      <c:pt idx="128">
                        <c:v>44041</c:v>
                      </c:pt>
                      <c:pt idx="129">
                        <c:v>44042</c:v>
                      </c:pt>
                      <c:pt idx="130">
                        <c:v>44043</c:v>
                      </c:pt>
                      <c:pt idx="131">
                        <c:v>44044</c:v>
                      </c:pt>
                      <c:pt idx="132">
                        <c:v>44045</c:v>
                      </c:pt>
                      <c:pt idx="133">
                        <c:v>44046</c:v>
                      </c:pt>
                      <c:pt idx="134">
                        <c:v>44047</c:v>
                      </c:pt>
                      <c:pt idx="135">
                        <c:v>44048</c:v>
                      </c:pt>
                      <c:pt idx="136">
                        <c:v>44049</c:v>
                      </c:pt>
                      <c:pt idx="137">
                        <c:v>44050</c:v>
                      </c:pt>
                      <c:pt idx="138">
                        <c:v>44051</c:v>
                      </c:pt>
                      <c:pt idx="139">
                        <c:v>44052</c:v>
                      </c:pt>
                      <c:pt idx="140">
                        <c:v>44053</c:v>
                      </c:pt>
                      <c:pt idx="141">
                        <c:v>44054</c:v>
                      </c:pt>
                      <c:pt idx="142">
                        <c:v>44055</c:v>
                      </c:pt>
                      <c:pt idx="143">
                        <c:v>44056</c:v>
                      </c:pt>
                      <c:pt idx="144">
                        <c:v>44057</c:v>
                      </c:pt>
                      <c:pt idx="145">
                        <c:v>44058</c:v>
                      </c:pt>
                      <c:pt idx="146">
                        <c:v>44059</c:v>
                      </c:pt>
                      <c:pt idx="147">
                        <c:v>44060</c:v>
                      </c:pt>
                      <c:pt idx="148">
                        <c:v>44061</c:v>
                      </c:pt>
                      <c:pt idx="149">
                        <c:v>44062</c:v>
                      </c:pt>
                      <c:pt idx="150">
                        <c:v>44063</c:v>
                      </c:pt>
                      <c:pt idx="151">
                        <c:v>44064</c:v>
                      </c:pt>
                      <c:pt idx="152">
                        <c:v>44065</c:v>
                      </c:pt>
                      <c:pt idx="153">
                        <c:v>44066</c:v>
                      </c:pt>
                      <c:pt idx="154">
                        <c:v>44067</c:v>
                      </c:pt>
                      <c:pt idx="155">
                        <c:v>44068</c:v>
                      </c:pt>
                      <c:pt idx="156">
                        <c:v>44069</c:v>
                      </c:pt>
                      <c:pt idx="157">
                        <c:v>44070</c:v>
                      </c:pt>
                      <c:pt idx="158">
                        <c:v>44071</c:v>
                      </c:pt>
                      <c:pt idx="159">
                        <c:v>44072</c:v>
                      </c:pt>
                      <c:pt idx="160">
                        <c:v>44073</c:v>
                      </c:pt>
                      <c:pt idx="161">
                        <c:v>44074</c:v>
                      </c:pt>
                      <c:pt idx="162">
                        <c:v>44075</c:v>
                      </c:pt>
                      <c:pt idx="163">
                        <c:v>44076</c:v>
                      </c:pt>
                      <c:pt idx="164">
                        <c:v>44077</c:v>
                      </c:pt>
                      <c:pt idx="165">
                        <c:v>44078</c:v>
                      </c:pt>
                      <c:pt idx="166">
                        <c:v>44079</c:v>
                      </c:pt>
                      <c:pt idx="167">
                        <c:v>44080</c:v>
                      </c:pt>
                      <c:pt idx="168">
                        <c:v>44081</c:v>
                      </c:pt>
                      <c:pt idx="169">
                        <c:v>44082</c:v>
                      </c:pt>
                      <c:pt idx="170">
                        <c:v>44083</c:v>
                      </c:pt>
                      <c:pt idx="171">
                        <c:v>44084</c:v>
                      </c:pt>
                      <c:pt idx="172">
                        <c:v>44085</c:v>
                      </c:pt>
                      <c:pt idx="173">
                        <c:v>44086</c:v>
                      </c:pt>
                      <c:pt idx="174">
                        <c:v>44087</c:v>
                      </c:pt>
                      <c:pt idx="175">
                        <c:v>44088</c:v>
                      </c:pt>
                      <c:pt idx="176">
                        <c:v>44089</c:v>
                      </c:pt>
                      <c:pt idx="177">
                        <c:v>44090</c:v>
                      </c:pt>
                      <c:pt idx="178">
                        <c:v>44091</c:v>
                      </c:pt>
                      <c:pt idx="179">
                        <c:v>44092</c:v>
                      </c:pt>
                      <c:pt idx="180">
                        <c:v>44093</c:v>
                      </c:pt>
                      <c:pt idx="181">
                        <c:v>44094</c:v>
                      </c:pt>
                      <c:pt idx="182">
                        <c:v>44095</c:v>
                      </c:pt>
                      <c:pt idx="183">
                        <c:v>44096</c:v>
                      </c:pt>
                      <c:pt idx="184">
                        <c:v>44097</c:v>
                      </c:pt>
                      <c:pt idx="185">
                        <c:v>44098</c:v>
                      </c:pt>
                      <c:pt idx="186">
                        <c:v>44099</c:v>
                      </c:pt>
                      <c:pt idx="187">
                        <c:v>44100</c:v>
                      </c:pt>
                      <c:pt idx="188">
                        <c:v>44101</c:v>
                      </c:pt>
                      <c:pt idx="189">
                        <c:v>44102</c:v>
                      </c:pt>
                      <c:pt idx="190">
                        <c:v>44103</c:v>
                      </c:pt>
                      <c:pt idx="191">
                        <c:v>44104</c:v>
                      </c:pt>
                      <c:pt idx="192">
                        <c:v>44105</c:v>
                      </c:pt>
                      <c:pt idx="193">
                        <c:v>44106</c:v>
                      </c:pt>
                      <c:pt idx="194">
                        <c:v>44107</c:v>
                      </c:pt>
                      <c:pt idx="195">
                        <c:v>44108</c:v>
                      </c:pt>
                      <c:pt idx="196">
                        <c:v>44109</c:v>
                      </c:pt>
                      <c:pt idx="197">
                        <c:v>44110</c:v>
                      </c:pt>
                      <c:pt idx="198">
                        <c:v>44111</c:v>
                      </c:pt>
                      <c:pt idx="199">
                        <c:v>44112</c:v>
                      </c:pt>
                      <c:pt idx="200">
                        <c:v>44113</c:v>
                      </c:pt>
                      <c:pt idx="201">
                        <c:v>44114</c:v>
                      </c:pt>
                      <c:pt idx="202">
                        <c:v>44115</c:v>
                      </c:pt>
                      <c:pt idx="203">
                        <c:v>44116</c:v>
                      </c:pt>
                      <c:pt idx="204">
                        <c:v>44117</c:v>
                      </c:pt>
                      <c:pt idx="205">
                        <c:v>44118</c:v>
                      </c:pt>
                      <c:pt idx="206">
                        <c:v>44119</c:v>
                      </c:pt>
                      <c:pt idx="207">
                        <c:v>44120</c:v>
                      </c:pt>
                      <c:pt idx="208">
                        <c:v>44121</c:v>
                      </c:pt>
                      <c:pt idx="209">
                        <c:v>44122</c:v>
                      </c:pt>
                      <c:pt idx="210">
                        <c:v>44123</c:v>
                      </c:pt>
                      <c:pt idx="211">
                        <c:v>44124</c:v>
                      </c:pt>
                      <c:pt idx="212">
                        <c:v>44125</c:v>
                      </c:pt>
                      <c:pt idx="213">
                        <c:v>44126</c:v>
                      </c:pt>
                      <c:pt idx="214">
                        <c:v>44127</c:v>
                      </c:pt>
                      <c:pt idx="215">
                        <c:v>44128</c:v>
                      </c:pt>
                      <c:pt idx="216">
                        <c:v>44129</c:v>
                      </c:pt>
                      <c:pt idx="217">
                        <c:v>44130</c:v>
                      </c:pt>
                      <c:pt idx="218">
                        <c:v>44131</c:v>
                      </c:pt>
                      <c:pt idx="219">
                        <c:v>44132</c:v>
                      </c:pt>
                      <c:pt idx="220">
                        <c:v>44133</c:v>
                      </c:pt>
                      <c:pt idx="221">
                        <c:v>44134</c:v>
                      </c:pt>
                      <c:pt idx="222">
                        <c:v>44135</c:v>
                      </c:pt>
                      <c:pt idx="223">
                        <c:v>44136</c:v>
                      </c:pt>
                      <c:pt idx="224">
                        <c:v>44137</c:v>
                      </c:pt>
                      <c:pt idx="225">
                        <c:v>44138</c:v>
                      </c:pt>
                      <c:pt idx="226">
                        <c:v>44139</c:v>
                      </c:pt>
                      <c:pt idx="227">
                        <c:v>44140</c:v>
                      </c:pt>
                      <c:pt idx="228">
                        <c:v>44141</c:v>
                      </c:pt>
                      <c:pt idx="229">
                        <c:v>44142</c:v>
                      </c:pt>
                      <c:pt idx="230">
                        <c:v>44143</c:v>
                      </c:pt>
                      <c:pt idx="231">
                        <c:v>44144</c:v>
                      </c:pt>
                      <c:pt idx="232">
                        <c:v>44145</c:v>
                      </c:pt>
                      <c:pt idx="233">
                        <c:v>44146</c:v>
                      </c:pt>
                      <c:pt idx="234">
                        <c:v>44147</c:v>
                      </c:pt>
                      <c:pt idx="235">
                        <c:v>44148</c:v>
                      </c:pt>
                      <c:pt idx="236">
                        <c:v>44149</c:v>
                      </c:pt>
                      <c:pt idx="237">
                        <c:v>44150</c:v>
                      </c:pt>
                      <c:pt idx="238">
                        <c:v>44151</c:v>
                      </c:pt>
                      <c:pt idx="239">
                        <c:v>44152</c:v>
                      </c:pt>
                      <c:pt idx="240">
                        <c:v>44153</c:v>
                      </c:pt>
                      <c:pt idx="241">
                        <c:v>44154</c:v>
                      </c:pt>
                      <c:pt idx="242">
                        <c:v>44155</c:v>
                      </c:pt>
                      <c:pt idx="243">
                        <c:v>44156</c:v>
                      </c:pt>
                      <c:pt idx="244">
                        <c:v>44157</c:v>
                      </c:pt>
                      <c:pt idx="245">
                        <c:v>44158</c:v>
                      </c:pt>
                      <c:pt idx="246">
                        <c:v>44159</c:v>
                      </c:pt>
                      <c:pt idx="247">
                        <c:v>44160</c:v>
                      </c:pt>
                      <c:pt idx="248">
                        <c:v>44161</c:v>
                      </c:pt>
                      <c:pt idx="249">
                        <c:v>44162</c:v>
                      </c:pt>
                      <c:pt idx="250">
                        <c:v>44163</c:v>
                      </c:pt>
                      <c:pt idx="251">
                        <c:v>44164</c:v>
                      </c:pt>
                      <c:pt idx="252">
                        <c:v>44165</c:v>
                      </c:pt>
                      <c:pt idx="253">
                        <c:v>44166</c:v>
                      </c:pt>
                      <c:pt idx="254">
                        <c:v>44167</c:v>
                      </c:pt>
                      <c:pt idx="255">
                        <c:v>44168</c:v>
                      </c:pt>
                      <c:pt idx="256">
                        <c:v>44169</c:v>
                      </c:pt>
                      <c:pt idx="257">
                        <c:v>44170</c:v>
                      </c:pt>
                      <c:pt idx="258">
                        <c:v>44171</c:v>
                      </c:pt>
                      <c:pt idx="259">
                        <c:v>44172</c:v>
                      </c:pt>
                      <c:pt idx="260">
                        <c:v>44173</c:v>
                      </c:pt>
                      <c:pt idx="261">
                        <c:v>44174</c:v>
                      </c:pt>
                      <c:pt idx="262">
                        <c:v>44175</c:v>
                      </c:pt>
                      <c:pt idx="263">
                        <c:v>44176</c:v>
                      </c:pt>
                      <c:pt idx="264">
                        <c:v>44177</c:v>
                      </c:pt>
                      <c:pt idx="265">
                        <c:v>44178</c:v>
                      </c:pt>
                      <c:pt idx="266">
                        <c:v>44179</c:v>
                      </c:pt>
                      <c:pt idx="267">
                        <c:v>44180</c:v>
                      </c:pt>
                      <c:pt idx="268">
                        <c:v>44181</c:v>
                      </c:pt>
                      <c:pt idx="269">
                        <c:v>44182</c:v>
                      </c:pt>
                      <c:pt idx="270">
                        <c:v>44183</c:v>
                      </c:pt>
                      <c:pt idx="271">
                        <c:v>44184</c:v>
                      </c:pt>
                      <c:pt idx="272">
                        <c:v>44185</c:v>
                      </c:pt>
                      <c:pt idx="273">
                        <c:v>44186</c:v>
                      </c:pt>
                      <c:pt idx="274">
                        <c:v>44187</c:v>
                      </c:pt>
                      <c:pt idx="275">
                        <c:v>44188</c:v>
                      </c:pt>
                      <c:pt idx="276">
                        <c:v>44189</c:v>
                      </c:pt>
                      <c:pt idx="277">
                        <c:v>44190</c:v>
                      </c:pt>
                      <c:pt idx="278">
                        <c:v>44191</c:v>
                      </c:pt>
                      <c:pt idx="279">
                        <c:v>44192</c:v>
                      </c:pt>
                      <c:pt idx="280">
                        <c:v>44193</c:v>
                      </c:pt>
                      <c:pt idx="281">
                        <c:v>44194</c:v>
                      </c:pt>
                      <c:pt idx="282">
                        <c:v>44195</c:v>
                      </c:pt>
                      <c:pt idx="283">
                        <c:v>44196</c:v>
                      </c:pt>
                    </c:numCache>
                  </c:numRef>
                </c:xVal>
                <c:yVal>
                  <c:numRef>
                    <c:extLst xmlns:c15="http://schemas.microsoft.com/office/drawing/2012/chart">
                      <c:ext xmlns:c15="http://schemas.microsoft.com/office/drawing/2012/chart" uri="{02D57815-91ED-43cb-92C2-25804820EDAC}">
                        <c15:formulaRef>
                          <c15:sqref>SARS!$E$21:$E$326</c15:sqref>
                        </c15:formulaRef>
                      </c:ext>
                    </c:extLst>
                    <c:numCache>
                      <c:formatCode>General</c:formatCode>
                      <c:ptCount val="306"/>
                      <c:pt idx="0">
                        <c:v>55</c:v>
                      </c:pt>
                      <c:pt idx="1">
                        <c:v>70</c:v>
                      </c:pt>
                      <c:pt idx="2">
                        <c:v>88</c:v>
                      </c:pt>
                      <c:pt idx="3">
                        <c:v>111</c:v>
                      </c:pt>
                      <c:pt idx="4">
                        <c:v>141</c:v>
                      </c:pt>
                      <c:pt idx="5">
                        <c:v>178</c:v>
                      </c:pt>
                      <c:pt idx="6">
                        <c:v>225</c:v>
                      </c:pt>
                      <c:pt idx="7">
                        <c:v>285</c:v>
                      </c:pt>
                      <c:pt idx="8">
                        <c:v>361</c:v>
                      </c:pt>
                      <c:pt idx="9">
                        <c:v>456</c:v>
                      </c:pt>
                      <c:pt idx="10">
                        <c:v>577</c:v>
                      </c:pt>
                      <c:pt idx="11">
                        <c:v>730</c:v>
                      </c:pt>
                      <c:pt idx="12">
                        <c:v>923</c:v>
                      </c:pt>
                      <c:pt idx="13">
                        <c:v>1167</c:v>
                      </c:pt>
                      <c:pt idx="14">
                        <c:v>1476</c:v>
                      </c:pt>
                      <c:pt idx="15">
                        <c:v>1866</c:v>
                      </c:pt>
                      <c:pt idx="16">
                        <c:v>2359</c:v>
                      </c:pt>
                      <c:pt idx="17">
                        <c:v>2981</c:v>
                      </c:pt>
                      <c:pt idx="18">
                        <c:v>3768</c:v>
                      </c:pt>
                      <c:pt idx="19">
                        <c:v>4759</c:v>
                      </c:pt>
                      <c:pt idx="20">
                        <c:v>6011</c:v>
                      </c:pt>
                      <c:pt idx="21">
                        <c:v>7587</c:v>
                      </c:pt>
                      <c:pt idx="22">
                        <c:v>9571</c:v>
                      </c:pt>
                      <c:pt idx="23">
                        <c:v>12066</c:v>
                      </c:pt>
                      <c:pt idx="24">
                        <c:v>15197</c:v>
                      </c:pt>
                      <c:pt idx="25">
                        <c:v>19119</c:v>
                      </c:pt>
                      <c:pt idx="26">
                        <c:v>24018</c:v>
                      </c:pt>
                      <c:pt idx="27">
                        <c:v>30118</c:v>
                      </c:pt>
                      <c:pt idx="28">
                        <c:v>37683</c:v>
                      </c:pt>
                      <c:pt idx="29">
                        <c:v>47016</c:v>
                      </c:pt>
                      <c:pt idx="30">
                        <c:v>58455</c:v>
                      </c:pt>
                      <c:pt idx="31">
                        <c:v>72365</c:v>
                      </c:pt>
                      <c:pt idx="32">
                        <c:v>89111</c:v>
                      </c:pt>
                      <c:pt idx="33">
                        <c:v>109022</c:v>
                      </c:pt>
                      <c:pt idx="34">
                        <c:v>132340</c:v>
                      </c:pt>
                      <c:pt idx="35">
                        <c:v>159142</c:v>
                      </c:pt>
                      <c:pt idx="36">
                        <c:v>189259</c:v>
                      </c:pt>
                      <c:pt idx="37">
                        <c:v>222184</c:v>
                      </c:pt>
                      <c:pt idx="38">
                        <c:v>257014</c:v>
                      </c:pt>
                      <c:pt idx="39">
                        <c:v>292439</c:v>
                      </c:pt>
                      <c:pt idx="40">
                        <c:v>326815</c:v>
                      </c:pt>
                      <c:pt idx="41">
                        <c:v>358333</c:v>
                      </c:pt>
                      <c:pt idx="42">
                        <c:v>385257</c:v>
                      </c:pt>
                      <c:pt idx="43">
                        <c:v>406181</c:v>
                      </c:pt>
                      <c:pt idx="44">
                        <c:v>420230</c:v>
                      </c:pt>
                      <c:pt idx="45">
                        <c:v>427142</c:v>
                      </c:pt>
                      <c:pt idx="46">
                        <c:v>427231</c:v>
                      </c:pt>
                      <c:pt idx="47">
                        <c:v>421253</c:v>
                      </c:pt>
                      <c:pt idx="48">
                        <c:v>410222</c:v>
                      </c:pt>
                      <c:pt idx="49">
                        <c:v>395248</c:v>
                      </c:pt>
                      <c:pt idx="50">
                        <c:v>377404</c:v>
                      </c:pt>
                      <c:pt idx="51">
                        <c:v>357650</c:v>
                      </c:pt>
                      <c:pt idx="52">
                        <c:v>336796</c:v>
                      </c:pt>
                      <c:pt idx="53">
                        <c:v>315491</c:v>
                      </c:pt>
                      <c:pt idx="54">
                        <c:v>294239</c:v>
                      </c:pt>
                      <c:pt idx="55">
                        <c:v>273413</c:v>
                      </c:pt>
                      <c:pt idx="56">
                        <c:v>253281</c:v>
                      </c:pt>
                      <c:pt idx="57">
                        <c:v>234025</c:v>
                      </c:pt>
                      <c:pt idx="58">
                        <c:v>215762</c:v>
                      </c:pt>
                      <c:pt idx="59">
                        <c:v>198556</c:v>
                      </c:pt>
                      <c:pt idx="60">
                        <c:v>182434</c:v>
                      </c:pt>
                      <c:pt idx="61">
                        <c:v>167395</c:v>
                      </c:pt>
                      <c:pt idx="62">
                        <c:v>153418</c:v>
                      </c:pt>
                      <c:pt idx="63">
                        <c:v>140468</c:v>
                      </c:pt>
                      <c:pt idx="64">
                        <c:v>128499</c:v>
                      </c:pt>
                      <c:pt idx="65">
                        <c:v>117461</c:v>
                      </c:pt>
                      <c:pt idx="66">
                        <c:v>107301</c:v>
                      </c:pt>
                      <c:pt idx="67">
                        <c:v>97963</c:v>
                      </c:pt>
                      <c:pt idx="68">
                        <c:v>89393</c:v>
                      </c:pt>
                      <c:pt idx="69">
                        <c:v>81536</c:v>
                      </c:pt>
                      <c:pt idx="70">
                        <c:v>74340</c:v>
                      </c:pt>
                      <c:pt idx="71">
                        <c:v>67756</c:v>
                      </c:pt>
                      <c:pt idx="72">
                        <c:v>61736</c:v>
                      </c:pt>
                      <c:pt idx="73">
                        <c:v>56235</c:v>
                      </c:pt>
                      <c:pt idx="74">
                        <c:v>51211</c:v>
                      </c:pt>
                      <c:pt idx="75">
                        <c:v>46627</c:v>
                      </c:pt>
                      <c:pt idx="76">
                        <c:v>42444</c:v>
                      </c:pt>
                      <c:pt idx="77">
                        <c:v>38630</c:v>
                      </c:pt>
                      <c:pt idx="78">
                        <c:v>35153</c:v>
                      </c:pt>
                      <c:pt idx="79">
                        <c:v>31985</c:v>
                      </c:pt>
                      <c:pt idx="80">
                        <c:v>29098</c:v>
                      </c:pt>
                      <c:pt idx="81">
                        <c:v>26469</c:v>
                      </c:pt>
                      <c:pt idx="82">
                        <c:v>24075</c:v>
                      </c:pt>
                      <c:pt idx="83">
                        <c:v>21896</c:v>
                      </c:pt>
                      <c:pt idx="84">
                        <c:v>19912</c:v>
                      </c:pt>
                      <c:pt idx="85">
                        <c:v>18106</c:v>
                      </c:pt>
                      <c:pt idx="86">
                        <c:v>16463</c:v>
                      </c:pt>
                      <c:pt idx="87">
                        <c:v>14969</c:v>
                      </c:pt>
                      <c:pt idx="88">
                        <c:v>13609</c:v>
                      </c:pt>
                      <c:pt idx="89">
                        <c:v>12372</c:v>
                      </c:pt>
                      <c:pt idx="90">
                        <c:v>11247</c:v>
                      </c:pt>
                      <c:pt idx="91">
                        <c:v>10224</c:v>
                      </c:pt>
                      <c:pt idx="92">
                        <c:v>9294</c:v>
                      </c:pt>
                      <c:pt idx="93">
                        <c:v>8448</c:v>
                      </c:pt>
                      <c:pt idx="94">
                        <c:v>7678</c:v>
                      </c:pt>
                      <c:pt idx="95">
                        <c:v>6979</c:v>
                      </c:pt>
                      <c:pt idx="96">
                        <c:v>6343</c:v>
                      </c:pt>
                      <c:pt idx="97">
                        <c:v>5765</c:v>
                      </c:pt>
                      <c:pt idx="98">
                        <c:v>5240</c:v>
                      </c:pt>
                      <c:pt idx="99">
                        <c:v>4762</c:v>
                      </c:pt>
                      <c:pt idx="100">
                        <c:v>4328</c:v>
                      </c:pt>
                      <c:pt idx="101">
                        <c:v>3933</c:v>
                      </c:pt>
                      <c:pt idx="102">
                        <c:v>3575</c:v>
                      </c:pt>
                      <c:pt idx="103">
                        <c:v>3249</c:v>
                      </c:pt>
                      <c:pt idx="104">
                        <c:v>2952</c:v>
                      </c:pt>
                      <c:pt idx="105">
                        <c:v>2683</c:v>
                      </c:pt>
                      <c:pt idx="106">
                        <c:v>2438</c:v>
                      </c:pt>
                      <c:pt idx="107">
                        <c:v>2216</c:v>
                      </c:pt>
                      <c:pt idx="108">
                        <c:v>2013</c:v>
                      </c:pt>
                      <c:pt idx="109">
                        <c:v>1830</c:v>
                      </c:pt>
                      <c:pt idx="110">
                        <c:v>1663</c:v>
                      </c:pt>
                      <c:pt idx="111">
                        <c:v>1511</c:v>
                      </c:pt>
                      <c:pt idx="112">
                        <c:v>1373</c:v>
                      </c:pt>
                      <c:pt idx="113">
                        <c:v>1248</c:v>
                      </c:pt>
                      <c:pt idx="114">
                        <c:v>1134</c:v>
                      </c:pt>
                      <c:pt idx="115">
                        <c:v>1030</c:v>
                      </c:pt>
                      <c:pt idx="116">
                        <c:v>936</c:v>
                      </c:pt>
                      <c:pt idx="117">
                        <c:v>851</c:v>
                      </c:pt>
                      <c:pt idx="118">
                        <c:v>773</c:v>
                      </c:pt>
                      <c:pt idx="119">
                        <c:v>703</c:v>
                      </c:pt>
                      <c:pt idx="120">
                        <c:v>638</c:v>
                      </c:pt>
                      <c:pt idx="121">
                        <c:v>580</c:v>
                      </c:pt>
                      <c:pt idx="122">
                        <c:v>527</c:v>
                      </c:pt>
                      <c:pt idx="123">
                        <c:v>479</c:v>
                      </c:pt>
                      <c:pt idx="124">
                        <c:v>435</c:v>
                      </c:pt>
                      <c:pt idx="125">
                        <c:v>395</c:v>
                      </c:pt>
                      <c:pt idx="126">
                        <c:v>359</c:v>
                      </c:pt>
                      <c:pt idx="127">
                        <c:v>327</c:v>
                      </c:pt>
                      <c:pt idx="128">
                        <c:v>297</c:v>
                      </c:pt>
                      <c:pt idx="129">
                        <c:v>270</c:v>
                      </c:pt>
                      <c:pt idx="130">
                        <c:v>245</c:v>
                      </c:pt>
                      <c:pt idx="131">
                        <c:v>223</c:v>
                      </c:pt>
                      <c:pt idx="132">
                        <c:v>202</c:v>
                      </c:pt>
                      <c:pt idx="133">
                        <c:v>184</c:v>
                      </c:pt>
                      <c:pt idx="134">
                        <c:v>167</c:v>
                      </c:pt>
                      <c:pt idx="135">
                        <c:v>152</c:v>
                      </c:pt>
                      <c:pt idx="136">
                        <c:v>138</c:v>
                      </c:pt>
                      <c:pt idx="137">
                        <c:v>125</c:v>
                      </c:pt>
                      <c:pt idx="138">
                        <c:v>114</c:v>
                      </c:pt>
                      <c:pt idx="139">
                        <c:v>103</c:v>
                      </c:pt>
                      <c:pt idx="140">
                        <c:v>94</c:v>
                      </c:pt>
                      <c:pt idx="141">
                        <c:v>85</c:v>
                      </c:pt>
                      <c:pt idx="142">
                        <c:v>78</c:v>
                      </c:pt>
                      <c:pt idx="143">
                        <c:v>71</c:v>
                      </c:pt>
                      <c:pt idx="144">
                        <c:v>64</c:v>
                      </c:pt>
                      <c:pt idx="145">
                        <c:v>58</c:v>
                      </c:pt>
                      <c:pt idx="146">
                        <c:v>53</c:v>
                      </c:pt>
                      <c:pt idx="147">
                        <c:v>48</c:v>
                      </c:pt>
                      <c:pt idx="148">
                        <c:v>44</c:v>
                      </c:pt>
                      <c:pt idx="149">
                        <c:v>40</c:v>
                      </c:pt>
                      <c:pt idx="150">
                        <c:v>36</c:v>
                      </c:pt>
                      <c:pt idx="151">
                        <c:v>33</c:v>
                      </c:pt>
                      <c:pt idx="152">
                        <c:v>30</c:v>
                      </c:pt>
                      <c:pt idx="153">
                        <c:v>27</c:v>
                      </c:pt>
                      <c:pt idx="154">
                        <c:v>25</c:v>
                      </c:pt>
                      <c:pt idx="155">
                        <c:v>22</c:v>
                      </c:pt>
                      <c:pt idx="156">
                        <c:v>20</c:v>
                      </c:pt>
                      <c:pt idx="157">
                        <c:v>18</c:v>
                      </c:pt>
                      <c:pt idx="158">
                        <c:v>17</c:v>
                      </c:pt>
                      <c:pt idx="159">
                        <c:v>15</c:v>
                      </c:pt>
                      <c:pt idx="160">
                        <c:v>14</c:v>
                      </c:pt>
                      <c:pt idx="161">
                        <c:v>13</c:v>
                      </c:pt>
                      <c:pt idx="162">
                        <c:v>11</c:v>
                      </c:pt>
                      <c:pt idx="163">
                        <c:v>10</c:v>
                      </c:pt>
                      <c:pt idx="164">
                        <c:v>9</c:v>
                      </c:pt>
                      <c:pt idx="165">
                        <c:v>9</c:v>
                      </c:pt>
                      <c:pt idx="166">
                        <c:v>8</c:v>
                      </c:pt>
                      <c:pt idx="167">
                        <c:v>7</c:v>
                      </c:pt>
                      <c:pt idx="168">
                        <c:v>6</c:v>
                      </c:pt>
                      <c:pt idx="169">
                        <c:v>6</c:v>
                      </c:pt>
                      <c:pt idx="170">
                        <c:v>5</c:v>
                      </c:pt>
                      <c:pt idx="171">
                        <c:v>5</c:v>
                      </c:pt>
                      <c:pt idx="172">
                        <c:v>5</c:v>
                      </c:pt>
                      <c:pt idx="173">
                        <c:v>4</c:v>
                      </c:pt>
                      <c:pt idx="174">
                        <c:v>4</c:v>
                      </c:pt>
                      <c:pt idx="175">
                        <c:v>3</c:v>
                      </c:pt>
                      <c:pt idx="176">
                        <c:v>3</c:v>
                      </c:pt>
                      <c:pt idx="177">
                        <c:v>3</c:v>
                      </c:pt>
                      <c:pt idx="178">
                        <c:v>3</c:v>
                      </c:pt>
                      <c:pt idx="179">
                        <c:v>2</c:v>
                      </c:pt>
                      <c:pt idx="180">
                        <c:v>2</c:v>
                      </c:pt>
                      <c:pt idx="181">
                        <c:v>2</c:v>
                      </c:pt>
                      <c:pt idx="182">
                        <c:v>2</c:v>
                      </c:pt>
                      <c:pt idx="183">
                        <c:v>2</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numCache>
                  </c:numRef>
                </c:yVal>
                <c:smooth val="0"/>
                <c:extLst xmlns:c15="http://schemas.microsoft.com/office/drawing/2012/chart">
                  <c:ext xmlns:c16="http://schemas.microsoft.com/office/drawing/2014/chart" uri="{C3380CC4-5D6E-409C-BE32-E72D297353CC}">
                    <c16:uniqueId val="{00000004-6893-443E-9A8F-D9A984D6030C}"/>
                  </c:ext>
                </c:extLst>
              </c15:ser>
            </c15:filteredScatterSeries>
          </c:ext>
        </c:extLst>
      </c:scatterChart>
      <c:valAx>
        <c:axId val="576339071"/>
        <c:scaling>
          <c:orientation val="minMax"/>
          <c:max val="44378"/>
          <c:min val="43891"/>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726207"/>
        <c:crosses val="autoZero"/>
        <c:crossBetween val="midCat"/>
        <c:majorUnit val="14"/>
      </c:valAx>
      <c:valAx>
        <c:axId val="572726207"/>
        <c:scaling>
          <c:logBase val="10"/>
          <c:orientation val="minMax"/>
          <c:max val="10000000"/>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339071"/>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Daily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Daily Cases</c:v>
          </c:tx>
          <c:spPr>
            <a:solidFill>
              <a:srgbClr val="18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180000"/>
                </a:solidFill>
                <a:prstDash val="dash"/>
              </a:ln>
              <a:effectLst/>
            </c:spPr>
            <c:trendlineType val="movingAvg"/>
            <c:period val="7"/>
            <c:dispRSqr val="0"/>
            <c:dispEq val="0"/>
          </c:trendline>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Data!$C$3:$C$308</c:f>
              <c:numCache>
                <c:formatCode>General</c:formatCode>
                <c:ptCount val="306"/>
                <c:pt idx="23">
                  <c:v>126</c:v>
                </c:pt>
                <c:pt idx="24">
                  <c:v>137</c:v>
                </c:pt>
                <c:pt idx="25">
                  <c:v>417</c:v>
                </c:pt>
                <c:pt idx="26">
                  <c:v>249</c:v>
                </c:pt>
                <c:pt idx="27">
                  <c:v>339</c:v>
                </c:pt>
                <c:pt idx="28">
                  <c:v>332</c:v>
                </c:pt>
                <c:pt idx="29">
                  <c:v>338</c:v>
                </c:pt>
                <c:pt idx="30">
                  <c:v>537</c:v>
                </c:pt>
                <c:pt idx="31">
                  <c:v>507</c:v>
                </c:pt>
                <c:pt idx="32">
                  <c:v>527</c:v>
                </c:pt>
                <c:pt idx="33">
                  <c:v>521</c:v>
                </c:pt>
                <c:pt idx="34">
                  <c:v>711</c:v>
                </c:pt>
                <c:pt idx="35">
                  <c:v>663</c:v>
                </c:pt>
                <c:pt idx="36">
                  <c:v>420</c:v>
                </c:pt>
                <c:pt idx="37">
                  <c:v>550</c:v>
                </c:pt>
                <c:pt idx="38">
                  <c:v>620</c:v>
                </c:pt>
                <c:pt idx="39">
                  <c:v>425</c:v>
                </c:pt>
                <c:pt idx="40">
                  <c:v>475</c:v>
                </c:pt>
                <c:pt idx="41">
                  <c:v>443</c:v>
                </c:pt>
                <c:pt idx="42">
                  <c:v>319</c:v>
                </c:pt>
                <c:pt idx="43">
                  <c:v>228</c:v>
                </c:pt>
                <c:pt idx="44">
                  <c:v>627</c:v>
                </c:pt>
                <c:pt idx="45">
                  <c:v>449</c:v>
                </c:pt>
                <c:pt idx="46">
                  <c:v>358</c:v>
                </c:pt>
                <c:pt idx="47">
                  <c:v>537</c:v>
                </c:pt>
                <c:pt idx="48">
                  <c:v>630</c:v>
                </c:pt>
                <c:pt idx="49">
                  <c:v>320</c:v>
                </c:pt>
                <c:pt idx="50">
                  <c:v>1475</c:v>
                </c:pt>
                <c:pt idx="51">
                  <c:v>1324</c:v>
                </c:pt>
                <c:pt idx="52">
                  <c:v>1295</c:v>
                </c:pt>
                <c:pt idx="53">
                  <c:v>2082</c:v>
                </c:pt>
                <c:pt idx="54">
                  <c:v>590</c:v>
                </c:pt>
                <c:pt idx="55">
                  <c:v>421</c:v>
                </c:pt>
                <c:pt idx="56">
                  <c:v>889</c:v>
                </c:pt>
                <c:pt idx="57">
                  <c:v>559</c:v>
                </c:pt>
                <c:pt idx="58">
                  <c:v>1509</c:v>
                </c:pt>
                <c:pt idx="59">
                  <c:v>697</c:v>
                </c:pt>
                <c:pt idx="60">
                  <c:v>1033</c:v>
                </c:pt>
                <c:pt idx="61">
                  <c:v>679</c:v>
                </c:pt>
                <c:pt idx="62">
                  <c:v>768</c:v>
                </c:pt>
                <c:pt idx="63">
                  <c:v>555</c:v>
                </c:pt>
                <c:pt idx="64">
                  <c:v>1598</c:v>
                </c:pt>
                <c:pt idx="65">
                  <c:v>829</c:v>
                </c:pt>
                <c:pt idx="66">
                  <c:v>783</c:v>
                </c:pt>
                <c:pt idx="67">
                  <c:v>869</c:v>
                </c:pt>
                <c:pt idx="68">
                  <c:v>901</c:v>
                </c:pt>
                <c:pt idx="69">
                  <c:v>480</c:v>
                </c:pt>
                <c:pt idx="70">
                  <c:v>581</c:v>
                </c:pt>
                <c:pt idx="71">
                  <c:v>922</c:v>
                </c:pt>
                <c:pt idx="72">
                  <c:v>1248</c:v>
                </c:pt>
                <c:pt idx="73">
                  <c:v>901</c:v>
                </c:pt>
                <c:pt idx="74">
                  <c:v>930</c:v>
                </c:pt>
                <c:pt idx="75">
                  <c:v>1044</c:v>
                </c:pt>
                <c:pt idx="76">
                  <c:v>671</c:v>
                </c:pt>
                <c:pt idx="77">
                  <c:v>477</c:v>
                </c:pt>
                <c:pt idx="78">
                  <c:v>1122</c:v>
                </c:pt>
                <c:pt idx="79">
                  <c:v>1284</c:v>
                </c:pt>
                <c:pt idx="80">
                  <c:v>1180</c:v>
                </c:pt>
                <c:pt idx="81">
                  <c:v>1015</c:v>
                </c:pt>
                <c:pt idx="82">
                  <c:v>1003</c:v>
                </c:pt>
                <c:pt idx="83">
                  <c:v>933</c:v>
                </c:pt>
                <c:pt idx="84">
                  <c:v>1030</c:v>
                </c:pt>
                <c:pt idx="85">
                  <c:v>1804</c:v>
                </c:pt>
                <c:pt idx="86">
                  <c:v>878</c:v>
                </c:pt>
                <c:pt idx="87">
                  <c:v>1074</c:v>
                </c:pt>
                <c:pt idx="88">
                  <c:v>1788</c:v>
                </c:pt>
                <c:pt idx="89">
                  <c:v>2089</c:v>
                </c:pt>
                <c:pt idx="90">
                  <c:v>1345</c:v>
                </c:pt>
                <c:pt idx="91">
                  <c:v>972</c:v>
                </c:pt>
                <c:pt idx="92">
                  <c:v>1150</c:v>
                </c:pt>
                <c:pt idx="93">
                  <c:v>1116</c:v>
                </c:pt>
                <c:pt idx="94">
                  <c:v>1416</c:v>
                </c:pt>
                <c:pt idx="95">
                  <c:v>1395</c:v>
                </c:pt>
                <c:pt idx="96">
                  <c:v>1293</c:v>
                </c:pt>
                <c:pt idx="97">
                  <c:v>1506</c:v>
                </c:pt>
                <c:pt idx="98">
                  <c:v>800</c:v>
                </c:pt>
                <c:pt idx="99">
                  <c:v>1178</c:v>
                </c:pt>
                <c:pt idx="100">
                  <c:v>1242</c:v>
                </c:pt>
                <c:pt idx="101">
                  <c:v>1811</c:v>
                </c:pt>
                <c:pt idx="102">
                  <c:v>1601</c:v>
                </c:pt>
                <c:pt idx="103">
                  <c:v>1547</c:v>
                </c:pt>
                <c:pt idx="104">
                  <c:v>995</c:v>
                </c:pt>
                <c:pt idx="105">
                  <c:v>773</c:v>
                </c:pt>
                <c:pt idx="106">
                  <c:v>1293</c:v>
                </c:pt>
                <c:pt idx="107">
                  <c:v>2105</c:v>
                </c:pt>
                <c:pt idx="108">
                  <c:v>1038</c:v>
                </c:pt>
                <c:pt idx="109">
                  <c:v>1382</c:v>
                </c:pt>
                <c:pt idx="110">
                  <c:v>2027</c:v>
                </c:pt>
                <c:pt idx="111">
                  <c:v>1761</c:v>
                </c:pt>
                <c:pt idx="112">
                  <c:v>2545</c:v>
                </c:pt>
                <c:pt idx="113">
                  <c:v>2320</c:v>
                </c:pt>
                <c:pt idx="114">
                  <c:v>1228</c:v>
                </c:pt>
                <c:pt idx="115">
                  <c:v>1977</c:v>
                </c:pt>
                <c:pt idx="116">
                  <c:v>1765</c:v>
                </c:pt>
                <c:pt idx="117">
                  <c:v>2139</c:v>
                </c:pt>
                <c:pt idx="118">
                  <c:v>2523</c:v>
                </c:pt>
                <c:pt idx="119">
                  <c:v>2878</c:v>
                </c:pt>
                <c:pt idx="120">
                  <c:v>2757</c:v>
                </c:pt>
                <c:pt idx="121">
                  <c:v>1978</c:v>
                </c:pt>
                <c:pt idx="122">
                  <c:v>2160</c:v>
                </c:pt>
                <c:pt idx="123">
                  <c:v>2442</c:v>
                </c:pt>
                <c:pt idx="124">
                  <c:v>2442</c:v>
                </c:pt>
                <c:pt idx="125">
                  <c:v>2442</c:v>
                </c:pt>
                <c:pt idx="126">
                  <c:v>1577</c:v>
                </c:pt>
                <c:pt idx="127">
                  <c:v>3969</c:v>
                </c:pt>
                <c:pt idx="128">
                  <c:v>2465</c:v>
                </c:pt>
                <c:pt idx="129">
                  <c:v>1734</c:v>
                </c:pt>
                <c:pt idx="130">
                  <c:v>2620</c:v>
                </c:pt>
                <c:pt idx="131">
                  <c:v>2884</c:v>
                </c:pt>
                <c:pt idx="132">
                  <c:v>3307</c:v>
                </c:pt>
                <c:pt idx="133">
                  <c:v>2580</c:v>
                </c:pt>
                <c:pt idx="134">
                  <c:v>4178</c:v>
                </c:pt>
                <c:pt idx="135">
                  <c:v>2702</c:v>
                </c:pt>
                <c:pt idx="136">
                  <c:v>4459</c:v>
                </c:pt>
                <c:pt idx="137">
                  <c:v>2851</c:v>
                </c:pt>
                <c:pt idx="138">
                  <c:v>2722</c:v>
                </c:pt>
                <c:pt idx="139">
                  <c:v>2846</c:v>
                </c:pt>
                <c:pt idx="140">
                  <c:v>3158</c:v>
                </c:pt>
                <c:pt idx="141">
                  <c:v>2628</c:v>
                </c:pt>
                <c:pt idx="142">
                  <c:v>3197</c:v>
                </c:pt>
                <c:pt idx="143">
                  <c:v>1978</c:v>
                </c:pt>
                <c:pt idx="144">
                  <c:v>1909</c:v>
                </c:pt>
                <c:pt idx="145">
                  <c:v>3568</c:v>
                </c:pt>
                <c:pt idx="146">
                  <c:v>1670</c:v>
                </c:pt>
                <c:pt idx="147">
                  <c:v>2033</c:v>
                </c:pt>
                <c:pt idx="148">
                  <c:v>2614</c:v>
                </c:pt>
                <c:pt idx="149">
                  <c:v>4741</c:v>
                </c:pt>
                <c:pt idx="150">
                  <c:v>2489</c:v>
                </c:pt>
                <c:pt idx="151">
                  <c:v>2609</c:v>
                </c:pt>
                <c:pt idx="152">
                  <c:v>2212</c:v>
                </c:pt>
                <c:pt idx="153">
                  <c:v>1474</c:v>
                </c:pt>
                <c:pt idx="154">
                  <c:v>1621</c:v>
                </c:pt>
                <c:pt idx="155">
                  <c:v>1826</c:v>
                </c:pt>
                <c:pt idx="156">
                  <c:v>2298</c:v>
                </c:pt>
                <c:pt idx="157">
                  <c:v>3194</c:v>
                </c:pt>
                <c:pt idx="158">
                  <c:v>3061</c:v>
                </c:pt>
                <c:pt idx="159">
                  <c:v>2594</c:v>
                </c:pt>
                <c:pt idx="160">
                  <c:v>1767</c:v>
                </c:pt>
                <c:pt idx="161">
                  <c:v>1896</c:v>
                </c:pt>
                <c:pt idx="162">
                  <c:v>1384</c:v>
                </c:pt>
                <c:pt idx="163">
                  <c:v>2389</c:v>
                </c:pt>
                <c:pt idx="164">
                  <c:v>1942</c:v>
                </c:pt>
                <c:pt idx="165">
                  <c:v>2554</c:v>
                </c:pt>
                <c:pt idx="166">
                  <c:v>2069</c:v>
                </c:pt>
                <c:pt idx="167">
                  <c:v>1188</c:v>
                </c:pt>
                <c:pt idx="168">
                  <c:v>1181</c:v>
                </c:pt>
                <c:pt idx="169">
                  <c:v>900</c:v>
                </c:pt>
                <c:pt idx="170">
                  <c:v>1796</c:v>
                </c:pt>
                <c:pt idx="171">
                  <c:v>1519</c:v>
                </c:pt>
                <c:pt idx="172">
                  <c:v>1708</c:v>
                </c:pt>
                <c:pt idx="173">
                  <c:v>1608</c:v>
                </c:pt>
                <c:pt idx="174">
                  <c:v>1033</c:v>
                </c:pt>
                <c:pt idx="175">
                  <c:v>1198</c:v>
                </c:pt>
                <c:pt idx="176">
                  <c:v>884</c:v>
                </c:pt>
                <c:pt idx="177">
                  <c:v>1609</c:v>
                </c:pt>
                <c:pt idx="178">
                  <c:v>1600</c:v>
                </c:pt>
                <c:pt idx="179">
                  <c:v>1472</c:v>
                </c:pt>
                <c:pt idx="180">
                  <c:v>1298</c:v>
                </c:pt>
                <c:pt idx="181">
                  <c:v>993</c:v>
                </c:pt>
                <c:pt idx="182">
                  <c:v>1019</c:v>
                </c:pt>
                <c:pt idx="183">
                  <c:v>753</c:v>
                </c:pt>
                <c:pt idx="184">
                  <c:v>1414</c:v>
                </c:pt>
                <c:pt idx="185">
                  <c:v>1064</c:v>
                </c:pt>
                <c:pt idx="186">
                  <c:v>1408</c:v>
                </c:pt>
                <c:pt idx="187">
                  <c:v>1135</c:v>
                </c:pt>
                <c:pt idx="188">
                  <c:v>792</c:v>
                </c:pt>
                <c:pt idx="189">
                  <c:v>487</c:v>
                </c:pt>
                <c:pt idx="190">
                  <c:v>420</c:v>
                </c:pt>
                <c:pt idx="191">
                  <c:v>618</c:v>
                </c:pt>
                <c:pt idx="192">
                  <c:v>1165</c:v>
                </c:pt>
                <c:pt idx="193">
                  <c:v>1042</c:v>
                </c:pt>
                <c:pt idx="194">
                  <c:v>1110</c:v>
                </c:pt>
                <c:pt idx="195">
                  <c:v>809</c:v>
                </c:pt>
                <c:pt idx="196">
                  <c:v>671</c:v>
                </c:pt>
                <c:pt idx="197">
                  <c:v>393</c:v>
                </c:pt>
                <c:pt idx="198">
                  <c:v>1099</c:v>
                </c:pt>
                <c:pt idx="199">
                  <c:v>1123</c:v>
                </c:pt>
                <c:pt idx="200">
                  <c:v>1245</c:v>
                </c:pt>
                <c:pt idx="201">
                  <c:v>1301</c:v>
                </c:pt>
                <c:pt idx="202">
                  <c:v>980</c:v>
                </c:pt>
                <c:pt idx="203">
                  <c:v>649</c:v>
                </c:pt>
                <c:pt idx="204">
                  <c:v>687</c:v>
                </c:pt>
                <c:pt idx="205">
                  <c:v>1200</c:v>
                </c:pt>
                <c:pt idx="206">
                  <c:v>1081</c:v>
                </c:pt>
                <c:pt idx="207">
                  <c:v>1361</c:v>
                </c:pt>
                <c:pt idx="208">
                  <c:v>1213</c:v>
                </c:pt>
                <c:pt idx="209">
                  <c:v>813</c:v>
                </c:pt>
                <c:pt idx="210">
                  <c:v>654</c:v>
                </c:pt>
                <c:pt idx="211">
                  <c:v>829</c:v>
                </c:pt>
                <c:pt idx="212">
                  <c:v>1015</c:v>
                </c:pt>
                <c:pt idx="213">
                  <c:v>1072</c:v>
                </c:pt>
                <c:pt idx="214">
                  <c:v>1282</c:v>
                </c:pt>
                <c:pt idx="215">
                  <c:v>985</c:v>
                </c:pt>
                <c:pt idx="216">
                  <c:v>927</c:v>
                </c:pt>
                <c:pt idx="217">
                  <c:v>377</c:v>
                </c:pt>
                <c:pt idx="218">
                  <c:v>914</c:v>
                </c:pt>
                <c:pt idx="219">
                  <c:v>1589</c:v>
                </c:pt>
                <c:pt idx="220">
                  <c:v>1220</c:v>
                </c:pt>
                <c:pt idx="221">
                  <c:v>1244</c:v>
                </c:pt>
                <c:pt idx="222">
                  <c:v>1256</c:v>
                </c:pt>
                <c:pt idx="223">
                  <c:v>970</c:v>
                </c:pt>
                <c:pt idx="224">
                  <c:v>847</c:v>
                </c:pt>
                <c:pt idx="225">
                  <c:v>768</c:v>
                </c:pt>
                <c:pt idx="226">
                  <c:v>1266</c:v>
                </c:pt>
                <c:pt idx="227">
                  <c:v>1167</c:v>
                </c:pt>
                <c:pt idx="228">
                  <c:v>1039</c:v>
                </c:pt>
                <c:pt idx="229">
                  <c:v>914</c:v>
                </c:pt>
                <c:pt idx="230">
                  <c:v>315</c:v>
                </c:pt>
                <c:pt idx="231">
                  <c:v>915</c:v>
                </c:pt>
                <c:pt idx="232">
                  <c:v>643</c:v>
                </c:pt>
                <c:pt idx="233">
                  <c:v>477</c:v>
                </c:pt>
                <c:pt idx="234">
                  <c:v>3579</c:v>
                </c:pt>
                <c:pt idx="235">
                  <c:v>2756</c:v>
                </c:pt>
                <c:pt idx="236">
                  <c:v>2116</c:v>
                </c:pt>
                <c:pt idx="237">
                  <c:v>823</c:v>
                </c:pt>
                <c:pt idx="238">
                  <c:v>854</c:v>
                </c:pt>
                <c:pt idx="239">
                  <c:v>1463</c:v>
                </c:pt>
                <c:pt idx="240">
                  <c:v>1292</c:v>
                </c:pt>
                <c:pt idx="241">
                  <c:v>1701</c:v>
                </c:pt>
                <c:pt idx="242">
                  <c:v>1257</c:v>
                </c:pt>
                <c:pt idx="243">
                  <c:v>1291</c:v>
                </c:pt>
                <c:pt idx="244">
                  <c:v>1572</c:v>
                </c:pt>
                <c:pt idx="245">
                  <c:v>1405</c:v>
                </c:pt>
                <c:pt idx="246">
                  <c:v>1150</c:v>
                </c:pt>
                <c:pt idx="247">
                  <c:v>1781</c:v>
                </c:pt>
                <c:pt idx="248">
                  <c:v>2038</c:v>
                </c:pt>
                <c:pt idx="249">
                  <c:v>2092</c:v>
                </c:pt>
                <c:pt idx="250">
                  <c:v>2321</c:v>
                </c:pt>
                <c:pt idx="251">
                  <c:v>2230</c:v>
                </c:pt>
                <c:pt idx="252">
                  <c:v>1418</c:v>
                </c:pt>
                <c:pt idx="253">
                  <c:v>2251</c:v>
                </c:pt>
                <c:pt idx="254">
                  <c:v>2088</c:v>
                </c:pt>
                <c:pt idx="255">
                  <c:v>2486</c:v>
                </c:pt>
                <c:pt idx="256">
                  <c:v>2415</c:v>
                </c:pt>
                <c:pt idx="257">
                  <c:v>3684</c:v>
                </c:pt>
                <c:pt idx="258">
                  <c:v>3011</c:v>
                </c:pt>
                <c:pt idx="259">
                  <c:v>2783</c:v>
                </c:pt>
                <c:pt idx="260">
                  <c:v>2180</c:v>
                </c:pt>
                <c:pt idx="261">
                  <c:v>3813</c:v>
                </c:pt>
                <c:pt idx="262">
                  <c:v>4896</c:v>
                </c:pt>
                <c:pt idx="263">
                  <c:v>4219</c:v>
                </c:pt>
                <c:pt idx="264">
                  <c:v>4418</c:v>
                </c:pt>
                <c:pt idx="265">
                  <c:v>2651</c:v>
                </c:pt>
                <c:pt idx="266">
                  <c:v>6116</c:v>
                </c:pt>
                <c:pt idx="267">
                  <c:v>3498</c:v>
                </c:pt>
                <c:pt idx="268">
                  <c:v>4189</c:v>
                </c:pt>
                <c:pt idx="269">
                  <c:v>4952</c:v>
                </c:pt>
                <c:pt idx="270">
                  <c:v>4518</c:v>
                </c:pt>
                <c:pt idx="271">
                  <c:v>3098</c:v>
                </c:pt>
                <c:pt idx="272">
                  <c:v>4952</c:v>
                </c:pt>
                <c:pt idx="273">
                  <c:v>5076</c:v>
                </c:pt>
                <c:pt idx="274">
                  <c:v>7477</c:v>
                </c:pt>
                <c:pt idx="275">
                  <c:v>5789</c:v>
                </c:pt>
                <c:pt idx="276">
                  <c:v>7696</c:v>
                </c:pt>
                <c:pt idx="277">
                  <c:v>8702</c:v>
                </c:pt>
                <c:pt idx="278">
                  <c:v>8825</c:v>
                </c:pt>
                <c:pt idx="279">
                  <c:v>10443</c:v>
                </c:pt>
                <c:pt idx="280">
                  <c:v>8029</c:v>
                </c:pt>
                <c:pt idx="281">
                  <c:v>8441</c:v>
                </c:pt>
                <c:pt idx="282">
                  <c:v>8950</c:v>
                </c:pt>
                <c:pt idx="283">
                  <c:v>12646</c:v>
                </c:pt>
                <c:pt idx="284">
                  <c:v>13718</c:v>
                </c:pt>
                <c:pt idx="285">
                  <c:v>11237</c:v>
                </c:pt>
                <c:pt idx="286">
                  <c:v>12614</c:v>
                </c:pt>
                <c:pt idx="287">
                  <c:v>7244</c:v>
                </c:pt>
                <c:pt idx="288">
                  <c:v>11039</c:v>
                </c:pt>
                <c:pt idx="289">
                  <c:v>22236</c:v>
                </c:pt>
                <c:pt idx="290">
                  <c:v>14320</c:v>
                </c:pt>
                <c:pt idx="291">
                  <c:v>16396</c:v>
                </c:pt>
                <c:pt idx="292">
                  <c:v>13651</c:v>
                </c:pt>
                <c:pt idx="293">
                  <c:v>13298</c:v>
                </c:pt>
                <c:pt idx="294">
                  <c:v>11179</c:v>
                </c:pt>
                <c:pt idx="295">
                  <c:v>12693</c:v>
                </c:pt>
                <c:pt idx="296">
                  <c:v>16412</c:v>
                </c:pt>
                <c:pt idx="297">
                  <c:v>13345</c:v>
                </c:pt>
                <c:pt idx="298">
                  <c:v>29149</c:v>
                </c:pt>
                <c:pt idx="299">
                  <c:v>0</c:v>
                </c:pt>
                <c:pt idx="300">
                  <c:v>13385</c:v>
                </c:pt>
                <c:pt idx="301">
                  <c:v>13492</c:v>
                </c:pt>
                <c:pt idx="302">
                  <c:v>12764</c:v>
                </c:pt>
                <c:pt idx="303">
                  <c:v>10027</c:v>
                </c:pt>
                <c:pt idx="304">
                  <c:v>14486</c:v>
                </c:pt>
                <c:pt idx="305">
                  <c:v>19980</c:v>
                </c:pt>
              </c:numCache>
            </c:numRef>
          </c:val>
          <c:extLst>
            <c:ext xmlns:c16="http://schemas.microsoft.com/office/drawing/2014/chart" uri="{C3380CC4-5D6E-409C-BE32-E72D297353CC}">
              <c16:uniqueId val="{00000000-F1FC-471B-B815-397607B1922D}"/>
            </c:ext>
          </c:extLst>
        </c:ser>
        <c:dLbls>
          <c:dLblPos val="outEnd"/>
          <c:showLegendKey val="0"/>
          <c:showVal val="1"/>
          <c:showCatName val="0"/>
          <c:showSerName val="0"/>
          <c:showPercent val="0"/>
          <c:showBubbleSize val="0"/>
        </c:dLbls>
        <c:gapWidth val="219"/>
        <c:axId val="2008900512"/>
        <c:axId val="1909659872"/>
      </c:barChart>
      <c:lineChart>
        <c:grouping val="standard"/>
        <c:varyColors val="0"/>
        <c:ser>
          <c:idx val="1"/>
          <c:order val="1"/>
          <c:tx>
            <c:v>Case Rate (per 10,000)</c:v>
          </c:tx>
          <c:spPr>
            <a:ln w="28575" cap="rnd">
              <a:solidFill>
                <a:schemeClr val="dk1">
                  <a:tint val="55000"/>
                </a:schemeClr>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Data!$E$3:$E$308</c:f>
              <c:numCache>
                <c:formatCode>General</c:formatCode>
                <c:ptCount val="306"/>
                <c:pt idx="23">
                  <c:v>1903</c:v>
                </c:pt>
                <c:pt idx="24">
                  <c:v>1715</c:v>
                </c:pt>
                <c:pt idx="25">
                  <c:v>3429</c:v>
                </c:pt>
                <c:pt idx="26">
                  <c:v>1700</c:v>
                </c:pt>
                <c:pt idx="27">
                  <c:v>1879</c:v>
                </c:pt>
                <c:pt idx="28">
                  <c:v>1554</c:v>
                </c:pt>
                <c:pt idx="29">
                  <c:v>1366</c:v>
                </c:pt>
                <c:pt idx="30">
                  <c:v>1783</c:v>
                </c:pt>
                <c:pt idx="31">
                  <c:v>1441</c:v>
                </c:pt>
                <c:pt idx="32">
                  <c:v>1303</c:v>
                </c:pt>
                <c:pt idx="33">
                  <c:v>1141</c:v>
                </c:pt>
                <c:pt idx="34">
                  <c:v>1347</c:v>
                </c:pt>
                <c:pt idx="35">
                  <c:v>1116</c:v>
                </c:pt>
                <c:pt idx="36">
                  <c:v>660</c:v>
                </c:pt>
                <c:pt idx="37">
                  <c:v>796</c:v>
                </c:pt>
                <c:pt idx="38">
                  <c:v>823</c:v>
                </c:pt>
                <c:pt idx="39">
                  <c:v>534</c:v>
                </c:pt>
                <c:pt idx="40">
                  <c:v>563</c:v>
                </c:pt>
                <c:pt idx="41">
                  <c:v>499</c:v>
                </c:pt>
                <c:pt idx="42">
                  <c:v>347</c:v>
                </c:pt>
                <c:pt idx="43">
                  <c:v>242</c:v>
                </c:pt>
                <c:pt idx="44">
                  <c:v>624</c:v>
                </c:pt>
                <c:pt idx="45">
                  <c:v>428</c:v>
                </c:pt>
                <c:pt idx="46">
                  <c:v>330</c:v>
                </c:pt>
                <c:pt idx="47">
                  <c:v>471</c:v>
                </c:pt>
                <c:pt idx="48">
                  <c:v>524</c:v>
                </c:pt>
                <c:pt idx="49">
                  <c:v>259</c:v>
                </c:pt>
                <c:pt idx="50">
                  <c:v>1068</c:v>
                </c:pt>
                <c:pt idx="51">
                  <c:v>875</c:v>
                </c:pt>
                <c:pt idx="52">
                  <c:v>788</c:v>
                </c:pt>
                <c:pt idx="53">
                  <c:v>1124</c:v>
                </c:pt>
                <c:pt idx="54">
                  <c:v>309</c:v>
                </c:pt>
                <c:pt idx="55">
                  <c:v>216</c:v>
                </c:pt>
                <c:pt idx="56">
                  <c:v>435</c:v>
                </c:pt>
                <c:pt idx="57">
                  <c:v>266</c:v>
                </c:pt>
                <c:pt idx="58">
                  <c:v>671</c:v>
                </c:pt>
                <c:pt idx="59">
                  <c:v>301</c:v>
                </c:pt>
                <c:pt idx="60">
                  <c:v>427</c:v>
                </c:pt>
                <c:pt idx="61">
                  <c:v>273</c:v>
                </c:pt>
                <c:pt idx="62">
                  <c:v>299</c:v>
                </c:pt>
                <c:pt idx="63">
                  <c:v>212</c:v>
                </c:pt>
                <c:pt idx="64">
                  <c:v>575</c:v>
                </c:pt>
                <c:pt idx="65">
                  <c:v>289</c:v>
                </c:pt>
                <c:pt idx="66">
                  <c:v>266</c:v>
                </c:pt>
                <c:pt idx="67">
                  <c:v>287</c:v>
                </c:pt>
                <c:pt idx="68">
                  <c:v>289</c:v>
                </c:pt>
                <c:pt idx="69">
                  <c:v>152</c:v>
                </c:pt>
                <c:pt idx="70">
                  <c:v>180</c:v>
                </c:pt>
                <c:pt idx="71">
                  <c:v>278</c:v>
                </c:pt>
                <c:pt idx="72">
                  <c:v>362</c:v>
                </c:pt>
                <c:pt idx="73">
                  <c:v>255</c:v>
                </c:pt>
                <c:pt idx="74">
                  <c:v>256</c:v>
                </c:pt>
                <c:pt idx="75">
                  <c:v>280</c:v>
                </c:pt>
                <c:pt idx="76">
                  <c:v>177</c:v>
                </c:pt>
                <c:pt idx="77">
                  <c:v>124</c:v>
                </c:pt>
                <c:pt idx="78">
                  <c:v>284</c:v>
                </c:pt>
                <c:pt idx="79">
                  <c:v>314</c:v>
                </c:pt>
                <c:pt idx="80">
                  <c:v>281</c:v>
                </c:pt>
                <c:pt idx="81">
                  <c:v>236</c:v>
                </c:pt>
                <c:pt idx="82">
                  <c:v>228</c:v>
                </c:pt>
                <c:pt idx="83">
                  <c:v>207</c:v>
                </c:pt>
                <c:pt idx="84">
                  <c:v>224</c:v>
                </c:pt>
                <c:pt idx="85">
                  <c:v>377</c:v>
                </c:pt>
                <c:pt idx="86">
                  <c:v>180</c:v>
                </c:pt>
                <c:pt idx="87">
                  <c:v>216</c:v>
                </c:pt>
                <c:pt idx="88">
                  <c:v>347</c:v>
                </c:pt>
                <c:pt idx="89">
                  <c:v>389</c:v>
                </c:pt>
                <c:pt idx="90">
                  <c:v>245</c:v>
                </c:pt>
                <c:pt idx="91">
                  <c:v>174</c:v>
                </c:pt>
                <c:pt idx="92">
                  <c:v>201</c:v>
                </c:pt>
                <c:pt idx="93">
                  <c:v>192</c:v>
                </c:pt>
                <c:pt idx="94">
                  <c:v>237</c:v>
                </c:pt>
                <c:pt idx="95">
                  <c:v>229</c:v>
                </c:pt>
                <c:pt idx="96">
                  <c:v>207</c:v>
                </c:pt>
                <c:pt idx="97">
                  <c:v>236</c:v>
                </c:pt>
                <c:pt idx="98">
                  <c:v>124</c:v>
                </c:pt>
                <c:pt idx="99">
                  <c:v>179</c:v>
                </c:pt>
                <c:pt idx="100">
                  <c:v>185</c:v>
                </c:pt>
                <c:pt idx="101">
                  <c:v>263</c:v>
                </c:pt>
                <c:pt idx="102">
                  <c:v>227</c:v>
                </c:pt>
                <c:pt idx="103">
                  <c:v>215</c:v>
                </c:pt>
                <c:pt idx="104">
                  <c:v>136</c:v>
                </c:pt>
                <c:pt idx="105">
                  <c:v>105</c:v>
                </c:pt>
                <c:pt idx="106">
                  <c:v>172</c:v>
                </c:pt>
                <c:pt idx="107">
                  <c:v>273</c:v>
                </c:pt>
                <c:pt idx="108">
                  <c:v>133</c:v>
                </c:pt>
                <c:pt idx="109">
                  <c:v>174</c:v>
                </c:pt>
                <c:pt idx="110">
                  <c:v>248</c:v>
                </c:pt>
                <c:pt idx="111">
                  <c:v>211</c:v>
                </c:pt>
                <c:pt idx="112">
                  <c:v>296</c:v>
                </c:pt>
                <c:pt idx="113">
                  <c:v>263</c:v>
                </c:pt>
                <c:pt idx="114">
                  <c:v>137</c:v>
                </c:pt>
                <c:pt idx="115">
                  <c:v>216</c:v>
                </c:pt>
                <c:pt idx="116">
                  <c:v>189</c:v>
                </c:pt>
                <c:pt idx="117">
                  <c:v>224</c:v>
                </c:pt>
                <c:pt idx="118">
                  <c:v>258</c:v>
                </c:pt>
                <c:pt idx="119">
                  <c:v>286</c:v>
                </c:pt>
                <c:pt idx="120">
                  <c:v>266</c:v>
                </c:pt>
                <c:pt idx="121">
                  <c:v>187</c:v>
                </c:pt>
                <c:pt idx="122">
                  <c:v>201</c:v>
                </c:pt>
                <c:pt idx="123">
                  <c:v>222</c:v>
                </c:pt>
                <c:pt idx="124">
                  <c:v>217</c:v>
                </c:pt>
                <c:pt idx="125">
                  <c:v>212</c:v>
                </c:pt>
                <c:pt idx="126">
                  <c:v>135</c:v>
                </c:pt>
                <c:pt idx="127">
                  <c:v>329</c:v>
                </c:pt>
                <c:pt idx="128">
                  <c:v>200</c:v>
                </c:pt>
                <c:pt idx="129">
                  <c:v>139</c:v>
                </c:pt>
                <c:pt idx="130">
                  <c:v>206</c:v>
                </c:pt>
                <c:pt idx="131">
                  <c:v>221</c:v>
                </c:pt>
                <c:pt idx="132">
                  <c:v>248</c:v>
                </c:pt>
                <c:pt idx="133">
                  <c:v>190</c:v>
                </c:pt>
                <c:pt idx="134">
                  <c:v>298</c:v>
                </c:pt>
                <c:pt idx="135">
                  <c:v>189</c:v>
                </c:pt>
                <c:pt idx="136">
                  <c:v>302</c:v>
                </c:pt>
                <c:pt idx="137">
                  <c:v>190</c:v>
                </c:pt>
                <c:pt idx="138">
                  <c:v>178</c:v>
                </c:pt>
                <c:pt idx="139">
                  <c:v>183</c:v>
                </c:pt>
                <c:pt idx="140">
                  <c:v>199</c:v>
                </c:pt>
                <c:pt idx="141">
                  <c:v>163</c:v>
                </c:pt>
                <c:pt idx="142">
                  <c:v>194</c:v>
                </c:pt>
                <c:pt idx="143">
                  <c:v>119</c:v>
                </c:pt>
                <c:pt idx="144">
                  <c:v>113</c:v>
                </c:pt>
                <c:pt idx="145">
                  <c:v>207</c:v>
                </c:pt>
                <c:pt idx="146">
                  <c:v>96</c:v>
                </c:pt>
                <c:pt idx="147">
                  <c:v>115</c:v>
                </c:pt>
                <c:pt idx="148">
                  <c:v>146</c:v>
                </c:pt>
                <c:pt idx="149">
                  <c:v>259</c:v>
                </c:pt>
                <c:pt idx="150">
                  <c:v>134</c:v>
                </c:pt>
                <c:pt idx="151">
                  <c:v>138</c:v>
                </c:pt>
                <c:pt idx="152">
                  <c:v>116</c:v>
                </c:pt>
                <c:pt idx="153">
                  <c:v>77</c:v>
                </c:pt>
                <c:pt idx="154">
                  <c:v>84</c:v>
                </c:pt>
                <c:pt idx="155">
                  <c:v>93</c:v>
                </c:pt>
                <c:pt idx="156">
                  <c:v>116</c:v>
                </c:pt>
                <c:pt idx="157">
                  <c:v>159</c:v>
                </c:pt>
                <c:pt idx="158">
                  <c:v>150</c:v>
                </c:pt>
                <c:pt idx="159">
                  <c:v>125</c:v>
                </c:pt>
                <c:pt idx="160">
                  <c:v>85</c:v>
                </c:pt>
                <c:pt idx="161">
                  <c:v>90</c:v>
                </c:pt>
                <c:pt idx="162">
                  <c:v>65</c:v>
                </c:pt>
                <c:pt idx="163">
                  <c:v>112</c:v>
                </c:pt>
                <c:pt idx="164">
                  <c:v>90</c:v>
                </c:pt>
                <c:pt idx="165">
                  <c:v>117</c:v>
                </c:pt>
                <c:pt idx="166">
                  <c:v>94</c:v>
                </c:pt>
                <c:pt idx="167">
                  <c:v>54</c:v>
                </c:pt>
                <c:pt idx="168">
                  <c:v>53</c:v>
                </c:pt>
                <c:pt idx="169">
                  <c:v>40</c:v>
                </c:pt>
                <c:pt idx="170">
                  <c:v>80</c:v>
                </c:pt>
                <c:pt idx="171">
                  <c:v>67</c:v>
                </c:pt>
                <c:pt idx="172">
                  <c:v>75</c:v>
                </c:pt>
                <c:pt idx="173">
                  <c:v>70</c:v>
                </c:pt>
                <c:pt idx="174">
                  <c:v>45</c:v>
                </c:pt>
                <c:pt idx="175">
                  <c:v>51</c:v>
                </c:pt>
                <c:pt idx="176">
                  <c:v>38</c:v>
                </c:pt>
                <c:pt idx="177">
                  <c:v>68</c:v>
                </c:pt>
                <c:pt idx="178">
                  <c:v>68</c:v>
                </c:pt>
                <c:pt idx="179">
                  <c:v>62</c:v>
                </c:pt>
                <c:pt idx="180">
                  <c:v>54</c:v>
                </c:pt>
                <c:pt idx="181">
                  <c:v>41</c:v>
                </c:pt>
                <c:pt idx="182">
                  <c:v>42</c:v>
                </c:pt>
                <c:pt idx="183">
                  <c:v>31</c:v>
                </c:pt>
                <c:pt idx="184">
                  <c:v>58</c:v>
                </c:pt>
                <c:pt idx="185">
                  <c:v>43</c:v>
                </c:pt>
                <c:pt idx="186">
                  <c:v>57</c:v>
                </c:pt>
                <c:pt idx="187">
                  <c:v>46</c:v>
                </c:pt>
                <c:pt idx="188">
                  <c:v>32</c:v>
                </c:pt>
                <c:pt idx="189">
                  <c:v>20</c:v>
                </c:pt>
                <c:pt idx="190">
                  <c:v>17</c:v>
                </c:pt>
                <c:pt idx="191">
                  <c:v>25</c:v>
                </c:pt>
                <c:pt idx="192">
                  <c:v>46</c:v>
                </c:pt>
                <c:pt idx="193">
                  <c:v>41</c:v>
                </c:pt>
                <c:pt idx="194">
                  <c:v>44</c:v>
                </c:pt>
                <c:pt idx="195">
                  <c:v>32</c:v>
                </c:pt>
                <c:pt idx="196">
                  <c:v>26</c:v>
                </c:pt>
                <c:pt idx="197">
                  <c:v>15</c:v>
                </c:pt>
                <c:pt idx="198">
                  <c:v>43</c:v>
                </c:pt>
                <c:pt idx="199">
                  <c:v>44</c:v>
                </c:pt>
                <c:pt idx="200">
                  <c:v>48</c:v>
                </c:pt>
                <c:pt idx="201">
                  <c:v>50</c:v>
                </c:pt>
                <c:pt idx="202">
                  <c:v>38</c:v>
                </c:pt>
                <c:pt idx="203">
                  <c:v>25</c:v>
                </c:pt>
                <c:pt idx="204">
                  <c:v>26</c:v>
                </c:pt>
                <c:pt idx="205">
                  <c:v>46</c:v>
                </c:pt>
                <c:pt idx="206">
                  <c:v>41</c:v>
                </c:pt>
                <c:pt idx="207">
                  <c:v>51</c:v>
                </c:pt>
                <c:pt idx="208">
                  <c:v>45</c:v>
                </c:pt>
                <c:pt idx="209">
                  <c:v>30</c:v>
                </c:pt>
                <c:pt idx="210">
                  <c:v>24</c:v>
                </c:pt>
                <c:pt idx="211">
                  <c:v>31</c:v>
                </c:pt>
                <c:pt idx="212">
                  <c:v>38</c:v>
                </c:pt>
                <c:pt idx="213">
                  <c:v>40</c:v>
                </c:pt>
                <c:pt idx="214">
                  <c:v>47</c:v>
                </c:pt>
                <c:pt idx="215">
                  <c:v>36</c:v>
                </c:pt>
                <c:pt idx="216">
                  <c:v>34</c:v>
                </c:pt>
                <c:pt idx="217">
                  <c:v>14</c:v>
                </c:pt>
                <c:pt idx="218">
                  <c:v>33</c:v>
                </c:pt>
                <c:pt idx="219">
                  <c:v>57</c:v>
                </c:pt>
                <c:pt idx="220">
                  <c:v>44</c:v>
                </c:pt>
                <c:pt idx="221">
                  <c:v>44</c:v>
                </c:pt>
                <c:pt idx="222">
                  <c:v>45</c:v>
                </c:pt>
                <c:pt idx="223">
                  <c:v>34</c:v>
                </c:pt>
                <c:pt idx="224">
                  <c:v>30</c:v>
                </c:pt>
                <c:pt idx="225">
                  <c:v>27</c:v>
                </c:pt>
                <c:pt idx="226">
                  <c:v>44</c:v>
                </c:pt>
                <c:pt idx="227">
                  <c:v>41</c:v>
                </c:pt>
                <c:pt idx="228">
                  <c:v>36</c:v>
                </c:pt>
                <c:pt idx="229">
                  <c:v>32</c:v>
                </c:pt>
                <c:pt idx="230">
                  <c:v>11</c:v>
                </c:pt>
                <c:pt idx="231">
                  <c:v>32</c:v>
                </c:pt>
                <c:pt idx="232">
                  <c:v>22</c:v>
                </c:pt>
                <c:pt idx="233">
                  <c:v>16</c:v>
                </c:pt>
                <c:pt idx="234">
                  <c:v>122</c:v>
                </c:pt>
                <c:pt idx="235">
                  <c:v>93</c:v>
                </c:pt>
                <c:pt idx="236">
                  <c:v>71</c:v>
                </c:pt>
                <c:pt idx="237">
                  <c:v>27</c:v>
                </c:pt>
                <c:pt idx="238">
                  <c:v>28</c:v>
                </c:pt>
                <c:pt idx="239">
                  <c:v>48</c:v>
                </c:pt>
                <c:pt idx="240">
                  <c:v>43</c:v>
                </c:pt>
                <c:pt idx="241">
                  <c:v>56</c:v>
                </c:pt>
                <c:pt idx="242">
                  <c:v>41</c:v>
                </c:pt>
                <c:pt idx="243">
                  <c:v>42</c:v>
                </c:pt>
                <c:pt idx="244">
                  <c:v>51</c:v>
                </c:pt>
                <c:pt idx="245">
                  <c:v>45</c:v>
                </c:pt>
                <c:pt idx="246">
                  <c:v>37</c:v>
                </c:pt>
                <c:pt idx="247">
                  <c:v>57</c:v>
                </c:pt>
                <c:pt idx="248">
                  <c:v>65</c:v>
                </c:pt>
                <c:pt idx="249">
                  <c:v>66</c:v>
                </c:pt>
                <c:pt idx="250">
                  <c:v>73</c:v>
                </c:pt>
                <c:pt idx="251">
                  <c:v>69</c:v>
                </c:pt>
                <c:pt idx="252">
                  <c:v>44</c:v>
                </c:pt>
                <c:pt idx="253">
                  <c:v>69</c:v>
                </c:pt>
                <c:pt idx="254">
                  <c:v>64</c:v>
                </c:pt>
                <c:pt idx="255">
                  <c:v>75</c:v>
                </c:pt>
                <c:pt idx="256">
                  <c:v>73</c:v>
                </c:pt>
                <c:pt idx="257">
                  <c:v>109</c:v>
                </c:pt>
                <c:pt idx="258">
                  <c:v>89</c:v>
                </c:pt>
                <c:pt idx="259">
                  <c:v>81</c:v>
                </c:pt>
                <c:pt idx="260">
                  <c:v>63</c:v>
                </c:pt>
                <c:pt idx="261">
                  <c:v>109</c:v>
                </c:pt>
                <c:pt idx="262">
                  <c:v>139</c:v>
                </c:pt>
                <c:pt idx="263">
                  <c:v>118</c:v>
                </c:pt>
                <c:pt idx="264">
                  <c:v>122</c:v>
                </c:pt>
                <c:pt idx="265">
                  <c:v>73</c:v>
                </c:pt>
                <c:pt idx="266">
                  <c:v>165</c:v>
                </c:pt>
                <c:pt idx="267">
                  <c:v>93</c:v>
                </c:pt>
                <c:pt idx="268">
                  <c:v>111</c:v>
                </c:pt>
                <c:pt idx="269">
                  <c:v>129</c:v>
                </c:pt>
                <c:pt idx="270">
                  <c:v>117</c:v>
                </c:pt>
                <c:pt idx="271">
                  <c:v>79</c:v>
                </c:pt>
                <c:pt idx="272">
                  <c:v>125</c:v>
                </c:pt>
                <c:pt idx="273">
                  <c:v>127</c:v>
                </c:pt>
                <c:pt idx="274">
                  <c:v>183</c:v>
                </c:pt>
                <c:pt idx="275">
                  <c:v>140</c:v>
                </c:pt>
                <c:pt idx="276">
                  <c:v>182</c:v>
                </c:pt>
                <c:pt idx="277">
                  <c:v>202</c:v>
                </c:pt>
                <c:pt idx="278">
                  <c:v>201</c:v>
                </c:pt>
                <c:pt idx="279">
                  <c:v>232</c:v>
                </c:pt>
                <c:pt idx="280">
                  <c:v>175</c:v>
                </c:pt>
                <c:pt idx="281">
                  <c:v>181</c:v>
                </c:pt>
                <c:pt idx="282">
                  <c:v>188</c:v>
                </c:pt>
                <c:pt idx="283">
                  <c:v>259</c:v>
                </c:pt>
                <c:pt idx="284">
                  <c:v>273</c:v>
                </c:pt>
                <c:pt idx="285">
                  <c:v>219</c:v>
                </c:pt>
                <c:pt idx="286">
                  <c:v>240</c:v>
                </c:pt>
                <c:pt idx="287">
                  <c:v>136</c:v>
                </c:pt>
                <c:pt idx="288">
                  <c:v>203</c:v>
                </c:pt>
                <c:pt idx="289">
                  <c:v>393</c:v>
                </c:pt>
                <c:pt idx="290">
                  <c:v>247</c:v>
                </c:pt>
                <c:pt idx="291">
                  <c:v>275</c:v>
                </c:pt>
                <c:pt idx="292">
                  <c:v>224</c:v>
                </c:pt>
                <c:pt idx="293">
                  <c:v>213</c:v>
                </c:pt>
                <c:pt idx="294">
                  <c:v>176</c:v>
                </c:pt>
                <c:pt idx="295">
                  <c:v>196</c:v>
                </c:pt>
                <c:pt idx="296">
                  <c:v>247</c:v>
                </c:pt>
                <c:pt idx="297">
                  <c:v>197</c:v>
                </c:pt>
                <c:pt idx="298">
                  <c:v>413</c:v>
                </c:pt>
                <c:pt idx="299">
                  <c:v>0</c:v>
                </c:pt>
                <c:pt idx="300">
                  <c:v>186</c:v>
                </c:pt>
                <c:pt idx="301">
                  <c:v>184</c:v>
                </c:pt>
                <c:pt idx="302">
                  <c:v>171</c:v>
                </c:pt>
                <c:pt idx="303">
                  <c:v>133</c:v>
                </c:pt>
                <c:pt idx="304">
                  <c:v>188</c:v>
                </c:pt>
                <c:pt idx="305">
                  <c:v>253</c:v>
                </c:pt>
              </c:numCache>
            </c:numRef>
          </c:val>
          <c:smooth val="0"/>
          <c:extLst>
            <c:ext xmlns:c16="http://schemas.microsoft.com/office/drawing/2014/chart" uri="{C3380CC4-5D6E-409C-BE32-E72D297353CC}">
              <c16:uniqueId val="{00000000-8463-4236-86D6-51E9C716CD9B}"/>
            </c:ext>
          </c:extLst>
        </c:ser>
        <c:dLbls>
          <c:showLegendKey val="0"/>
          <c:showVal val="0"/>
          <c:showCatName val="0"/>
          <c:showSerName val="0"/>
          <c:showPercent val="0"/>
          <c:showBubbleSize val="0"/>
        </c:dLbls>
        <c:marker val="1"/>
        <c:smooth val="0"/>
        <c:axId val="2008900512"/>
        <c:axId val="1909659872"/>
      </c:lineChart>
      <c:dateAx>
        <c:axId val="2008900512"/>
        <c:scaling>
          <c:orientation val="minMax"/>
          <c:max val="44196"/>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659872"/>
        <c:crosses val="autoZero"/>
        <c:auto val="0"/>
        <c:lblOffset val="100"/>
        <c:baseTimeUnit val="days"/>
        <c:majorUnit val="14"/>
        <c:majorTimeUnit val="days"/>
      </c:dateAx>
      <c:valAx>
        <c:axId val="1909659872"/>
        <c:scaling>
          <c:orientation val="minMax"/>
          <c:max val="1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9005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Daily Deaths</c:v>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180000"/>
                </a:solidFill>
                <a:prstDash val="dash"/>
              </a:ln>
              <a:effectLst/>
            </c:spPr>
            <c:trendlineType val="movingAvg"/>
            <c:period val="7"/>
            <c:dispRSqr val="0"/>
            <c:dispEq val="0"/>
          </c:trendline>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Data!$I$3:$I$308</c:f>
              <c:numCache>
                <c:formatCode>General</c:formatCode>
                <c:ptCount val="306"/>
                <c:pt idx="23">
                  <c:v>4</c:v>
                </c:pt>
                <c:pt idx="24">
                  <c:v>2</c:v>
                </c:pt>
                <c:pt idx="25">
                  <c:v>8</c:v>
                </c:pt>
                <c:pt idx="26">
                  <c:v>5</c:v>
                </c:pt>
                <c:pt idx="27">
                  <c:v>6</c:v>
                </c:pt>
                <c:pt idx="28">
                  <c:v>5</c:v>
                </c:pt>
                <c:pt idx="29">
                  <c:v>7</c:v>
                </c:pt>
                <c:pt idx="30">
                  <c:v>10</c:v>
                </c:pt>
                <c:pt idx="31">
                  <c:v>10</c:v>
                </c:pt>
                <c:pt idx="32">
                  <c:v>14</c:v>
                </c:pt>
                <c:pt idx="33">
                  <c:v>11</c:v>
                </c:pt>
                <c:pt idx="34">
                  <c:v>28</c:v>
                </c:pt>
                <c:pt idx="35">
                  <c:v>15</c:v>
                </c:pt>
                <c:pt idx="36">
                  <c:v>15</c:v>
                </c:pt>
                <c:pt idx="37">
                  <c:v>22</c:v>
                </c:pt>
                <c:pt idx="38">
                  <c:v>29</c:v>
                </c:pt>
                <c:pt idx="39">
                  <c:v>25</c:v>
                </c:pt>
                <c:pt idx="40">
                  <c:v>18</c:v>
                </c:pt>
                <c:pt idx="41">
                  <c:v>24</c:v>
                </c:pt>
                <c:pt idx="42">
                  <c:v>31</c:v>
                </c:pt>
                <c:pt idx="43">
                  <c:v>24</c:v>
                </c:pt>
                <c:pt idx="44">
                  <c:v>40</c:v>
                </c:pt>
                <c:pt idx="45">
                  <c:v>42</c:v>
                </c:pt>
                <c:pt idx="46">
                  <c:v>53</c:v>
                </c:pt>
                <c:pt idx="47">
                  <c:v>40</c:v>
                </c:pt>
                <c:pt idx="48">
                  <c:v>81</c:v>
                </c:pt>
                <c:pt idx="49">
                  <c:v>24</c:v>
                </c:pt>
                <c:pt idx="50">
                  <c:v>17</c:v>
                </c:pt>
                <c:pt idx="51">
                  <c:v>46</c:v>
                </c:pt>
                <c:pt idx="52">
                  <c:v>66</c:v>
                </c:pt>
                <c:pt idx="53">
                  <c:v>119</c:v>
                </c:pt>
                <c:pt idx="54">
                  <c:v>47</c:v>
                </c:pt>
                <c:pt idx="55">
                  <c:v>18</c:v>
                </c:pt>
                <c:pt idx="56">
                  <c:v>29</c:v>
                </c:pt>
                <c:pt idx="57">
                  <c:v>58</c:v>
                </c:pt>
                <c:pt idx="58">
                  <c:v>56</c:v>
                </c:pt>
                <c:pt idx="59">
                  <c:v>55</c:v>
                </c:pt>
                <c:pt idx="60">
                  <c:v>61</c:v>
                </c:pt>
                <c:pt idx="61">
                  <c:v>37</c:v>
                </c:pt>
                <c:pt idx="62">
                  <c:v>20</c:v>
                </c:pt>
                <c:pt idx="63">
                  <c:v>27</c:v>
                </c:pt>
                <c:pt idx="64">
                  <c:v>57</c:v>
                </c:pt>
                <c:pt idx="65">
                  <c:v>54</c:v>
                </c:pt>
                <c:pt idx="66">
                  <c:v>51</c:v>
                </c:pt>
                <c:pt idx="67">
                  <c:v>50</c:v>
                </c:pt>
                <c:pt idx="68">
                  <c:v>44</c:v>
                </c:pt>
                <c:pt idx="69">
                  <c:v>18</c:v>
                </c:pt>
                <c:pt idx="70">
                  <c:v>39</c:v>
                </c:pt>
                <c:pt idx="71">
                  <c:v>44</c:v>
                </c:pt>
                <c:pt idx="72">
                  <c:v>46</c:v>
                </c:pt>
                <c:pt idx="73">
                  <c:v>50</c:v>
                </c:pt>
                <c:pt idx="74">
                  <c:v>46</c:v>
                </c:pt>
                <c:pt idx="75">
                  <c:v>38</c:v>
                </c:pt>
                <c:pt idx="76">
                  <c:v>28</c:v>
                </c:pt>
                <c:pt idx="77">
                  <c:v>18</c:v>
                </c:pt>
                <c:pt idx="78">
                  <c:v>74</c:v>
                </c:pt>
                <c:pt idx="79">
                  <c:v>57</c:v>
                </c:pt>
                <c:pt idx="80">
                  <c:v>46</c:v>
                </c:pt>
                <c:pt idx="81">
                  <c:v>33</c:v>
                </c:pt>
                <c:pt idx="82">
                  <c:v>41</c:v>
                </c:pt>
                <c:pt idx="83">
                  <c:v>14</c:v>
                </c:pt>
                <c:pt idx="84">
                  <c:v>12</c:v>
                </c:pt>
                <c:pt idx="85">
                  <c:v>27</c:v>
                </c:pt>
                <c:pt idx="86">
                  <c:v>52</c:v>
                </c:pt>
                <c:pt idx="87">
                  <c:v>46</c:v>
                </c:pt>
                <c:pt idx="88">
                  <c:v>49</c:v>
                </c:pt>
                <c:pt idx="89">
                  <c:v>48</c:v>
                </c:pt>
                <c:pt idx="90">
                  <c:v>24</c:v>
                </c:pt>
                <c:pt idx="91">
                  <c:v>22</c:v>
                </c:pt>
                <c:pt idx="92">
                  <c:v>59</c:v>
                </c:pt>
                <c:pt idx="93">
                  <c:v>46</c:v>
                </c:pt>
                <c:pt idx="94">
                  <c:v>42</c:v>
                </c:pt>
                <c:pt idx="95">
                  <c:v>34</c:v>
                </c:pt>
                <c:pt idx="96">
                  <c:v>55</c:v>
                </c:pt>
                <c:pt idx="97">
                  <c:v>25</c:v>
                </c:pt>
                <c:pt idx="98">
                  <c:v>10</c:v>
                </c:pt>
                <c:pt idx="99">
                  <c:v>52</c:v>
                </c:pt>
                <c:pt idx="100">
                  <c:v>61</c:v>
                </c:pt>
                <c:pt idx="101">
                  <c:v>45</c:v>
                </c:pt>
                <c:pt idx="102">
                  <c:v>19</c:v>
                </c:pt>
                <c:pt idx="103">
                  <c:v>58</c:v>
                </c:pt>
                <c:pt idx="104">
                  <c:v>17</c:v>
                </c:pt>
                <c:pt idx="105">
                  <c:v>19</c:v>
                </c:pt>
                <c:pt idx="106">
                  <c:v>33</c:v>
                </c:pt>
                <c:pt idx="107">
                  <c:v>32</c:v>
                </c:pt>
                <c:pt idx="108">
                  <c:v>36</c:v>
                </c:pt>
                <c:pt idx="109">
                  <c:v>36</c:v>
                </c:pt>
                <c:pt idx="110">
                  <c:v>47</c:v>
                </c:pt>
                <c:pt idx="111">
                  <c:v>10</c:v>
                </c:pt>
                <c:pt idx="112">
                  <c:v>17</c:v>
                </c:pt>
                <c:pt idx="113">
                  <c:v>34</c:v>
                </c:pt>
                <c:pt idx="114">
                  <c:v>34</c:v>
                </c:pt>
                <c:pt idx="115">
                  <c:v>41</c:v>
                </c:pt>
                <c:pt idx="116">
                  <c:v>21</c:v>
                </c:pt>
                <c:pt idx="117">
                  <c:v>18</c:v>
                </c:pt>
                <c:pt idx="118">
                  <c:v>20</c:v>
                </c:pt>
                <c:pt idx="119">
                  <c:v>21</c:v>
                </c:pt>
                <c:pt idx="120">
                  <c:v>43</c:v>
                </c:pt>
                <c:pt idx="121">
                  <c:v>33</c:v>
                </c:pt>
                <c:pt idx="122">
                  <c:v>52</c:v>
                </c:pt>
                <c:pt idx="123">
                  <c:v>11</c:v>
                </c:pt>
                <c:pt idx="124">
                  <c:v>11</c:v>
                </c:pt>
                <c:pt idx="125">
                  <c:v>11</c:v>
                </c:pt>
                <c:pt idx="126">
                  <c:v>47</c:v>
                </c:pt>
                <c:pt idx="127">
                  <c:v>45</c:v>
                </c:pt>
                <c:pt idx="128">
                  <c:v>63</c:v>
                </c:pt>
                <c:pt idx="129">
                  <c:v>47</c:v>
                </c:pt>
                <c:pt idx="130">
                  <c:v>49</c:v>
                </c:pt>
                <c:pt idx="131">
                  <c:v>55</c:v>
                </c:pt>
                <c:pt idx="132">
                  <c:v>16</c:v>
                </c:pt>
                <c:pt idx="133">
                  <c:v>13</c:v>
                </c:pt>
                <c:pt idx="134">
                  <c:v>72</c:v>
                </c:pt>
                <c:pt idx="135">
                  <c:v>42</c:v>
                </c:pt>
                <c:pt idx="136">
                  <c:v>52</c:v>
                </c:pt>
                <c:pt idx="137">
                  <c:v>59</c:v>
                </c:pt>
                <c:pt idx="138">
                  <c:v>37</c:v>
                </c:pt>
                <c:pt idx="139">
                  <c:v>11</c:v>
                </c:pt>
                <c:pt idx="140">
                  <c:v>9</c:v>
                </c:pt>
                <c:pt idx="141">
                  <c:v>50</c:v>
                </c:pt>
                <c:pt idx="142">
                  <c:v>59</c:v>
                </c:pt>
                <c:pt idx="143">
                  <c:v>49</c:v>
                </c:pt>
                <c:pt idx="144">
                  <c:v>38</c:v>
                </c:pt>
                <c:pt idx="145">
                  <c:v>51</c:v>
                </c:pt>
                <c:pt idx="146">
                  <c:v>9</c:v>
                </c:pt>
                <c:pt idx="147">
                  <c:v>15</c:v>
                </c:pt>
                <c:pt idx="148">
                  <c:v>51</c:v>
                </c:pt>
                <c:pt idx="149">
                  <c:v>90</c:v>
                </c:pt>
                <c:pt idx="150">
                  <c:v>36</c:v>
                </c:pt>
                <c:pt idx="151">
                  <c:v>69</c:v>
                </c:pt>
                <c:pt idx="152">
                  <c:v>48</c:v>
                </c:pt>
                <c:pt idx="153">
                  <c:v>23</c:v>
                </c:pt>
                <c:pt idx="154">
                  <c:v>9</c:v>
                </c:pt>
                <c:pt idx="155">
                  <c:v>57</c:v>
                </c:pt>
                <c:pt idx="156">
                  <c:v>67</c:v>
                </c:pt>
                <c:pt idx="157">
                  <c:v>44</c:v>
                </c:pt>
                <c:pt idx="158">
                  <c:v>49</c:v>
                </c:pt>
                <c:pt idx="159">
                  <c:v>49</c:v>
                </c:pt>
                <c:pt idx="160">
                  <c:v>10</c:v>
                </c:pt>
                <c:pt idx="161">
                  <c:v>19</c:v>
                </c:pt>
                <c:pt idx="162">
                  <c:v>61</c:v>
                </c:pt>
                <c:pt idx="163">
                  <c:v>52</c:v>
                </c:pt>
                <c:pt idx="164">
                  <c:v>62</c:v>
                </c:pt>
                <c:pt idx="165">
                  <c:v>43</c:v>
                </c:pt>
                <c:pt idx="166">
                  <c:v>31</c:v>
                </c:pt>
                <c:pt idx="167">
                  <c:v>9</c:v>
                </c:pt>
                <c:pt idx="168">
                  <c:v>19</c:v>
                </c:pt>
                <c:pt idx="169">
                  <c:v>62</c:v>
                </c:pt>
                <c:pt idx="170">
                  <c:v>57</c:v>
                </c:pt>
                <c:pt idx="171">
                  <c:v>54</c:v>
                </c:pt>
                <c:pt idx="172">
                  <c:v>45</c:v>
                </c:pt>
                <c:pt idx="173">
                  <c:v>46</c:v>
                </c:pt>
                <c:pt idx="174">
                  <c:v>8</c:v>
                </c:pt>
                <c:pt idx="175">
                  <c:v>13</c:v>
                </c:pt>
                <c:pt idx="176">
                  <c:v>47</c:v>
                </c:pt>
                <c:pt idx="177">
                  <c:v>58</c:v>
                </c:pt>
                <c:pt idx="178">
                  <c:v>38</c:v>
                </c:pt>
                <c:pt idx="179">
                  <c:v>31</c:v>
                </c:pt>
                <c:pt idx="180">
                  <c:v>27</c:v>
                </c:pt>
                <c:pt idx="181">
                  <c:v>10</c:v>
                </c:pt>
                <c:pt idx="182">
                  <c:v>15</c:v>
                </c:pt>
                <c:pt idx="183">
                  <c:v>45</c:v>
                </c:pt>
                <c:pt idx="184">
                  <c:v>49</c:v>
                </c:pt>
                <c:pt idx="185">
                  <c:v>54</c:v>
                </c:pt>
                <c:pt idx="186">
                  <c:v>45</c:v>
                </c:pt>
                <c:pt idx="187">
                  <c:v>23</c:v>
                </c:pt>
                <c:pt idx="188">
                  <c:v>5</c:v>
                </c:pt>
                <c:pt idx="189">
                  <c:v>25</c:v>
                </c:pt>
                <c:pt idx="190">
                  <c:v>6</c:v>
                </c:pt>
                <c:pt idx="191">
                  <c:v>54</c:v>
                </c:pt>
                <c:pt idx="192">
                  <c:v>38</c:v>
                </c:pt>
                <c:pt idx="193">
                  <c:v>43</c:v>
                </c:pt>
                <c:pt idx="194">
                  <c:v>26</c:v>
                </c:pt>
                <c:pt idx="195">
                  <c:v>11</c:v>
                </c:pt>
                <c:pt idx="196">
                  <c:v>23</c:v>
                </c:pt>
                <c:pt idx="197">
                  <c:v>42</c:v>
                </c:pt>
                <c:pt idx="198">
                  <c:v>30</c:v>
                </c:pt>
                <c:pt idx="199">
                  <c:v>21</c:v>
                </c:pt>
                <c:pt idx="200">
                  <c:v>6</c:v>
                </c:pt>
                <c:pt idx="201">
                  <c:v>0</c:v>
                </c:pt>
                <c:pt idx="202">
                  <c:v>23</c:v>
                </c:pt>
                <c:pt idx="203">
                  <c:v>13</c:v>
                </c:pt>
                <c:pt idx="204">
                  <c:v>35</c:v>
                </c:pt>
                <c:pt idx="205">
                  <c:v>22</c:v>
                </c:pt>
                <c:pt idx="206">
                  <c:v>32</c:v>
                </c:pt>
                <c:pt idx="207">
                  <c:v>33</c:v>
                </c:pt>
                <c:pt idx="208">
                  <c:v>16</c:v>
                </c:pt>
                <c:pt idx="209">
                  <c:v>10</c:v>
                </c:pt>
                <c:pt idx="210">
                  <c:v>1</c:v>
                </c:pt>
                <c:pt idx="211">
                  <c:v>36</c:v>
                </c:pt>
                <c:pt idx="212">
                  <c:v>25</c:v>
                </c:pt>
                <c:pt idx="213">
                  <c:v>34</c:v>
                </c:pt>
                <c:pt idx="214">
                  <c:v>16</c:v>
                </c:pt>
                <c:pt idx="215">
                  <c:v>16</c:v>
                </c:pt>
                <c:pt idx="216">
                  <c:v>5</c:v>
                </c:pt>
                <c:pt idx="217">
                  <c:v>7</c:v>
                </c:pt>
                <c:pt idx="218">
                  <c:v>27</c:v>
                </c:pt>
                <c:pt idx="219">
                  <c:v>28</c:v>
                </c:pt>
                <c:pt idx="220">
                  <c:v>17</c:v>
                </c:pt>
                <c:pt idx="221">
                  <c:v>15</c:v>
                </c:pt>
                <c:pt idx="222">
                  <c:v>27</c:v>
                </c:pt>
                <c:pt idx="223">
                  <c:v>3</c:v>
                </c:pt>
                <c:pt idx="224">
                  <c:v>2</c:v>
                </c:pt>
                <c:pt idx="225">
                  <c:v>17</c:v>
                </c:pt>
                <c:pt idx="226">
                  <c:v>22</c:v>
                </c:pt>
                <c:pt idx="227">
                  <c:v>22</c:v>
                </c:pt>
                <c:pt idx="228">
                  <c:v>21</c:v>
                </c:pt>
                <c:pt idx="229">
                  <c:v>8</c:v>
                </c:pt>
                <c:pt idx="230">
                  <c:v>13</c:v>
                </c:pt>
                <c:pt idx="231">
                  <c:v>1</c:v>
                </c:pt>
                <c:pt idx="232">
                  <c:v>35</c:v>
                </c:pt>
                <c:pt idx="233">
                  <c:v>32</c:v>
                </c:pt>
                <c:pt idx="234">
                  <c:v>12</c:v>
                </c:pt>
                <c:pt idx="235">
                  <c:v>18</c:v>
                </c:pt>
                <c:pt idx="236">
                  <c:v>15</c:v>
                </c:pt>
                <c:pt idx="237">
                  <c:v>4</c:v>
                </c:pt>
                <c:pt idx="238">
                  <c:v>7</c:v>
                </c:pt>
                <c:pt idx="239">
                  <c:v>27</c:v>
                </c:pt>
                <c:pt idx="240">
                  <c:v>13</c:v>
                </c:pt>
                <c:pt idx="241">
                  <c:v>4</c:v>
                </c:pt>
                <c:pt idx="242">
                  <c:v>12</c:v>
                </c:pt>
                <c:pt idx="243">
                  <c:v>15</c:v>
                </c:pt>
                <c:pt idx="244">
                  <c:v>3</c:v>
                </c:pt>
                <c:pt idx="245">
                  <c:v>2</c:v>
                </c:pt>
                <c:pt idx="246">
                  <c:v>21</c:v>
                </c:pt>
                <c:pt idx="247">
                  <c:v>20</c:v>
                </c:pt>
                <c:pt idx="248">
                  <c:v>23</c:v>
                </c:pt>
                <c:pt idx="249">
                  <c:v>17</c:v>
                </c:pt>
                <c:pt idx="250">
                  <c:v>13</c:v>
                </c:pt>
                <c:pt idx="251">
                  <c:v>2</c:v>
                </c:pt>
                <c:pt idx="252">
                  <c:v>5</c:v>
                </c:pt>
                <c:pt idx="253">
                  <c:v>23</c:v>
                </c:pt>
                <c:pt idx="254">
                  <c:v>16</c:v>
                </c:pt>
                <c:pt idx="255">
                  <c:v>5</c:v>
                </c:pt>
                <c:pt idx="256">
                  <c:v>25</c:v>
                </c:pt>
                <c:pt idx="257">
                  <c:v>20</c:v>
                </c:pt>
                <c:pt idx="258">
                  <c:v>3</c:v>
                </c:pt>
                <c:pt idx="259">
                  <c:v>6</c:v>
                </c:pt>
                <c:pt idx="260">
                  <c:v>24</c:v>
                </c:pt>
                <c:pt idx="261">
                  <c:v>36</c:v>
                </c:pt>
                <c:pt idx="262">
                  <c:v>28</c:v>
                </c:pt>
                <c:pt idx="263">
                  <c:v>33</c:v>
                </c:pt>
                <c:pt idx="264">
                  <c:v>-67</c:v>
                </c:pt>
                <c:pt idx="265">
                  <c:v>109</c:v>
                </c:pt>
                <c:pt idx="266">
                  <c:v>8</c:v>
                </c:pt>
                <c:pt idx="267">
                  <c:v>51</c:v>
                </c:pt>
                <c:pt idx="268">
                  <c:v>46</c:v>
                </c:pt>
                <c:pt idx="269">
                  <c:v>37</c:v>
                </c:pt>
                <c:pt idx="270">
                  <c:v>24</c:v>
                </c:pt>
                <c:pt idx="271">
                  <c:v>19</c:v>
                </c:pt>
                <c:pt idx="272">
                  <c:v>16</c:v>
                </c:pt>
                <c:pt idx="273">
                  <c:v>16</c:v>
                </c:pt>
                <c:pt idx="274">
                  <c:v>45</c:v>
                </c:pt>
                <c:pt idx="275">
                  <c:v>40</c:v>
                </c:pt>
                <c:pt idx="276">
                  <c:v>42</c:v>
                </c:pt>
                <c:pt idx="277">
                  <c:v>60</c:v>
                </c:pt>
                <c:pt idx="278">
                  <c:v>44</c:v>
                </c:pt>
                <c:pt idx="279">
                  <c:v>23</c:v>
                </c:pt>
                <c:pt idx="280">
                  <c:v>27</c:v>
                </c:pt>
                <c:pt idx="281">
                  <c:v>64</c:v>
                </c:pt>
                <c:pt idx="282">
                  <c:v>75</c:v>
                </c:pt>
                <c:pt idx="283">
                  <c:v>74</c:v>
                </c:pt>
                <c:pt idx="284">
                  <c:v>50</c:v>
                </c:pt>
                <c:pt idx="285">
                  <c:v>70</c:v>
                </c:pt>
                <c:pt idx="286">
                  <c:v>29</c:v>
                </c:pt>
                <c:pt idx="287">
                  <c:v>47</c:v>
                </c:pt>
                <c:pt idx="288">
                  <c:v>86</c:v>
                </c:pt>
                <c:pt idx="289">
                  <c:v>137</c:v>
                </c:pt>
                <c:pt idx="290">
                  <c:v>96</c:v>
                </c:pt>
                <c:pt idx="291">
                  <c:v>93</c:v>
                </c:pt>
                <c:pt idx="292">
                  <c:v>60</c:v>
                </c:pt>
                <c:pt idx="293">
                  <c:v>58</c:v>
                </c:pt>
                <c:pt idx="294">
                  <c:v>56</c:v>
                </c:pt>
                <c:pt idx="295">
                  <c:v>85</c:v>
                </c:pt>
                <c:pt idx="296">
                  <c:v>137</c:v>
                </c:pt>
                <c:pt idx="297">
                  <c:v>146</c:v>
                </c:pt>
                <c:pt idx="298">
                  <c:v>139</c:v>
                </c:pt>
                <c:pt idx="299">
                  <c:v>0</c:v>
                </c:pt>
                <c:pt idx="300">
                  <c:v>44</c:v>
                </c:pt>
                <c:pt idx="301">
                  <c:v>73</c:v>
                </c:pt>
                <c:pt idx="302">
                  <c:v>227</c:v>
                </c:pt>
                <c:pt idx="303">
                  <c:v>274</c:v>
                </c:pt>
                <c:pt idx="304">
                  <c:v>289</c:v>
                </c:pt>
                <c:pt idx="305">
                  <c:v>207</c:v>
                </c:pt>
              </c:numCache>
            </c:numRef>
          </c:val>
          <c:extLst>
            <c:ext xmlns:c16="http://schemas.microsoft.com/office/drawing/2014/chart" uri="{C3380CC4-5D6E-409C-BE32-E72D297353CC}">
              <c16:uniqueId val="{00000000-5A87-4712-AD94-6DFB770D1CFB}"/>
            </c:ext>
          </c:extLst>
        </c:ser>
        <c:dLbls>
          <c:showLegendKey val="0"/>
          <c:showVal val="0"/>
          <c:showCatName val="0"/>
          <c:showSerName val="0"/>
          <c:showPercent val="0"/>
          <c:showBubbleSize val="0"/>
        </c:dLbls>
        <c:gapWidth val="219"/>
        <c:overlap val="-27"/>
        <c:axId val="1365967680"/>
        <c:axId val="1038768896"/>
      </c:barChart>
      <c:dateAx>
        <c:axId val="1365967680"/>
        <c:scaling>
          <c:orientation val="minMax"/>
          <c:max val="44196"/>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768896"/>
        <c:crosses val="autoZero"/>
        <c:auto val="0"/>
        <c:lblOffset val="100"/>
        <c:baseTimeUnit val="days"/>
        <c:majorUnit val="14"/>
        <c:majorTimeUnit val="days"/>
      </c:dateAx>
      <c:valAx>
        <c:axId val="1038768896"/>
        <c:scaling>
          <c:orientation val="minMax"/>
          <c:max val="2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9676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Prevalence,</a:t>
            </a:r>
            <a:r>
              <a:rPr lang="en-US" baseline="0"/>
              <a:t> Incidence &amp; Mortality </a:t>
            </a:r>
          </a:p>
          <a:p>
            <a:pPr>
              <a:defRPr/>
            </a:pPr>
            <a:r>
              <a:rPr lang="en-US" baseline="0"/>
              <a:t>as Total Population of LAC (per 100,000)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Prevalence</c:v>
          </c:tx>
          <c:spPr>
            <a:ln w="28575" cap="rnd">
              <a:solidFill>
                <a:srgbClr val="CC99FF"/>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Data!$F$3:$F$308</c:f>
              <c:numCache>
                <c:formatCode>General</c:formatCode>
                <c:ptCount val="306"/>
                <c:pt idx="22">
                  <c:v>5</c:v>
                </c:pt>
                <c:pt idx="23">
                  <c:v>7</c:v>
                </c:pt>
                <c:pt idx="24">
                  <c:v>8</c:v>
                </c:pt>
                <c:pt idx="25">
                  <c:v>12</c:v>
                </c:pt>
                <c:pt idx="26">
                  <c:v>15</c:v>
                </c:pt>
                <c:pt idx="27">
                  <c:v>18</c:v>
                </c:pt>
                <c:pt idx="28">
                  <c:v>21</c:v>
                </c:pt>
                <c:pt idx="29">
                  <c:v>25</c:v>
                </c:pt>
                <c:pt idx="30">
                  <c:v>30</c:v>
                </c:pt>
                <c:pt idx="31">
                  <c:v>35</c:v>
                </c:pt>
                <c:pt idx="32">
                  <c:v>40</c:v>
                </c:pt>
                <c:pt idx="33">
                  <c:v>45</c:v>
                </c:pt>
                <c:pt idx="34">
                  <c:v>53</c:v>
                </c:pt>
                <c:pt idx="35">
                  <c:v>59</c:v>
                </c:pt>
                <c:pt idx="36">
                  <c:v>63</c:v>
                </c:pt>
                <c:pt idx="37">
                  <c:v>69</c:v>
                </c:pt>
                <c:pt idx="38">
                  <c:v>75</c:v>
                </c:pt>
                <c:pt idx="39">
                  <c:v>79</c:v>
                </c:pt>
                <c:pt idx="40">
                  <c:v>84</c:v>
                </c:pt>
                <c:pt idx="41">
                  <c:v>88</c:v>
                </c:pt>
                <c:pt idx="42">
                  <c:v>92</c:v>
                </c:pt>
                <c:pt idx="43">
                  <c:v>94</c:v>
                </c:pt>
                <c:pt idx="44">
                  <c:v>100</c:v>
                </c:pt>
                <c:pt idx="45">
                  <c:v>105</c:v>
                </c:pt>
                <c:pt idx="46">
                  <c:v>108</c:v>
                </c:pt>
                <c:pt idx="47">
                  <c:v>113</c:v>
                </c:pt>
                <c:pt idx="48">
                  <c:v>120</c:v>
                </c:pt>
                <c:pt idx="49">
                  <c:v>123</c:v>
                </c:pt>
                <c:pt idx="50">
                  <c:v>138</c:v>
                </c:pt>
                <c:pt idx="51">
                  <c:v>151</c:v>
                </c:pt>
                <c:pt idx="52">
                  <c:v>164</c:v>
                </c:pt>
                <c:pt idx="53">
                  <c:v>184</c:v>
                </c:pt>
                <c:pt idx="54">
                  <c:v>190</c:v>
                </c:pt>
                <c:pt idx="55">
                  <c:v>195</c:v>
                </c:pt>
                <c:pt idx="56">
                  <c:v>203</c:v>
                </c:pt>
                <c:pt idx="57">
                  <c:v>209</c:v>
                </c:pt>
                <c:pt idx="58">
                  <c:v>224</c:v>
                </c:pt>
                <c:pt idx="59">
                  <c:v>231</c:v>
                </c:pt>
                <c:pt idx="60">
                  <c:v>241</c:v>
                </c:pt>
                <c:pt idx="61">
                  <c:v>248</c:v>
                </c:pt>
                <c:pt idx="62">
                  <c:v>256</c:v>
                </c:pt>
                <c:pt idx="63">
                  <c:v>261</c:v>
                </c:pt>
                <c:pt idx="64">
                  <c:v>277</c:v>
                </c:pt>
                <c:pt idx="65">
                  <c:v>285</c:v>
                </c:pt>
                <c:pt idx="66">
                  <c:v>293</c:v>
                </c:pt>
                <c:pt idx="67">
                  <c:v>302</c:v>
                </c:pt>
                <c:pt idx="68">
                  <c:v>311</c:v>
                </c:pt>
                <c:pt idx="69">
                  <c:v>316</c:v>
                </c:pt>
                <c:pt idx="70">
                  <c:v>321</c:v>
                </c:pt>
                <c:pt idx="71">
                  <c:v>331</c:v>
                </c:pt>
                <c:pt idx="72">
                  <c:v>343</c:v>
                </c:pt>
                <c:pt idx="73">
                  <c:v>352</c:v>
                </c:pt>
                <c:pt idx="74">
                  <c:v>361</c:v>
                </c:pt>
                <c:pt idx="75">
                  <c:v>372</c:v>
                </c:pt>
                <c:pt idx="76">
                  <c:v>378</c:v>
                </c:pt>
                <c:pt idx="77">
                  <c:v>383</c:v>
                </c:pt>
                <c:pt idx="78">
                  <c:v>394</c:v>
                </c:pt>
                <c:pt idx="79">
                  <c:v>407</c:v>
                </c:pt>
                <c:pt idx="80">
                  <c:v>419</c:v>
                </c:pt>
                <c:pt idx="81">
                  <c:v>429</c:v>
                </c:pt>
                <c:pt idx="82">
                  <c:v>439</c:v>
                </c:pt>
                <c:pt idx="83">
                  <c:v>448</c:v>
                </c:pt>
                <c:pt idx="84">
                  <c:v>458</c:v>
                </c:pt>
                <c:pt idx="85">
                  <c:v>476</c:v>
                </c:pt>
                <c:pt idx="86">
                  <c:v>485</c:v>
                </c:pt>
                <c:pt idx="87">
                  <c:v>496</c:v>
                </c:pt>
                <c:pt idx="88">
                  <c:v>514</c:v>
                </c:pt>
                <c:pt idx="89">
                  <c:v>534</c:v>
                </c:pt>
                <c:pt idx="90">
                  <c:v>548</c:v>
                </c:pt>
                <c:pt idx="91">
                  <c:v>557</c:v>
                </c:pt>
                <c:pt idx="92">
                  <c:v>569</c:v>
                </c:pt>
                <c:pt idx="93">
                  <c:v>580</c:v>
                </c:pt>
                <c:pt idx="94">
                  <c:v>594</c:v>
                </c:pt>
                <c:pt idx="95">
                  <c:v>608</c:v>
                </c:pt>
                <c:pt idx="96">
                  <c:v>621</c:v>
                </c:pt>
                <c:pt idx="97">
                  <c:v>636</c:v>
                </c:pt>
                <c:pt idx="98">
                  <c:v>644</c:v>
                </c:pt>
                <c:pt idx="99">
                  <c:v>656</c:v>
                </c:pt>
                <c:pt idx="100">
                  <c:v>668</c:v>
                </c:pt>
                <c:pt idx="101">
                  <c:v>686</c:v>
                </c:pt>
                <c:pt idx="102">
                  <c:v>702</c:v>
                </c:pt>
                <c:pt idx="103">
                  <c:v>717</c:v>
                </c:pt>
                <c:pt idx="104">
                  <c:v>727</c:v>
                </c:pt>
                <c:pt idx="105">
                  <c:v>735</c:v>
                </c:pt>
                <c:pt idx="106">
                  <c:v>748</c:v>
                </c:pt>
                <c:pt idx="107">
                  <c:v>769</c:v>
                </c:pt>
                <c:pt idx="108">
                  <c:v>779</c:v>
                </c:pt>
                <c:pt idx="109">
                  <c:v>793</c:v>
                </c:pt>
                <c:pt idx="110">
                  <c:v>813</c:v>
                </c:pt>
                <c:pt idx="111">
                  <c:v>831</c:v>
                </c:pt>
                <c:pt idx="112">
                  <c:v>856</c:v>
                </c:pt>
                <c:pt idx="113">
                  <c:v>879</c:v>
                </c:pt>
                <c:pt idx="114">
                  <c:v>891</c:v>
                </c:pt>
                <c:pt idx="115">
                  <c:v>911</c:v>
                </c:pt>
                <c:pt idx="116">
                  <c:v>929</c:v>
                </c:pt>
                <c:pt idx="117">
                  <c:v>950</c:v>
                </c:pt>
                <c:pt idx="118">
                  <c:v>975</c:v>
                </c:pt>
                <c:pt idx="119">
                  <c:v>1004</c:v>
                </c:pt>
                <c:pt idx="120">
                  <c:v>1031</c:v>
                </c:pt>
                <c:pt idx="121">
                  <c:v>1051</c:v>
                </c:pt>
                <c:pt idx="122">
                  <c:v>1072</c:v>
                </c:pt>
                <c:pt idx="123">
                  <c:v>1097</c:v>
                </c:pt>
                <c:pt idx="124">
                  <c:v>1121</c:v>
                </c:pt>
                <c:pt idx="125">
                  <c:v>1145</c:v>
                </c:pt>
                <c:pt idx="126">
                  <c:v>1161</c:v>
                </c:pt>
                <c:pt idx="127">
                  <c:v>1201</c:v>
                </c:pt>
                <c:pt idx="128">
                  <c:v>1225</c:v>
                </c:pt>
                <c:pt idx="129">
                  <c:v>1243</c:v>
                </c:pt>
                <c:pt idx="130">
                  <c:v>1269</c:v>
                </c:pt>
                <c:pt idx="131">
                  <c:v>1297</c:v>
                </c:pt>
                <c:pt idx="132">
                  <c:v>1330</c:v>
                </c:pt>
                <c:pt idx="133">
                  <c:v>1356</c:v>
                </c:pt>
                <c:pt idx="134">
                  <c:v>1398</c:v>
                </c:pt>
                <c:pt idx="135">
                  <c:v>1425</c:v>
                </c:pt>
                <c:pt idx="136">
                  <c:v>1469</c:v>
                </c:pt>
                <c:pt idx="137">
                  <c:v>1497</c:v>
                </c:pt>
                <c:pt idx="138">
                  <c:v>1524</c:v>
                </c:pt>
                <c:pt idx="139">
                  <c:v>1553</c:v>
                </c:pt>
                <c:pt idx="140">
                  <c:v>1584</c:v>
                </c:pt>
                <c:pt idx="141">
                  <c:v>1610</c:v>
                </c:pt>
                <c:pt idx="142">
                  <c:v>1642</c:v>
                </c:pt>
                <c:pt idx="143">
                  <c:v>1662</c:v>
                </c:pt>
                <c:pt idx="144">
                  <c:v>1681</c:v>
                </c:pt>
                <c:pt idx="145">
                  <c:v>1717</c:v>
                </c:pt>
                <c:pt idx="146">
                  <c:v>1733</c:v>
                </c:pt>
                <c:pt idx="147">
                  <c:v>1753</c:v>
                </c:pt>
                <c:pt idx="148">
                  <c:v>1779</c:v>
                </c:pt>
                <c:pt idx="149">
                  <c:v>1827</c:v>
                </c:pt>
                <c:pt idx="150">
                  <c:v>1851</c:v>
                </c:pt>
                <c:pt idx="151">
                  <c:v>1877</c:v>
                </c:pt>
                <c:pt idx="152">
                  <c:v>1900</c:v>
                </c:pt>
                <c:pt idx="153">
                  <c:v>1914</c:v>
                </c:pt>
                <c:pt idx="154">
                  <c:v>1930</c:v>
                </c:pt>
                <c:pt idx="155">
                  <c:v>1949</c:v>
                </c:pt>
                <c:pt idx="156">
                  <c:v>1971</c:v>
                </c:pt>
                <c:pt idx="157">
                  <c:v>2003</c:v>
                </c:pt>
                <c:pt idx="158">
                  <c:v>2034</c:v>
                </c:pt>
                <c:pt idx="159">
                  <c:v>2060</c:v>
                </c:pt>
                <c:pt idx="160">
                  <c:v>2077</c:v>
                </c:pt>
                <c:pt idx="161">
                  <c:v>2096</c:v>
                </c:pt>
                <c:pt idx="162">
                  <c:v>2110</c:v>
                </c:pt>
                <c:pt idx="163">
                  <c:v>2134</c:v>
                </c:pt>
                <c:pt idx="164">
                  <c:v>2153</c:v>
                </c:pt>
                <c:pt idx="165">
                  <c:v>2178</c:v>
                </c:pt>
                <c:pt idx="166">
                  <c:v>2199</c:v>
                </c:pt>
                <c:pt idx="167">
                  <c:v>2211</c:v>
                </c:pt>
                <c:pt idx="168">
                  <c:v>2223</c:v>
                </c:pt>
                <c:pt idx="169">
                  <c:v>2232</c:v>
                </c:pt>
                <c:pt idx="170">
                  <c:v>2249</c:v>
                </c:pt>
                <c:pt idx="171">
                  <c:v>2265</c:v>
                </c:pt>
                <c:pt idx="172">
                  <c:v>2282</c:v>
                </c:pt>
                <c:pt idx="173">
                  <c:v>2298</c:v>
                </c:pt>
                <c:pt idx="174">
                  <c:v>2308</c:v>
                </c:pt>
                <c:pt idx="175">
                  <c:v>2320</c:v>
                </c:pt>
                <c:pt idx="176">
                  <c:v>2329</c:v>
                </c:pt>
                <c:pt idx="177">
                  <c:v>2345</c:v>
                </c:pt>
                <c:pt idx="178">
                  <c:v>2361</c:v>
                </c:pt>
                <c:pt idx="179">
                  <c:v>2375</c:v>
                </c:pt>
                <c:pt idx="180">
                  <c:v>2388</c:v>
                </c:pt>
                <c:pt idx="181">
                  <c:v>2398</c:v>
                </c:pt>
                <c:pt idx="182">
                  <c:v>2408</c:v>
                </c:pt>
                <c:pt idx="183">
                  <c:v>2416</c:v>
                </c:pt>
                <c:pt idx="184">
                  <c:v>2430</c:v>
                </c:pt>
                <c:pt idx="185">
                  <c:v>2440</c:v>
                </c:pt>
                <c:pt idx="186">
                  <c:v>2454</c:v>
                </c:pt>
                <c:pt idx="187">
                  <c:v>2466</c:v>
                </c:pt>
                <c:pt idx="188">
                  <c:v>2474</c:v>
                </c:pt>
                <c:pt idx="189">
                  <c:v>2479</c:v>
                </c:pt>
                <c:pt idx="190">
                  <c:v>2483</c:v>
                </c:pt>
                <c:pt idx="191">
                  <c:v>2489</c:v>
                </c:pt>
                <c:pt idx="192">
                  <c:v>2500</c:v>
                </c:pt>
                <c:pt idx="193">
                  <c:v>2511</c:v>
                </c:pt>
                <c:pt idx="194">
                  <c:v>2522</c:v>
                </c:pt>
                <c:pt idx="195">
                  <c:v>2530</c:v>
                </c:pt>
                <c:pt idx="196">
                  <c:v>2537</c:v>
                </c:pt>
                <c:pt idx="197">
                  <c:v>2541</c:v>
                </c:pt>
                <c:pt idx="198">
                  <c:v>2552</c:v>
                </c:pt>
                <c:pt idx="199">
                  <c:v>2563</c:v>
                </c:pt>
                <c:pt idx="200">
                  <c:v>2575</c:v>
                </c:pt>
                <c:pt idx="201">
                  <c:v>2588</c:v>
                </c:pt>
                <c:pt idx="202">
                  <c:v>2598</c:v>
                </c:pt>
                <c:pt idx="203">
                  <c:v>2604</c:v>
                </c:pt>
                <c:pt idx="204">
                  <c:v>2611</c:v>
                </c:pt>
                <c:pt idx="205">
                  <c:v>2623</c:v>
                </c:pt>
                <c:pt idx="206">
                  <c:v>2634</c:v>
                </c:pt>
                <c:pt idx="207">
                  <c:v>2647</c:v>
                </c:pt>
                <c:pt idx="208">
                  <c:v>2659</c:v>
                </c:pt>
                <c:pt idx="209">
                  <c:v>2668</c:v>
                </c:pt>
                <c:pt idx="210">
                  <c:v>2674</c:v>
                </c:pt>
                <c:pt idx="211">
                  <c:v>2682</c:v>
                </c:pt>
                <c:pt idx="212">
                  <c:v>2692</c:v>
                </c:pt>
                <c:pt idx="213">
                  <c:v>2703</c:v>
                </c:pt>
                <c:pt idx="214">
                  <c:v>2716</c:v>
                </c:pt>
                <c:pt idx="215">
                  <c:v>2726</c:v>
                </c:pt>
                <c:pt idx="216">
                  <c:v>2735</c:v>
                </c:pt>
                <c:pt idx="217">
                  <c:v>2739</c:v>
                </c:pt>
                <c:pt idx="218">
                  <c:v>2748</c:v>
                </c:pt>
                <c:pt idx="219">
                  <c:v>2764</c:v>
                </c:pt>
                <c:pt idx="220">
                  <c:v>2776</c:v>
                </c:pt>
                <c:pt idx="221">
                  <c:v>2788</c:v>
                </c:pt>
                <c:pt idx="222">
                  <c:v>2801</c:v>
                </c:pt>
                <c:pt idx="223">
                  <c:v>2810</c:v>
                </c:pt>
                <c:pt idx="224">
                  <c:v>2819</c:v>
                </c:pt>
                <c:pt idx="225">
                  <c:v>2826</c:v>
                </c:pt>
                <c:pt idx="226">
                  <c:v>2839</c:v>
                </c:pt>
                <c:pt idx="227">
                  <c:v>2851</c:v>
                </c:pt>
                <c:pt idx="228">
                  <c:v>2861</c:v>
                </c:pt>
                <c:pt idx="229">
                  <c:v>2870</c:v>
                </c:pt>
                <c:pt idx="230">
                  <c:v>2873</c:v>
                </c:pt>
                <c:pt idx="231">
                  <c:v>2882</c:v>
                </c:pt>
                <c:pt idx="232">
                  <c:v>2889</c:v>
                </c:pt>
                <c:pt idx="233">
                  <c:v>2894</c:v>
                </c:pt>
                <c:pt idx="234">
                  <c:v>2929</c:v>
                </c:pt>
                <c:pt idx="235">
                  <c:v>2957</c:v>
                </c:pt>
                <c:pt idx="236">
                  <c:v>2978</c:v>
                </c:pt>
                <c:pt idx="237">
                  <c:v>2986</c:v>
                </c:pt>
                <c:pt idx="238">
                  <c:v>2994</c:v>
                </c:pt>
                <c:pt idx="239">
                  <c:v>3009</c:v>
                </c:pt>
                <c:pt idx="240">
                  <c:v>3022</c:v>
                </c:pt>
                <c:pt idx="241">
                  <c:v>3039</c:v>
                </c:pt>
                <c:pt idx="242">
                  <c:v>3051</c:v>
                </c:pt>
                <c:pt idx="243">
                  <c:v>3064</c:v>
                </c:pt>
                <c:pt idx="244">
                  <c:v>3080</c:v>
                </c:pt>
                <c:pt idx="245">
                  <c:v>3094</c:v>
                </c:pt>
                <c:pt idx="246">
                  <c:v>3105</c:v>
                </c:pt>
                <c:pt idx="247">
                  <c:v>3123</c:v>
                </c:pt>
                <c:pt idx="248">
                  <c:v>3143</c:v>
                </c:pt>
                <c:pt idx="249">
                  <c:v>3164</c:v>
                </c:pt>
                <c:pt idx="250">
                  <c:v>3187</c:v>
                </c:pt>
                <c:pt idx="251">
                  <c:v>3210</c:v>
                </c:pt>
                <c:pt idx="252">
                  <c:v>3224</c:v>
                </c:pt>
                <c:pt idx="253">
                  <c:v>3246</c:v>
                </c:pt>
                <c:pt idx="254">
                  <c:v>3267</c:v>
                </c:pt>
                <c:pt idx="255">
                  <c:v>3292</c:v>
                </c:pt>
                <c:pt idx="256">
                  <c:v>3316</c:v>
                </c:pt>
                <c:pt idx="257">
                  <c:v>3352</c:v>
                </c:pt>
                <c:pt idx="258">
                  <c:v>3382</c:v>
                </c:pt>
                <c:pt idx="259">
                  <c:v>3410</c:v>
                </c:pt>
                <c:pt idx="260">
                  <c:v>3432</c:v>
                </c:pt>
                <c:pt idx="261">
                  <c:v>3470</c:v>
                </c:pt>
                <c:pt idx="262">
                  <c:v>3519</c:v>
                </c:pt>
                <c:pt idx="263">
                  <c:v>3561</c:v>
                </c:pt>
                <c:pt idx="264">
                  <c:v>3605</c:v>
                </c:pt>
                <c:pt idx="265">
                  <c:v>3631</c:v>
                </c:pt>
                <c:pt idx="266">
                  <c:v>3692</c:v>
                </c:pt>
                <c:pt idx="267">
                  <c:v>3727</c:v>
                </c:pt>
                <c:pt idx="268">
                  <c:v>3768</c:v>
                </c:pt>
                <c:pt idx="269">
                  <c:v>3818</c:v>
                </c:pt>
                <c:pt idx="270">
                  <c:v>3863</c:v>
                </c:pt>
                <c:pt idx="271">
                  <c:v>3894</c:v>
                </c:pt>
                <c:pt idx="272">
                  <c:v>3943</c:v>
                </c:pt>
                <c:pt idx="273">
                  <c:v>3994</c:v>
                </c:pt>
                <c:pt idx="274">
                  <c:v>4068</c:v>
                </c:pt>
                <c:pt idx="275">
                  <c:v>4126</c:v>
                </c:pt>
                <c:pt idx="276">
                  <c:v>4202</c:v>
                </c:pt>
                <c:pt idx="277">
                  <c:v>4289</c:v>
                </c:pt>
                <c:pt idx="278">
                  <c:v>4377</c:v>
                </c:pt>
                <c:pt idx="279">
                  <c:v>4481</c:v>
                </c:pt>
                <c:pt idx="280">
                  <c:v>4561</c:v>
                </c:pt>
                <c:pt idx="281">
                  <c:v>4645</c:v>
                </c:pt>
                <c:pt idx="282">
                  <c:v>4734</c:v>
                </c:pt>
                <c:pt idx="283">
                  <c:v>4860</c:v>
                </c:pt>
                <c:pt idx="284">
                  <c:v>4997</c:v>
                </c:pt>
                <c:pt idx="285">
                  <c:v>5109</c:v>
                </c:pt>
                <c:pt idx="286">
                  <c:v>5234</c:v>
                </c:pt>
                <c:pt idx="287">
                  <c:v>5307</c:v>
                </c:pt>
                <c:pt idx="288">
                  <c:v>5417</c:v>
                </c:pt>
                <c:pt idx="289">
                  <c:v>5638</c:v>
                </c:pt>
                <c:pt idx="290">
                  <c:v>5781</c:v>
                </c:pt>
                <c:pt idx="291">
                  <c:v>5944</c:v>
                </c:pt>
                <c:pt idx="292">
                  <c:v>6080</c:v>
                </c:pt>
                <c:pt idx="293">
                  <c:v>6212</c:v>
                </c:pt>
                <c:pt idx="294">
                  <c:v>6324</c:v>
                </c:pt>
                <c:pt idx="295">
                  <c:v>6450</c:v>
                </c:pt>
                <c:pt idx="296">
                  <c:v>6614</c:v>
                </c:pt>
                <c:pt idx="297">
                  <c:v>6747</c:v>
                </c:pt>
                <c:pt idx="298">
                  <c:v>7037</c:v>
                </c:pt>
                <c:pt idx="299">
                  <c:v>7037</c:v>
                </c:pt>
                <c:pt idx="300">
                  <c:v>7170</c:v>
                </c:pt>
                <c:pt idx="301">
                  <c:v>7305</c:v>
                </c:pt>
                <c:pt idx="302">
                  <c:v>7432</c:v>
                </c:pt>
                <c:pt idx="303">
                  <c:v>7532</c:v>
                </c:pt>
                <c:pt idx="304">
                  <c:v>7676</c:v>
                </c:pt>
                <c:pt idx="305">
                  <c:v>7875</c:v>
                </c:pt>
              </c:numCache>
            </c:numRef>
          </c:val>
          <c:smooth val="0"/>
          <c:extLst>
            <c:ext xmlns:c16="http://schemas.microsoft.com/office/drawing/2014/chart" uri="{C3380CC4-5D6E-409C-BE32-E72D297353CC}">
              <c16:uniqueId val="{00000000-0711-4F90-A11B-573AA31F291E}"/>
            </c:ext>
          </c:extLst>
        </c:ser>
        <c:ser>
          <c:idx val="1"/>
          <c:order val="1"/>
          <c:tx>
            <c:v>Incidence</c:v>
          </c:tx>
          <c:spPr>
            <a:ln w="28575" cap="rnd">
              <a:solidFill>
                <a:srgbClr val="FF00FF"/>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Data!$G$3:$G$308</c:f>
              <c:numCache>
                <c:formatCode>General</c:formatCode>
                <c:ptCount val="306"/>
                <c:pt idx="23">
                  <c:v>1</c:v>
                </c:pt>
                <c:pt idx="24">
                  <c:v>1</c:v>
                </c:pt>
                <c:pt idx="25">
                  <c:v>4</c:v>
                </c:pt>
                <c:pt idx="26">
                  <c:v>2</c:v>
                </c:pt>
                <c:pt idx="27">
                  <c:v>3</c:v>
                </c:pt>
                <c:pt idx="28">
                  <c:v>3</c:v>
                </c:pt>
                <c:pt idx="29">
                  <c:v>3</c:v>
                </c:pt>
                <c:pt idx="30">
                  <c:v>5</c:v>
                </c:pt>
                <c:pt idx="31">
                  <c:v>5</c:v>
                </c:pt>
                <c:pt idx="32">
                  <c:v>5</c:v>
                </c:pt>
                <c:pt idx="33">
                  <c:v>5</c:v>
                </c:pt>
                <c:pt idx="34">
                  <c:v>7</c:v>
                </c:pt>
                <c:pt idx="35">
                  <c:v>7</c:v>
                </c:pt>
                <c:pt idx="36">
                  <c:v>4</c:v>
                </c:pt>
                <c:pt idx="37">
                  <c:v>5</c:v>
                </c:pt>
                <c:pt idx="38">
                  <c:v>6</c:v>
                </c:pt>
                <c:pt idx="39">
                  <c:v>4</c:v>
                </c:pt>
                <c:pt idx="40">
                  <c:v>5</c:v>
                </c:pt>
                <c:pt idx="41">
                  <c:v>4</c:v>
                </c:pt>
                <c:pt idx="42">
                  <c:v>3</c:v>
                </c:pt>
                <c:pt idx="43">
                  <c:v>2</c:v>
                </c:pt>
                <c:pt idx="44">
                  <c:v>6</c:v>
                </c:pt>
                <c:pt idx="45">
                  <c:v>4</c:v>
                </c:pt>
                <c:pt idx="46">
                  <c:v>4</c:v>
                </c:pt>
                <c:pt idx="47">
                  <c:v>5</c:v>
                </c:pt>
                <c:pt idx="48">
                  <c:v>6</c:v>
                </c:pt>
                <c:pt idx="49">
                  <c:v>3</c:v>
                </c:pt>
                <c:pt idx="50">
                  <c:v>15</c:v>
                </c:pt>
                <c:pt idx="51">
                  <c:v>13</c:v>
                </c:pt>
                <c:pt idx="52">
                  <c:v>13</c:v>
                </c:pt>
                <c:pt idx="53">
                  <c:v>21</c:v>
                </c:pt>
                <c:pt idx="54">
                  <c:v>6</c:v>
                </c:pt>
                <c:pt idx="55">
                  <c:v>4</c:v>
                </c:pt>
                <c:pt idx="56">
                  <c:v>9</c:v>
                </c:pt>
                <c:pt idx="57">
                  <c:v>6</c:v>
                </c:pt>
                <c:pt idx="58">
                  <c:v>15</c:v>
                </c:pt>
                <c:pt idx="59">
                  <c:v>7</c:v>
                </c:pt>
                <c:pt idx="60">
                  <c:v>10</c:v>
                </c:pt>
                <c:pt idx="61">
                  <c:v>7</c:v>
                </c:pt>
                <c:pt idx="62">
                  <c:v>8</c:v>
                </c:pt>
                <c:pt idx="63">
                  <c:v>6</c:v>
                </c:pt>
                <c:pt idx="64">
                  <c:v>16</c:v>
                </c:pt>
                <c:pt idx="65">
                  <c:v>8</c:v>
                </c:pt>
                <c:pt idx="66">
                  <c:v>8</c:v>
                </c:pt>
                <c:pt idx="67">
                  <c:v>9</c:v>
                </c:pt>
                <c:pt idx="68">
                  <c:v>9</c:v>
                </c:pt>
                <c:pt idx="69">
                  <c:v>5</c:v>
                </c:pt>
                <c:pt idx="70">
                  <c:v>6</c:v>
                </c:pt>
                <c:pt idx="71">
                  <c:v>9</c:v>
                </c:pt>
                <c:pt idx="72">
                  <c:v>12</c:v>
                </c:pt>
                <c:pt idx="73">
                  <c:v>9</c:v>
                </c:pt>
                <c:pt idx="74">
                  <c:v>9</c:v>
                </c:pt>
                <c:pt idx="75">
                  <c:v>10</c:v>
                </c:pt>
                <c:pt idx="76">
                  <c:v>7</c:v>
                </c:pt>
                <c:pt idx="77">
                  <c:v>5</c:v>
                </c:pt>
                <c:pt idx="78">
                  <c:v>11</c:v>
                </c:pt>
                <c:pt idx="79">
                  <c:v>13</c:v>
                </c:pt>
                <c:pt idx="80">
                  <c:v>12</c:v>
                </c:pt>
                <c:pt idx="81">
                  <c:v>10</c:v>
                </c:pt>
                <c:pt idx="82">
                  <c:v>10</c:v>
                </c:pt>
                <c:pt idx="83">
                  <c:v>9</c:v>
                </c:pt>
                <c:pt idx="84">
                  <c:v>10</c:v>
                </c:pt>
                <c:pt idx="85">
                  <c:v>18</c:v>
                </c:pt>
                <c:pt idx="86">
                  <c:v>9</c:v>
                </c:pt>
                <c:pt idx="87">
                  <c:v>11</c:v>
                </c:pt>
                <c:pt idx="88">
                  <c:v>18</c:v>
                </c:pt>
                <c:pt idx="89">
                  <c:v>21</c:v>
                </c:pt>
                <c:pt idx="90">
                  <c:v>13</c:v>
                </c:pt>
                <c:pt idx="91">
                  <c:v>10</c:v>
                </c:pt>
                <c:pt idx="92">
                  <c:v>11</c:v>
                </c:pt>
                <c:pt idx="93">
                  <c:v>11</c:v>
                </c:pt>
                <c:pt idx="94">
                  <c:v>14</c:v>
                </c:pt>
                <c:pt idx="95">
                  <c:v>14</c:v>
                </c:pt>
                <c:pt idx="96">
                  <c:v>13</c:v>
                </c:pt>
                <c:pt idx="97">
                  <c:v>15</c:v>
                </c:pt>
                <c:pt idx="98">
                  <c:v>8</c:v>
                </c:pt>
                <c:pt idx="99">
                  <c:v>12</c:v>
                </c:pt>
                <c:pt idx="100">
                  <c:v>12</c:v>
                </c:pt>
                <c:pt idx="101">
                  <c:v>18</c:v>
                </c:pt>
                <c:pt idx="102">
                  <c:v>16</c:v>
                </c:pt>
                <c:pt idx="103">
                  <c:v>15</c:v>
                </c:pt>
                <c:pt idx="104">
                  <c:v>10</c:v>
                </c:pt>
                <c:pt idx="105">
                  <c:v>8</c:v>
                </c:pt>
                <c:pt idx="106">
                  <c:v>13</c:v>
                </c:pt>
                <c:pt idx="107">
                  <c:v>21</c:v>
                </c:pt>
                <c:pt idx="108">
                  <c:v>10</c:v>
                </c:pt>
                <c:pt idx="109">
                  <c:v>14</c:v>
                </c:pt>
                <c:pt idx="110">
                  <c:v>20</c:v>
                </c:pt>
                <c:pt idx="111">
                  <c:v>18</c:v>
                </c:pt>
                <c:pt idx="112">
                  <c:v>25</c:v>
                </c:pt>
                <c:pt idx="113">
                  <c:v>23</c:v>
                </c:pt>
                <c:pt idx="114">
                  <c:v>12</c:v>
                </c:pt>
                <c:pt idx="115">
                  <c:v>20</c:v>
                </c:pt>
                <c:pt idx="116">
                  <c:v>18</c:v>
                </c:pt>
                <c:pt idx="117">
                  <c:v>21</c:v>
                </c:pt>
                <c:pt idx="118">
                  <c:v>25</c:v>
                </c:pt>
                <c:pt idx="119">
                  <c:v>29</c:v>
                </c:pt>
                <c:pt idx="120">
                  <c:v>27</c:v>
                </c:pt>
                <c:pt idx="121">
                  <c:v>20</c:v>
                </c:pt>
                <c:pt idx="122">
                  <c:v>22</c:v>
                </c:pt>
                <c:pt idx="123">
                  <c:v>24</c:v>
                </c:pt>
                <c:pt idx="124">
                  <c:v>24</c:v>
                </c:pt>
                <c:pt idx="125">
                  <c:v>24</c:v>
                </c:pt>
                <c:pt idx="126">
                  <c:v>16</c:v>
                </c:pt>
                <c:pt idx="127">
                  <c:v>40</c:v>
                </c:pt>
                <c:pt idx="128">
                  <c:v>25</c:v>
                </c:pt>
                <c:pt idx="129">
                  <c:v>17</c:v>
                </c:pt>
                <c:pt idx="130">
                  <c:v>26</c:v>
                </c:pt>
                <c:pt idx="131">
                  <c:v>29</c:v>
                </c:pt>
                <c:pt idx="132">
                  <c:v>33</c:v>
                </c:pt>
                <c:pt idx="133">
                  <c:v>26</c:v>
                </c:pt>
                <c:pt idx="134">
                  <c:v>42</c:v>
                </c:pt>
                <c:pt idx="135">
                  <c:v>27</c:v>
                </c:pt>
                <c:pt idx="136">
                  <c:v>44</c:v>
                </c:pt>
                <c:pt idx="137">
                  <c:v>28</c:v>
                </c:pt>
                <c:pt idx="138">
                  <c:v>27</c:v>
                </c:pt>
                <c:pt idx="139">
                  <c:v>28</c:v>
                </c:pt>
                <c:pt idx="140">
                  <c:v>31</c:v>
                </c:pt>
                <c:pt idx="141">
                  <c:v>26</c:v>
                </c:pt>
                <c:pt idx="142">
                  <c:v>32</c:v>
                </c:pt>
                <c:pt idx="143">
                  <c:v>20</c:v>
                </c:pt>
                <c:pt idx="144">
                  <c:v>19</c:v>
                </c:pt>
                <c:pt idx="145">
                  <c:v>36</c:v>
                </c:pt>
                <c:pt idx="146">
                  <c:v>17</c:v>
                </c:pt>
                <c:pt idx="147">
                  <c:v>20</c:v>
                </c:pt>
                <c:pt idx="148">
                  <c:v>26</c:v>
                </c:pt>
                <c:pt idx="149">
                  <c:v>47</c:v>
                </c:pt>
                <c:pt idx="150">
                  <c:v>25</c:v>
                </c:pt>
                <c:pt idx="151">
                  <c:v>26</c:v>
                </c:pt>
                <c:pt idx="152">
                  <c:v>22</c:v>
                </c:pt>
                <c:pt idx="153">
                  <c:v>15</c:v>
                </c:pt>
                <c:pt idx="154">
                  <c:v>16</c:v>
                </c:pt>
                <c:pt idx="155">
                  <c:v>18</c:v>
                </c:pt>
                <c:pt idx="156">
                  <c:v>23</c:v>
                </c:pt>
                <c:pt idx="157">
                  <c:v>32</c:v>
                </c:pt>
                <c:pt idx="158">
                  <c:v>30</c:v>
                </c:pt>
                <c:pt idx="159">
                  <c:v>26</c:v>
                </c:pt>
                <c:pt idx="160">
                  <c:v>18</c:v>
                </c:pt>
                <c:pt idx="161">
                  <c:v>19</c:v>
                </c:pt>
                <c:pt idx="162">
                  <c:v>14</c:v>
                </c:pt>
                <c:pt idx="163">
                  <c:v>24</c:v>
                </c:pt>
                <c:pt idx="164">
                  <c:v>19</c:v>
                </c:pt>
                <c:pt idx="165">
                  <c:v>25</c:v>
                </c:pt>
                <c:pt idx="166">
                  <c:v>21</c:v>
                </c:pt>
                <c:pt idx="167">
                  <c:v>12</c:v>
                </c:pt>
                <c:pt idx="168">
                  <c:v>12</c:v>
                </c:pt>
                <c:pt idx="169">
                  <c:v>9</c:v>
                </c:pt>
                <c:pt idx="170">
                  <c:v>18</c:v>
                </c:pt>
                <c:pt idx="171">
                  <c:v>15</c:v>
                </c:pt>
                <c:pt idx="172">
                  <c:v>17</c:v>
                </c:pt>
                <c:pt idx="173">
                  <c:v>16</c:v>
                </c:pt>
                <c:pt idx="174">
                  <c:v>10</c:v>
                </c:pt>
                <c:pt idx="175">
                  <c:v>12</c:v>
                </c:pt>
                <c:pt idx="176">
                  <c:v>9</c:v>
                </c:pt>
                <c:pt idx="177">
                  <c:v>16</c:v>
                </c:pt>
                <c:pt idx="178">
                  <c:v>16</c:v>
                </c:pt>
                <c:pt idx="179">
                  <c:v>15</c:v>
                </c:pt>
                <c:pt idx="180">
                  <c:v>13</c:v>
                </c:pt>
                <c:pt idx="181">
                  <c:v>10</c:v>
                </c:pt>
                <c:pt idx="182">
                  <c:v>10</c:v>
                </c:pt>
                <c:pt idx="183">
                  <c:v>8</c:v>
                </c:pt>
                <c:pt idx="184">
                  <c:v>14</c:v>
                </c:pt>
                <c:pt idx="185">
                  <c:v>11</c:v>
                </c:pt>
                <c:pt idx="186">
                  <c:v>14</c:v>
                </c:pt>
                <c:pt idx="187">
                  <c:v>11</c:v>
                </c:pt>
                <c:pt idx="188">
                  <c:v>8</c:v>
                </c:pt>
                <c:pt idx="189">
                  <c:v>5</c:v>
                </c:pt>
                <c:pt idx="190">
                  <c:v>4</c:v>
                </c:pt>
                <c:pt idx="191">
                  <c:v>6</c:v>
                </c:pt>
                <c:pt idx="192">
                  <c:v>12</c:v>
                </c:pt>
                <c:pt idx="193">
                  <c:v>10</c:v>
                </c:pt>
                <c:pt idx="194">
                  <c:v>11</c:v>
                </c:pt>
                <c:pt idx="195">
                  <c:v>8</c:v>
                </c:pt>
                <c:pt idx="196">
                  <c:v>7</c:v>
                </c:pt>
                <c:pt idx="197">
                  <c:v>4</c:v>
                </c:pt>
                <c:pt idx="198">
                  <c:v>11</c:v>
                </c:pt>
                <c:pt idx="199">
                  <c:v>11</c:v>
                </c:pt>
                <c:pt idx="200">
                  <c:v>12</c:v>
                </c:pt>
                <c:pt idx="201">
                  <c:v>13</c:v>
                </c:pt>
                <c:pt idx="202">
                  <c:v>10</c:v>
                </c:pt>
                <c:pt idx="203">
                  <c:v>6</c:v>
                </c:pt>
                <c:pt idx="204">
                  <c:v>7</c:v>
                </c:pt>
                <c:pt idx="205">
                  <c:v>12</c:v>
                </c:pt>
                <c:pt idx="206">
                  <c:v>11</c:v>
                </c:pt>
                <c:pt idx="207">
                  <c:v>14</c:v>
                </c:pt>
                <c:pt idx="208">
                  <c:v>12</c:v>
                </c:pt>
                <c:pt idx="209">
                  <c:v>8</c:v>
                </c:pt>
                <c:pt idx="210">
                  <c:v>7</c:v>
                </c:pt>
                <c:pt idx="211">
                  <c:v>8</c:v>
                </c:pt>
                <c:pt idx="212">
                  <c:v>10</c:v>
                </c:pt>
                <c:pt idx="213">
                  <c:v>11</c:v>
                </c:pt>
                <c:pt idx="214">
                  <c:v>13</c:v>
                </c:pt>
                <c:pt idx="215">
                  <c:v>10</c:v>
                </c:pt>
                <c:pt idx="216">
                  <c:v>9</c:v>
                </c:pt>
                <c:pt idx="217">
                  <c:v>4</c:v>
                </c:pt>
                <c:pt idx="218">
                  <c:v>9</c:v>
                </c:pt>
                <c:pt idx="219">
                  <c:v>16</c:v>
                </c:pt>
                <c:pt idx="220">
                  <c:v>12</c:v>
                </c:pt>
                <c:pt idx="221">
                  <c:v>12</c:v>
                </c:pt>
                <c:pt idx="222">
                  <c:v>13</c:v>
                </c:pt>
                <c:pt idx="223">
                  <c:v>10</c:v>
                </c:pt>
                <c:pt idx="224">
                  <c:v>8</c:v>
                </c:pt>
                <c:pt idx="225">
                  <c:v>8</c:v>
                </c:pt>
                <c:pt idx="226">
                  <c:v>13</c:v>
                </c:pt>
                <c:pt idx="227">
                  <c:v>12</c:v>
                </c:pt>
                <c:pt idx="228">
                  <c:v>10</c:v>
                </c:pt>
                <c:pt idx="229">
                  <c:v>9</c:v>
                </c:pt>
                <c:pt idx="230">
                  <c:v>3</c:v>
                </c:pt>
                <c:pt idx="231">
                  <c:v>9</c:v>
                </c:pt>
                <c:pt idx="232">
                  <c:v>6</c:v>
                </c:pt>
                <c:pt idx="233">
                  <c:v>5</c:v>
                </c:pt>
                <c:pt idx="234">
                  <c:v>36</c:v>
                </c:pt>
                <c:pt idx="235">
                  <c:v>27</c:v>
                </c:pt>
                <c:pt idx="236">
                  <c:v>21</c:v>
                </c:pt>
                <c:pt idx="237">
                  <c:v>8</c:v>
                </c:pt>
                <c:pt idx="238">
                  <c:v>9</c:v>
                </c:pt>
                <c:pt idx="239">
                  <c:v>15</c:v>
                </c:pt>
                <c:pt idx="240">
                  <c:v>13</c:v>
                </c:pt>
                <c:pt idx="241">
                  <c:v>17</c:v>
                </c:pt>
                <c:pt idx="242">
                  <c:v>13</c:v>
                </c:pt>
                <c:pt idx="243">
                  <c:v>13</c:v>
                </c:pt>
                <c:pt idx="244">
                  <c:v>16</c:v>
                </c:pt>
                <c:pt idx="245">
                  <c:v>14</c:v>
                </c:pt>
                <c:pt idx="246">
                  <c:v>11</c:v>
                </c:pt>
                <c:pt idx="247">
                  <c:v>18</c:v>
                </c:pt>
                <c:pt idx="248">
                  <c:v>20</c:v>
                </c:pt>
                <c:pt idx="249">
                  <c:v>21</c:v>
                </c:pt>
                <c:pt idx="250">
                  <c:v>23</c:v>
                </c:pt>
                <c:pt idx="251">
                  <c:v>22</c:v>
                </c:pt>
                <c:pt idx="252">
                  <c:v>14</c:v>
                </c:pt>
                <c:pt idx="253">
                  <c:v>22</c:v>
                </c:pt>
                <c:pt idx="254">
                  <c:v>21</c:v>
                </c:pt>
                <c:pt idx="255">
                  <c:v>25</c:v>
                </c:pt>
                <c:pt idx="256">
                  <c:v>24</c:v>
                </c:pt>
                <c:pt idx="257">
                  <c:v>37</c:v>
                </c:pt>
                <c:pt idx="258">
                  <c:v>30</c:v>
                </c:pt>
                <c:pt idx="259">
                  <c:v>28</c:v>
                </c:pt>
                <c:pt idx="260">
                  <c:v>22</c:v>
                </c:pt>
                <c:pt idx="261">
                  <c:v>38</c:v>
                </c:pt>
                <c:pt idx="262">
                  <c:v>49</c:v>
                </c:pt>
                <c:pt idx="263">
                  <c:v>42</c:v>
                </c:pt>
                <c:pt idx="264">
                  <c:v>44</c:v>
                </c:pt>
                <c:pt idx="265">
                  <c:v>26</c:v>
                </c:pt>
                <c:pt idx="266">
                  <c:v>61</c:v>
                </c:pt>
                <c:pt idx="267">
                  <c:v>35</c:v>
                </c:pt>
                <c:pt idx="268">
                  <c:v>42</c:v>
                </c:pt>
                <c:pt idx="269">
                  <c:v>49</c:v>
                </c:pt>
                <c:pt idx="270">
                  <c:v>45</c:v>
                </c:pt>
                <c:pt idx="271">
                  <c:v>31</c:v>
                </c:pt>
                <c:pt idx="272">
                  <c:v>49</c:v>
                </c:pt>
                <c:pt idx="273">
                  <c:v>51</c:v>
                </c:pt>
                <c:pt idx="274">
                  <c:v>74</c:v>
                </c:pt>
                <c:pt idx="275">
                  <c:v>58</c:v>
                </c:pt>
                <c:pt idx="276">
                  <c:v>77</c:v>
                </c:pt>
                <c:pt idx="277">
                  <c:v>87</c:v>
                </c:pt>
                <c:pt idx="278">
                  <c:v>88</c:v>
                </c:pt>
                <c:pt idx="279">
                  <c:v>104</c:v>
                </c:pt>
                <c:pt idx="280">
                  <c:v>80</c:v>
                </c:pt>
                <c:pt idx="281">
                  <c:v>84</c:v>
                </c:pt>
                <c:pt idx="282">
                  <c:v>89</c:v>
                </c:pt>
                <c:pt idx="283">
                  <c:v>126</c:v>
                </c:pt>
                <c:pt idx="284">
                  <c:v>137</c:v>
                </c:pt>
                <c:pt idx="285">
                  <c:v>112</c:v>
                </c:pt>
                <c:pt idx="286">
                  <c:v>126</c:v>
                </c:pt>
                <c:pt idx="287">
                  <c:v>72</c:v>
                </c:pt>
                <c:pt idx="288">
                  <c:v>110</c:v>
                </c:pt>
                <c:pt idx="289">
                  <c:v>221</c:v>
                </c:pt>
                <c:pt idx="290">
                  <c:v>143</c:v>
                </c:pt>
                <c:pt idx="291">
                  <c:v>163</c:v>
                </c:pt>
                <c:pt idx="292">
                  <c:v>136</c:v>
                </c:pt>
                <c:pt idx="293">
                  <c:v>132</c:v>
                </c:pt>
                <c:pt idx="294">
                  <c:v>111</c:v>
                </c:pt>
                <c:pt idx="295">
                  <c:v>126</c:v>
                </c:pt>
                <c:pt idx="296">
                  <c:v>163</c:v>
                </c:pt>
                <c:pt idx="297">
                  <c:v>133</c:v>
                </c:pt>
                <c:pt idx="298">
                  <c:v>290</c:v>
                </c:pt>
                <c:pt idx="299">
                  <c:v>0</c:v>
                </c:pt>
                <c:pt idx="300">
                  <c:v>133</c:v>
                </c:pt>
                <c:pt idx="301">
                  <c:v>134</c:v>
                </c:pt>
                <c:pt idx="302">
                  <c:v>127</c:v>
                </c:pt>
                <c:pt idx="303">
                  <c:v>100</c:v>
                </c:pt>
                <c:pt idx="304">
                  <c:v>144</c:v>
                </c:pt>
                <c:pt idx="305">
                  <c:v>199</c:v>
                </c:pt>
              </c:numCache>
            </c:numRef>
          </c:val>
          <c:smooth val="0"/>
          <c:extLst>
            <c:ext xmlns:c16="http://schemas.microsoft.com/office/drawing/2014/chart" uri="{C3380CC4-5D6E-409C-BE32-E72D297353CC}">
              <c16:uniqueId val="{00000001-0711-4F90-A11B-573AA31F291E}"/>
            </c:ext>
          </c:extLst>
        </c:ser>
        <c:ser>
          <c:idx val="2"/>
          <c:order val="2"/>
          <c:tx>
            <c:v>Mortality</c:v>
          </c:tx>
          <c:spPr>
            <a:ln w="28575" cap="rnd">
              <a:solidFill>
                <a:srgbClr val="C00000"/>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Data!$L$3:$L$308</c:f>
              <c:numCache>
                <c:formatCode>General</c:formatCode>
                <c:ptCount val="306"/>
                <c:pt idx="22">
                  <c:v>0</c:v>
                </c:pt>
                <c:pt idx="23">
                  <c:v>0</c:v>
                </c:pt>
                <c:pt idx="24">
                  <c:v>0</c:v>
                </c:pt>
                <c:pt idx="25">
                  <c:v>0</c:v>
                </c:pt>
                <c:pt idx="26">
                  <c:v>0</c:v>
                </c:pt>
                <c:pt idx="27">
                  <c:v>0</c:v>
                </c:pt>
                <c:pt idx="28">
                  <c:v>0</c:v>
                </c:pt>
                <c:pt idx="29">
                  <c:v>0</c:v>
                </c:pt>
                <c:pt idx="30">
                  <c:v>1</c:v>
                </c:pt>
                <c:pt idx="31">
                  <c:v>1</c:v>
                </c:pt>
                <c:pt idx="32">
                  <c:v>1</c:v>
                </c:pt>
                <c:pt idx="33">
                  <c:v>1</c:v>
                </c:pt>
                <c:pt idx="34">
                  <c:v>1</c:v>
                </c:pt>
                <c:pt idx="35">
                  <c:v>1</c:v>
                </c:pt>
                <c:pt idx="36">
                  <c:v>1</c:v>
                </c:pt>
                <c:pt idx="37">
                  <c:v>2</c:v>
                </c:pt>
                <c:pt idx="38">
                  <c:v>2</c:v>
                </c:pt>
                <c:pt idx="39">
                  <c:v>2</c:v>
                </c:pt>
                <c:pt idx="40">
                  <c:v>2</c:v>
                </c:pt>
                <c:pt idx="41">
                  <c:v>3</c:v>
                </c:pt>
                <c:pt idx="42">
                  <c:v>3</c:v>
                </c:pt>
                <c:pt idx="43">
                  <c:v>3</c:v>
                </c:pt>
                <c:pt idx="44">
                  <c:v>4</c:v>
                </c:pt>
                <c:pt idx="45">
                  <c:v>4</c:v>
                </c:pt>
                <c:pt idx="46">
                  <c:v>5</c:v>
                </c:pt>
                <c:pt idx="47">
                  <c:v>5</c:v>
                </c:pt>
                <c:pt idx="48">
                  <c:v>6</c:v>
                </c:pt>
                <c:pt idx="49">
                  <c:v>6</c:v>
                </c:pt>
                <c:pt idx="50">
                  <c:v>6</c:v>
                </c:pt>
                <c:pt idx="51">
                  <c:v>7</c:v>
                </c:pt>
                <c:pt idx="52">
                  <c:v>7</c:v>
                </c:pt>
                <c:pt idx="53">
                  <c:v>8</c:v>
                </c:pt>
                <c:pt idx="54">
                  <c:v>9</c:v>
                </c:pt>
                <c:pt idx="55">
                  <c:v>9</c:v>
                </c:pt>
                <c:pt idx="56">
                  <c:v>9</c:v>
                </c:pt>
                <c:pt idx="57">
                  <c:v>10</c:v>
                </c:pt>
                <c:pt idx="58">
                  <c:v>11</c:v>
                </c:pt>
                <c:pt idx="59">
                  <c:v>11</c:v>
                </c:pt>
                <c:pt idx="60">
                  <c:v>12</c:v>
                </c:pt>
                <c:pt idx="61">
                  <c:v>12</c:v>
                </c:pt>
                <c:pt idx="62">
                  <c:v>12</c:v>
                </c:pt>
                <c:pt idx="63">
                  <c:v>13</c:v>
                </c:pt>
                <c:pt idx="64">
                  <c:v>13</c:v>
                </c:pt>
                <c:pt idx="65">
                  <c:v>14</c:v>
                </c:pt>
                <c:pt idx="66">
                  <c:v>14</c:v>
                </c:pt>
                <c:pt idx="67">
                  <c:v>15</c:v>
                </c:pt>
                <c:pt idx="68">
                  <c:v>15</c:v>
                </c:pt>
                <c:pt idx="69">
                  <c:v>15</c:v>
                </c:pt>
                <c:pt idx="70">
                  <c:v>16</c:v>
                </c:pt>
                <c:pt idx="71">
                  <c:v>16</c:v>
                </c:pt>
                <c:pt idx="72">
                  <c:v>17</c:v>
                </c:pt>
                <c:pt idx="73">
                  <c:v>17</c:v>
                </c:pt>
                <c:pt idx="74">
                  <c:v>17</c:v>
                </c:pt>
                <c:pt idx="75">
                  <c:v>18</c:v>
                </c:pt>
                <c:pt idx="76">
                  <c:v>18</c:v>
                </c:pt>
                <c:pt idx="77">
                  <c:v>18</c:v>
                </c:pt>
                <c:pt idx="78">
                  <c:v>19</c:v>
                </c:pt>
                <c:pt idx="79">
                  <c:v>20</c:v>
                </c:pt>
                <c:pt idx="80">
                  <c:v>20</c:v>
                </c:pt>
                <c:pt idx="81">
                  <c:v>20</c:v>
                </c:pt>
                <c:pt idx="82">
                  <c:v>21</c:v>
                </c:pt>
                <c:pt idx="83">
                  <c:v>21</c:v>
                </c:pt>
                <c:pt idx="84">
                  <c:v>21</c:v>
                </c:pt>
                <c:pt idx="85">
                  <c:v>21</c:v>
                </c:pt>
                <c:pt idx="86">
                  <c:v>22</c:v>
                </c:pt>
                <c:pt idx="87">
                  <c:v>22</c:v>
                </c:pt>
                <c:pt idx="88">
                  <c:v>23</c:v>
                </c:pt>
                <c:pt idx="89">
                  <c:v>23</c:v>
                </c:pt>
                <c:pt idx="90">
                  <c:v>24</c:v>
                </c:pt>
                <c:pt idx="91">
                  <c:v>24</c:v>
                </c:pt>
                <c:pt idx="92">
                  <c:v>24</c:v>
                </c:pt>
                <c:pt idx="93">
                  <c:v>25</c:v>
                </c:pt>
                <c:pt idx="94">
                  <c:v>25</c:v>
                </c:pt>
                <c:pt idx="95">
                  <c:v>26</c:v>
                </c:pt>
                <c:pt idx="96">
                  <c:v>26</c:v>
                </c:pt>
                <c:pt idx="97">
                  <c:v>26</c:v>
                </c:pt>
                <c:pt idx="98">
                  <c:v>26</c:v>
                </c:pt>
                <c:pt idx="99">
                  <c:v>27</c:v>
                </c:pt>
                <c:pt idx="100">
                  <c:v>28</c:v>
                </c:pt>
                <c:pt idx="101">
                  <c:v>28</c:v>
                </c:pt>
                <c:pt idx="102">
                  <c:v>28</c:v>
                </c:pt>
                <c:pt idx="103">
                  <c:v>29</c:v>
                </c:pt>
                <c:pt idx="104">
                  <c:v>29</c:v>
                </c:pt>
                <c:pt idx="105">
                  <c:v>29</c:v>
                </c:pt>
                <c:pt idx="106">
                  <c:v>29</c:v>
                </c:pt>
                <c:pt idx="107">
                  <c:v>30</c:v>
                </c:pt>
                <c:pt idx="108">
                  <c:v>30</c:v>
                </c:pt>
                <c:pt idx="109">
                  <c:v>31</c:v>
                </c:pt>
                <c:pt idx="110">
                  <c:v>31</c:v>
                </c:pt>
                <c:pt idx="111">
                  <c:v>31</c:v>
                </c:pt>
                <c:pt idx="112">
                  <c:v>31</c:v>
                </c:pt>
                <c:pt idx="113">
                  <c:v>32</c:v>
                </c:pt>
                <c:pt idx="114">
                  <c:v>32</c:v>
                </c:pt>
                <c:pt idx="115">
                  <c:v>32</c:v>
                </c:pt>
                <c:pt idx="116">
                  <c:v>33</c:v>
                </c:pt>
                <c:pt idx="117">
                  <c:v>33</c:v>
                </c:pt>
                <c:pt idx="118">
                  <c:v>33</c:v>
                </c:pt>
                <c:pt idx="119">
                  <c:v>33</c:v>
                </c:pt>
                <c:pt idx="120">
                  <c:v>34</c:v>
                </c:pt>
                <c:pt idx="121">
                  <c:v>34</c:v>
                </c:pt>
                <c:pt idx="122">
                  <c:v>34</c:v>
                </c:pt>
                <c:pt idx="123">
                  <c:v>35</c:v>
                </c:pt>
                <c:pt idx="124">
                  <c:v>35</c:v>
                </c:pt>
                <c:pt idx="125">
                  <c:v>35</c:v>
                </c:pt>
                <c:pt idx="126">
                  <c:v>35</c:v>
                </c:pt>
                <c:pt idx="127">
                  <c:v>36</c:v>
                </c:pt>
                <c:pt idx="128">
                  <c:v>36</c:v>
                </c:pt>
                <c:pt idx="129">
                  <c:v>37</c:v>
                </c:pt>
                <c:pt idx="130">
                  <c:v>37</c:v>
                </c:pt>
                <c:pt idx="131">
                  <c:v>38</c:v>
                </c:pt>
                <c:pt idx="132">
                  <c:v>38</c:v>
                </c:pt>
                <c:pt idx="133">
                  <c:v>38</c:v>
                </c:pt>
                <c:pt idx="134">
                  <c:v>39</c:v>
                </c:pt>
                <c:pt idx="135">
                  <c:v>39</c:v>
                </c:pt>
                <c:pt idx="136">
                  <c:v>40</c:v>
                </c:pt>
                <c:pt idx="137">
                  <c:v>40</c:v>
                </c:pt>
                <c:pt idx="138">
                  <c:v>41</c:v>
                </c:pt>
                <c:pt idx="139">
                  <c:v>41</c:v>
                </c:pt>
                <c:pt idx="140">
                  <c:v>41</c:v>
                </c:pt>
                <c:pt idx="141">
                  <c:v>41</c:v>
                </c:pt>
                <c:pt idx="142">
                  <c:v>42</c:v>
                </c:pt>
                <c:pt idx="143">
                  <c:v>42</c:v>
                </c:pt>
                <c:pt idx="144">
                  <c:v>43</c:v>
                </c:pt>
                <c:pt idx="145">
                  <c:v>43</c:v>
                </c:pt>
                <c:pt idx="146">
                  <c:v>43</c:v>
                </c:pt>
                <c:pt idx="147">
                  <c:v>44</c:v>
                </c:pt>
                <c:pt idx="148">
                  <c:v>44</c:v>
                </c:pt>
                <c:pt idx="149">
                  <c:v>45</c:v>
                </c:pt>
                <c:pt idx="150">
                  <c:v>45</c:v>
                </c:pt>
                <c:pt idx="151">
                  <c:v>46</c:v>
                </c:pt>
                <c:pt idx="152">
                  <c:v>47</c:v>
                </c:pt>
                <c:pt idx="153">
                  <c:v>47</c:v>
                </c:pt>
                <c:pt idx="154">
                  <c:v>47</c:v>
                </c:pt>
                <c:pt idx="155">
                  <c:v>47</c:v>
                </c:pt>
                <c:pt idx="156">
                  <c:v>48</c:v>
                </c:pt>
                <c:pt idx="157">
                  <c:v>49</c:v>
                </c:pt>
                <c:pt idx="158">
                  <c:v>49</c:v>
                </c:pt>
                <c:pt idx="159">
                  <c:v>49</c:v>
                </c:pt>
                <c:pt idx="160">
                  <c:v>50</c:v>
                </c:pt>
                <c:pt idx="161">
                  <c:v>50</c:v>
                </c:pt>
                <c:pt idx="162">
                  <c:v>50</c:v>
                </c:pt>
                <c:pt idx="163">
                  <c:v>51</c:v>
                </c:pt>
                <c:pt idx="164">
                  <c:v>52</c:v>
                </c:pt>
                <c:pt idx="165">
                  <c:v>52</c:v>
                </c:pt>
                <c:pt idx="166">
                  <c:v>52</c:v>
                </c:pt>
                <c:pt idx="167">
                  <c:v>52</c:v>
                </c:pt>
                <c:pt idx="168">
                  <c:v>53</c:v>
                </c:pt>
                <c:pt idx="169">
                  <c:v>53</c:v>
                </c:pt>
                <c:pt idx="170">
                  <c:v>54</c:v>
                </c:pt>
                <c:pt idx="171">
                  <c:v>54</c:v>
                </c:pt>
                <c:pt idx="172">
                  <c:v>55</c:v>
                </c:pt>
                <c:pt idx="173">
                  <c:v>55</c:v>
                </c:pt>
                <c:pt idx="174">
                  <c:v>55</c:v>
                </c:pt>
                <c:pt idx="175">
                  <c:v>55</c:v>
                </c:pt>
                <c:pt idx="176">
                  <c:v>56</c:v>
                </c:pt>
                <c:pt idx="177">
                  <c:v>56</c:v>
                </c:pt>
                <c:pt idx="178">
                  <c:v>57</c:v>
                </c:pt>
                <c:pt idx="179">
                  <c:v>57</c:v>
                </c:pt>
                <c:pt idx="180">
                  <c:v>57</c:v>
                </c:pt>
                <c:pt idx="181">
                  <c:v>57</c:v>
                </c:pt>
                <c:pt idx="182">
                  <c:v>58</c:v>
                </c:pt>
                <c:pt idx="183">
                  <c:v>58</c:v>
                </c:pt>
                <c:pt idx="184">
                  <c:v>59</c:v>
                </c:pt>
                <c:pt idx="185">
                  <c:v>59</c:v>
                </c:pt>
                <c:pt idx="186">
                  <c:v>60</c:v>
                </c:pt>
                <c:pt idx="187">
                  <c:v>60</c:v>
                </c:pt>
                <c:pt idx="188">
                  <c:v>60</c:v>
                </c:pt>
                <c:pt idx="189">
                  <c:v>60</c:v>
                </c:pt>
                <c:pt idx="190">
                  <c:v>60</c:v>
                </c:pt>
                <c:pt idx="191">
                  <c:v>61</c:v>
                </c:pt>
                <c:pt idx="192">
                  <c:v>61</c:v>
                </c:pt>
                <c:pt idx="193">
                  <c:v>61</c:v>
                </c:pt>
                <c:pt idx="194">
                  <c:v>62</c:v>
                </c:pt>
                <c:pt idx="195">
                  <c:v>62</c:v>
                </c:pt>
                <c:pt idx="196">
                  <c:v>62</c:v>
                </c:pt>
                <c:pt idx="197">
                  <c:v>62</c:v>
                </c:pt>
                <c:pt idx="198">
                  <c:v>63</c:v>
                </c:pt>
                <c:pt idx="199">
                  <c:v>63</c:v>
                </c:pt>
                <c:pt idx="200">
                  <c:v>63</c:v>
                </c:pt>
                <c:pt idx="201">
                  <c:v>63</c:v>
                </c:pt>
                <c:pt idx="202">
                  <c:v>63</c:v>
                </c:pt>
                <c:pt idx="203">
                  <c:v>63</c:v>
                </c:pt>
                <c:pt idx="204">
                  <c:v>64</c:v>
                </c:pt>
                <c:pt idx="205">
                  <c:v>64</c:v>
                </c:pt>
                <c:pt idx="206">
                  <c:v>64</c:v>
                </c:pt>
                <c:pt idx="207">
                  <c:v>65</c:v>
                </c:pt>
                <c:pt idx="208">
                  <c:v>65</c:v>
                </c:pt>
                <c:pt idx="209">
                  <c:v>65</c:v>
                </c:pt>
                <c:pt idx="210">
                  <c:v>65</c:v>
                </c:pt>
                <c:pt idx="211">
                  <c:v>65</c:v>
                </c:pt>
                <c:pt idx="212">
                  <c:v>66</c:v>
                </c:pt>
                <c:pt idx="213">
                  <c:v>66</c:v>
                </c:pt>
                <c:pt idx="214">
                  <c:v>66</c:v>
                </c:pt>
                <c:pt idx="215">
                  <c:v>66</c:v>
                </c:pt>
                <c:pt idx="216">
                  <c:v>66</c:v>
                </c:pt>
                <c:pt idx="217">
                  <c:v>66</c:v>
                </c:pt>
                <c:pt idx="218">
                  <c:v>67</c:v>
                </c:pt>
                <c:pt idx="219">
                  <c:v>67</c:v>
                </c:pt>
                <c:pt idx="220">
                  <c:v>67</c:v>
                </c:pt>
                <c:pt idx="221">
                  <c:v>67</c:v>
                </c:pt>
                <c:pt idx="222">
                  <c:v>67</c:v>
                </c:pt>
                <c:pt idx="223">
                  <c:v>67</c:v>
                </c:pt>
                <c:pt idx="224">
                  <c:v>67</c:v>
                </c:pt>
                <c:pt idx="225">
                  <c:v>68</c:v>
                </c:pt>
                <c:pt idx="226">
                  <c:v>68</c:v>
                </c:pt>
                <c:pt idx="227">
                  <c:v>68</c:v>
                </c:pt>
                <c:pt idx="228">
                  <c:v>68</c:v>
                </c:pt>
                <c:pt idx="229">
                  <c:v>68</c:v>
                </c:pt>
                <c:pt idx="230">
                  <c:v>68</c:v>
                </c:pt>
                <c:pt idx="231">
                  <c:v>69</c:v>
                </c:pt>
                <c:pt idx="232">
                  <c:v>69</c:v>
                </c:pt>
                <c:pt idx="233">
                  <c:v>69</c:v>
                </c:pt>
                <c:pt idx="234">
                  <c:v>69</c:v>
                </c:pt>
                <c:pt idx="235">
                  <c:v>69</c:v>
                </c:pt>
                <c:pt idx="236">
                  <c:v>70</c:v>
                </c:pt>
                <c:pt idx="237">
                  <c:v>70</c:v>
                </c:pt>
                <c:pt idx="238">
                  <c:v>70</c:v>
                </c:pt>
                <c:pt idx="239">
                  <c:v>70</c:v>
                </c:pt>
                <c:pt idx="240">
                  <c:v>70</c:v>
                </c:pt>
                <c:pt idx="241">
                  <c:v>70</c:v>
                </c:pt>
                <c:pt idx="242">
                  <c:v>70</c:v>
                </c:pt>
                <c:pt idx="243">
                  <c:v>70</c:v>
                </c:pt>
                <c:pt idx="244">
                  <c:v>70</c:v>
                </c:pt>
                <c:pt idx="245">
                  <c:v>70</c:v>
                </c:pt>
                <c:pt idx="246">
                  <c:v>71</c:v>
                </c:pt>
                <c:pt idx="247">
                  <c:v>71</c:v>
                </c:pt>
                <c:pt idx="248">
                  <c:v>71</c:v>
                </c:pt>
                <c:pt idx="249">
                  <c:v>71</c:v>
                </c:pt>
                <c:pt idx="250">
                  <c:v>71</c:v>
                </c:pt>
                <c:pt idx="251">
                  <c:v>71</c:v>
                </c:pt>
                <c:pt idx="252">
                  <c:v>71</c:v>
                </c:pt>
                <c:pt idx="253">
                  <c:v>72</c:v>
                </c:pt>
                <c:pt idx="254">
                  <c:v>72</c:v>
                </c:pt>
                <c:pt idx="255">
                  <c:v>72</c:v>
                </c:pt>
                <c:pt idx="256">
                  <c:v>72</c:v>
                </c:pt>
                <c:pt idx="257">
                  <c:v>72</c:v>
                </c:pt>
                <c:pt idx="258">
                  <c:v>72</c:v>
                </c:pt>
                <c:pt idx="259">
                  <c:v>72</c:v>
                </c:pt>
                <c:pt idx="260">
                  <c:v>73</c:v>
                </c:pt>
                <c:pt idx="261">
                  <c:v>73</c:v>
                </c:pt>
                <c:pt idx="262">
                  <c:v>73</c:v>
                </c:pt>
                <c:pt idx="263">
                  <c:v>74</c:v>
                </c:pt>
                <c:pt idx="264">
                  <c:v>73</c:v>
                </c:pt>
                <c:pt idx="265">
                  <c:v>74</c:v>
                </c:pt>
                <c:pt idx="266">
                  <c:v>74</c:v>
                </c:pt>
                <c:pt idx="267">
                  <c:v>75</c:v>
                </c:pt>
                <c:pt idx="268">
                  <c:v>75</c:v>
                </c:pt>
                <c:pt idx="269">
                  <c:v>76</c:v>
                </c:pt>
                <c:pt idx="270">
                  <c:v>76</c:v>
                </c:pt>
                <c:pt idx="271">
                  <c:v>76</c:v>
                </c:pt>
                <c:pt idx="272">
                  <c:v>76</c:v>
                </c:pt>
                <c:pt idx="273">
                  <c:v>76</c:v>
                </c:pt>
                <c:pt idx="274">
                  <c:v>77</c:v>
                </c:pt>
                <c:pt idx="275">
                  <c:v>77</c:v>
                </c:pt>
                <c:pt idx="276">
                  <c:v>78</c:v>
                </c:pt>
                <c:pt idx="277">
                  <c:v>78</c:v>
                </c:pt>
                <c:pt idx="278">
                  <c:v>79</c:v>
                </c:pt>
                <c:pt idx="279">
                  <c:v>79</c:v>
                </c:pt>
                <c:pt idx="280">
                  <c:v>79</c:v>
                </c:pt>
                <c:pt idx="281">
                  <c:v>80</c:v>
                </c:pt>
                <c:pt idx="282">
                  <c:v>80</c:v>
                </c:pt>
                <c:pt idx="283">
                  <c:v>81</c:v>
                </c:pt>
                <c:pt idx="284">
                  <c:v>82</c:v>
                </c:pt>
                <c:pt idx="285">
                  <c:v>82</c:v>
                </c:pt>
                <c:pt idx="286">
                  <c:v>83</c:v>
                </c:pt>
                <c:pt idx="287">
                  <c:v>83</c:v>
                </c:pt>
                <c:pt idx="288">
                  <c:v>84</c:v>
                </c:pt>
                <c:pt idx="289">
                  <c:v>85</c:v>
                </c:pt>
                <c:pt idx="290">
                  <c:v>86</c:v>
                </c:pt>
                <c:pt idx="291">
                  <c:v>87</c:v>
                </c:pt>
                <c:pt idx="292">
                  <c:v>88</c:v>
                </c:pt>
                <c:pt idx="293">
                  <c:v>88</c:v>
                </c:pt>
                <c:pt idx="294">
                  <c:v>89</c:v>
                </c:pt>
                <c:pt idx="295">
                  <c:v>90</c:v>
                </c:pt>
                <c:pt idx="296">
                  <c:v>91</c:v>
                </c:pt>
                <c:pt idx="297">
                  <c:v>93</c:v>
                </c:pt>
                <c:pt idx="298">
                  <c:v>94</c:v>
                </c:pt>
                <c:pt idx="299">
                  <c:v>94</c:v>
                </c:pt>
                <c:pt idx="300">
                  <c:v>94</c:v>
                </c:pt>
                <c:pt idx="301">
                  <c:v>95</c:v>
                </c:pt>
                <c:pt idx="302">
                  <c:v>97</c:v>
                </c:pt>
                <c:pt idx="303">
                  <c:v>100</c:v>
                </c:pt>
                <c:pt idx="304">
                  <c:v>103</c:v>
                </c:pt>
                <c:pt idx="305">
                  <c:v>105</c:v>
                </c:pt>
              </c:numCache>
            </c:numRef>
          </c:val>
          <c:smooth val="0"/>
          <c:extLst>
            <c:ext xmlns:c16="http://schemas.microsoft.com/office/drawing/2014/chart" uri="{C3380CC4-5D6E-409C-BE32-E72D297353CC}">
              <c16:uniqueId val="{00000000-5265-4E05-838C-3A90D3C4290A}"/>
            </c:ext>
          </c:extLst>
        </c:ser>
        <c:dLbls>
          <c:showLegendKey val="0"/>
          <c:showVal val="0"/>
          <c:showCatName val="0"/>
          <c:showSerName val="0"/>
          <c:showPercent val="0"/>
          <c:showBubbleSize val="0"/>
        </c:dLbls>
        <c:smooth val="0"/>
        <c:axId val="727230432"/>
        <c:axId val="727374448"/>
      </c:lineChart>
      <c:dateAx>
        <c:axId val="727230432"/>
        <c:scaling>
          <c:orientation val="minMax"/>
          <c:max val="44196"/>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374448"/>
        <c:crosses val="autoZero"/>
        <c:auto val="0"/>
        <c:lblOffset val="100"/>
        <c:baseTimeUnit val="days"/>
        <c:majorUnit val="14"/>
        <c:majorTimeUnit val="days"/>
      </c:dateAx>
      <c:valAx>
        <c:axId val="727374448"/>
        <c:scaling>
          <c:orientation val="minMax"/>
          <c:max val="1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Population LAC </a:t>
                </a:r>
              </a:p>
              <a:p>
                <a:pPr>
                  <a:defRPr/>
                </a:pPr>
                <a:r>
                  <a:rPr lang="en-US" sz="1200" b="1"/>
                  <a:t>(per 100k)</a:t>
                </a:r>
              </a:p>
              <a:p>
                <a:pPr>
                  <a:defRPr/>
                </a:pPr>
                <a:endParaRPr lang="en-US" sz="12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2304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Monthly Cases &amp; Death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Median Daily Cases % Change</c:v>
          </c:tx>
          <c:spPr>
            <a:solidFill>
              <a:srgbClr val="180000"/>
            </a:solidFill>
            <a:ln>
              <a:noFill/>
            </a:ln>
            <a:effectLst/>
          </c:spPr>
          <c:invertIfNegative val="0"/>
          <c:cat>
            <c:strRef>
              <c:f>'Rates - Monthly'!$AC$10:$AL$10</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'Rates - Monthly'!$AC$7:$AL$7</c:f>
              <c:numCache>
                <c:formatCode>General</c:formatCode>
                <c:ptCount val="10"/>
                <c:pt idx="0">
                  <c:v>21.2</c:v>
                </c:pt>
                <c:pt idx="1">
                  <c:v>5.81</c:v>
                </c:pt>
                <c:pt idx="2">
                  <c:v>2.73</c:v>
                </c:pt>
                <c:pt idx="3">
                  <c:v>2.1800000000000002</c:v>
                </c:pt>
                <c:pt idx="4">
                  <c:v>1.93</c:v>
                </c:pt>
                <c:pt idx="5">
                  <c:v>0.7</c:v>
                </c:pt>
                <c:pt idx="6">
                  <c:v>0.41</c:v>
                </c:pt>
                <c:pt idx="7">
                  <c:v>0.41</c:v>
                </c:pt>
                <c:pt idx="8">
                  <c:v>0.81</c:v>
                </c:pt>
                <c:pt idx="9">
                  <c:v>2.0499999999999998</c:v>
                </c:pt>
              </c:numCache>
            </c:numRef>
          </c:val>
          <c:extLst>
            <c:ext xmlns:c16="http://schemas.microsoft.com/office/drawing/2014/chart" uri="{C3380CC4-5D6E-409C-BE32-E72D297353CC}">
              <c16:uniqueId val="{00000008-D2B6-4DEF-AFF0-AD10EEC5532A}"/>
            </c:ext>
          </c:extLst>
        </c:ser>
        <c:ser>
          <c:idx val="1"/>
          <c:order val="1"/>
          <c:tx>
            <c:v>Median Daily Death % Change</c:v>
          </c:tx>
          <c:spPr>
            <a:solidFill>
              <a:srgbClr val="C00000"/>
            </a:solidFill>
            <a:ln>
              <a:noFill/>
            </a:ln>
            <a:effectLst/>
          </c:spPr>
          <c:invertIfNegative val="0"/>
          <c:cat>
            <c:strRef>
              <c:f>'Rates - Monthly'!$AC$10:$AL$10</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'Rates - Monthly'!$AC$15:$AL$15</c:f>
              <c:numCache>
                <c:formatCode>General</c:formatCode>
                <c:ptCount val="10"/>
                <c:pt idx="0">
                  <c:v>22.91</c:v>
                </c:pt>
                <c:pt idx="1">
                  <c:v>10.66</c:v>
                </c:pt>
                <c:pt idx="2">
                  <c:v>2.2000000000000002</c:v>
                </c:pt>
                <c:pt idx="3">
                  <c:v>1.1100000000000001</c:v>
                </c:pt>
                <c:pt idx="4">
                  <c:v>1.17</c:v>
                </c:pt>
                <c:pt idx="5">
                  <c:v>0.83</c:v>
                </c:pt>
                <c:pt idx="6">
                  <c:v>0.4</c:v>
                </c:pt>
                <c:pt idx="7">
                  <c:v>0.22</c:v>
                </c:pt>
                <c:pt idx="8">
                  <c:v>0.28000000000000003</c:v>
                </c:pt>
                <c:pt idx="9">
                  <c:v>0.81</c:v>
                </c:pt>
              </c:numCache>
            </c:numRef>
          </c:val>
          <c:extLst>
            <c:ext xmlns:c16="http://schemas.microsoft.com/office/drawing/2014/chart" uri="{C3380CC4-5D6E-409C-BE32-E72D297353CC}">
              <c16:uniqueId val="{00000009-D2B6-4DEF-AFF0-AD10EEC5532A}"/>
            </c:ext>
          </c:extLst>
        </c:ser>
        <c:ser>
          <c:idx val="2"/>
          <c:order val="2"/>
          <c:tx>
            <c:v>Fatality Rate</c:v>
          </c:tx>
          <c:spPr>
            <a:solidFill>
              <a:srgbClr val="FF0000"/>
            </a:solidFill>
            <a:ln>
              <a:noFill/>
            </a:ln>
            <a:effectLst/>
          </c:spPr>
          <c:invertIfNegative val="0"/>
          <c:cat>
            <c:strRef>
              <c:f>'Rates - Monthly'!$AC$10:$AL$10</c:f>
              <c:strCache>
                <c:ptCount val="10"/>
                <c:pt idx="0">
                  <c:v>March</c:v>
                </c:pt>
                <c:pt idx="1">
                  <c:v>April</c:v>
                </c:pt>
                <c:pt idx="2">
                  <c:v>May</c:v>
                </c:pt>
                <c:pt idx="3">
                  <c:v>June</c:v>
                </c:pt>
                <c:pt idx="4">
                  <c:v>July</c:v>
                </c:pt>
                <c:pt idx="5">
                  <c:v>August</c:v>
                </c:pt>
                <c:pt idx="6">
                  <c:v>September</c:v>
                </c:pt>
                <c:pt idx="7">
                  <c:v>October</c:v>
                </c:pt>
                <c:pt idx="8">
                  <c:v>November</c:v>
                </c:pt>
                <c:pt idx="9">
                  <c:v>December</c:v>
                </c:pt>
              </c:strCache>
            </c:strRef>
          </c:cat>
          <c:val>
            <c:numRef>
              <c:f>'Rates - Monthly'!$AC$18:$AL$18</c:f>
              <c:numCache>
                <c:formatCode>General</c:formatCode>
                <c:ptCount val="10"/>
                <c:pt idx="0">
                  <c:v>1.69</c:v>
                </c:pt>
                <c:pt idx="1">
                  <c:v>3.64</c:v>
                </c:pt>
                <c:pt idx="2">
                  <c:v>4.71</c:v>
                </c:pt>
                <c:pt idx="3">
                  <c:v>3.84</c:v>
                </c:pt>
                <c:pt idx="4">
                  <c:v>2.73</c:v>
                </c:pt>
                <c:pt idx="5">
                  <c:v>2.4</c:v>
                </c:pt>
                <c:pt idx="6">
                  <c:v>2.44</c:v>
                </c:pt>
                <c:pt idx="7">
                  <c:v>2.37</c:v>
                </c:pt>
                <c:pt idx="8">
                  <c:v>2.11</c:v>
                </c:pt>
                <c:pt idx="9">
                  <c:v>1.53</c:v>
                </c:pt>
              </c:numCache>
            </c:numRef>
          </c:val>
          <c:extLst>
            <c:ext xmlns:c16="http://schemas.microsoft.com/office/drawing/2014/chart" uri="{C3380CC4-5D6E-409C-BE32-E72D297353CC}">
              <c16:uniqueId val="{0000000A-D2B6-4DEF-AFF0-AD10EEC5532A}"/>
            </c:ext>
          </c:extLst>
        </c:ser>
        <c:dLbls>
          <c:showLegendKey val="0"/>
          <c:showVal val="0"/>
          <c:showCatName val="0"/>
          <c:showSerName val="0"/>
          <c:showPercent val="0"/>
          <c:showBubbleSize val="0"/>
        </c:dLbls>
        <c:gapWidth val="219"/>
        <c:overlap val="-27"/>
        <c:axId val="171179632"/>
        <c:axId val="29918384"/>
        <c:extLst/>
      </c:barChart>
      <c:catAx>
        <c:axId val="171179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18384"/>
        <c:crosses val="autoZero"/>
        <c:auto val="1"/>
        <c:lblAlgn val="ctr"/>
        <c:lblOffset val="100"/>
        <c:noMultiLvlLbl val="0"/>
      </c:catAx>
      <c:valAx>
        <c:axId val="29918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796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Case Dynamics &amp; Severity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Fatality Rate</c:v>
          </c:tx>
          <c:spPr>
            <a:ln w="28575" cap="rnd">
              <a:solidFill>
                <a:srgbClr val="FF0000"/>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Data!$K$3:$K$308</c:f>
              <c:numCache>
                <c:formatCode>General</c:formatCode>
                <c:ptCount val="306"/>
                <c:pt idx="22">
                  <c:v>1.31</c:v>
                </c:pt>
                <c:pt idx="23">
                  <c:v>1.66</c:v>
                </c:pt>
                <c:pt idx="24">
                  <c:v>1.63</c:v>
                </c:pt>
                <c:pt idx="25">
                  <c:v>1.73</c:v>
                </c:pt>
                <c:pt idx="26">
                  <c:v>1.77</c:v>
                </c:pt>
                <c:pt idx="27">
                  <c:v>1.77</c:v>
                </c:pt>
                <c:pt idx="28">
                  <c:v>1.73</c:v>
                </c:pt>
                <c:pt idx="29">
                  <c:v>1.78</c:v>
                </c:pt>
                <c:pt idx="30">
                  <c:v>1.79</c:v>
                </c:pt>
                <c:pt idx="31">
                  <c:v>1.82</c:v>
                </c:pt>
                <c:pt idx="32">
                  <c:v>1.93</c:v>
                </c:pt>
                <c:pt idx="33">
                  <c:v>1.95</c:v>
                </c:pt>
                <c:pt idx="34">
                  <c:v>2.2200000000000002</c:v>
                </c:pt>
                <c:pt idx="35">
                  <c:v>2.2200000000000002</c:v>
                </c:pt>
                <c:pt idx="36">
                  <c:v>2.31</c:v>
                </c:pt>
                <c:pt idx="37">
                  <c:v>2.4500000000000002</c:v>
                </c:pt>
                <c:pt idx="38">
                  <c:v>2.63</c:v>
                </c:pt>
                <c:pt idx="39">
                  <c:v>2.8</c:v>
                </c:pt>
                <c:pt idx="40">
                  <c:v>2.86</c:v>
                </c:pt>
                <c:pt idx="41">
                  <c:v>2.99</c:v>
                </c:pt>
                <c:pt idx="42">
                  <c:v>3.22</c:v>
                </c:pt>
                <c:pt idx="43">
                  <c:v>3.4</c:v>
                </c:pt>
                <c:pt idx="44">
                  <c:v>3.58</c:v>
                </c:pt>
                <c:pt idx="45">
                  <c:v>3.83</c:v>
                </c:pt>
                <c:pt idx="46">
                  <c:v>4.1900000000000004</c:v>
                </c:pt>
                <c:pt idx="47">
                  <c:v>4.3499999999999996</c:v>
                </c:pt>
                <c:pt idx="48">
                  <c:v>4.79</c:v>
                </c:pt>
                <c:pt idx="49">
                  <c:v>4.8600000000000003</c:v>
                </c:pt>
                <c:pt idx="50">
                  <c:v>4.47</c:v>
                </c:pt>
                <c:pt idx="51">
                  <c:v>4.38</c:v>
                </c:pt>
                <c:pt idx="52">
                  <c:v>4.4400000000000004</c:v>
                </c:pt>
                <c:pt idx="53">
                  <c:v>4.58</c:v>
                </c:pt>
                <c:pt idx="54">
                  <c:v>4.68</c:v>
                </c:pt>
                <c:pt idx="55">
                  <c:v>4.68</c:v>
                </c:pt>
                <c:pt idx="56">
                  <c:v>4.6100000000000003</c:v>
                </c:pt>
                <c:pt idx="57">
                  <c:v>4.7699999999999996</c:v>
                </c:pt>
                <c:pt idx="58">
                  <c:v>4.7</c:v>
                </c:pt>
                <c:pt idx="59">
                  <c:v>4.79</c:v>
                </c:pt>
                <c:pt idx="60">
                  <c:v>4.84</c:v>
                </c:pt>
                <c:pt idx="61">
                  <c:v>4.8600000000000003</c:v>
                </c:pt>
                <c:pt idx="62">
                  <c:v>4.79</c:v>
                </c:pt>
                <c:pt idx="63">
                  <c:v>4.79</c:v>
                </c:pt>
                <c:pt idx="64">
                  <c:v>4.72</c:v>
                </c:pt>
                <c:pt idx="65">
                  <c:v>4.7699999999999996</c:v>
                </c:pt>
                <c:pt idx="66">
                  <c:v>4.82</c:v>
                </c:pt>
                <c:pt idx="67">
                  <c:v>4.8499999999999996</c:v>
                </c:pt>
                <c:pt idx="68">
                  <c:v>4.8499999999999996</c:v>
                </c:pt>
                <c:pt idx="69">
                  <c:v>4.83</c:v>
                </c:pt>
                <c:pt idx="70">
                  <c:v>4.8600000000000003</c:v>
                </c:pt>
                <c:pt idx="71">
                  <c:v>4.8600000000000003</c:v>
                </c:pt>
                <c:pt idx="72">
                  <c:v>4.82</c:v>
                </c:pt>
                <c:pt idx="73">
                  <c:v>4.84</c:v>
                </c:pt>
                <c:pt idx="74">
                  <c:v>4.84</c:v>
                </c:pt>
                <c:pt idx="75">
                  <c:v>4.8099999999999996</c:v>
                </c:pt>
                <c:pt idx="76">
                  <c:v>4.8</c:v>
                </c:pt>
                <c:pt idx="77">
                  <c:v>4.78</c:v>
                </c:pt>
                <c:pt idx="78">
                  <c:v>4.83</c:v>
                </c:pt>
                <c:pt idx="79">
                  <c:v>4.82</c:v>
                </c:pt>
                <c:pt idx="80">
                  <c:v>4.8</c:v>
                </c:pt>
                <c:pt idx="81">
                  <c:v>4.76</c:v>
                </c:pt>
                <c:pt idx="82">
                  <c:v>4.74</c:v>
                </c:pt>
                <c:pt idx="83">
                  <c:v>4.68</c:v>
                </c:pt>
                <c:pt idx="84">
                  <c:v>4.5999999999999996</c:v>
                </c:pt>
                <c:pt idx="85">
                  <c:v>4.4800000000000004</c:v>
                </c:pt>
                <c:pt idx="86">
                  <c:v>4.51</c:v>
                </c:pt>
                <c:pt idx="87">
                  <c:v>4.5</c:v>
                </c:pt>
                <c:pt idx="88">
                  <c:v>4.4400000000000004</c:v>
                </c:pt>
                <c:pt idx="89">
                  <c:v>4.3600000000000003</c:v>
                </c:pt>
                <c:pt idx="90">
                  <c:v>4.29</c:v>
                </c:pt>
                <c:pt idx="91">
                  <c:v>4.26</c:v>
                </c:pt>
                <c:pt idx="92">
                  <c:v>4.28</c:v>
                </c:pt>
                <c:pt idx="93">
                  <c:v>4.2699999999999996</c:v>
                </c:pt>
                <c:pt idx="94">
                  <c:v>4.24</c:v>
                </c:pt>
                <c:pt idx="95">
                  <c:v>4.2</c:v>
                </c:pt>
                <c:pt idx="96">
                  <c:v>4.2</c:v>
                </c:pt>
                <c:pt idx="97">
                  <c:v>4.1399999999999997</c:v>
                </c:pt>
                <c:pt idx="98">
                  <c:v>4.1100000000000003</c:v>
                </c:pt>
                <c:pt idx="99">
                  <c:v>4.1100000000000003</c:v>
                </c:pt>
                <c:pt idx="100">
                  <c:v>4.13</c:v>
                </c:pt>
                <c:pt idx="101">
                  <c:v>4.08</c:v>
                </c:pt>
                <c:pt idx="102">
                  <c:v>4.0199999999999996</c:v>
                </c:pt>
                <c:pt idx="103">
                  <c:v>4.01</c:v>
                </c:pt>
                <c:pt idx="104">
                  <c:v>3.98</c:v>
                </c:pt>
                <c:pt idx="105">
                  <c:v>3.97</c:v>
                </c:pt>
                <c:pt idx="106">
                  <c:v>3.94</c:v>
                </c:pt>
                <c:pt idx="107">
                  <c:v>3.87</c:v>
                </c:pt>
                <c:pt idx="108">
                  <c:v>3.87</c:v>
                </c:pt>
                <c:pt idx="109">
                  <c:v>3.85</c:v>
                </c:pt>
                <c:pt idx="110">
                  <c:v>3.81</c:v>
                </c:pt>
                <c:pt idx="111">
                  <c:v>3.74</c:v>
                </c:pt>
                <c:pt idx="112">
                  <c:v>3.65</c:v>
                </c:pt>
                <c:pt idx="113">
                  <c:v>3.59</c:v>
                </c:pt>
                <c:pt idx="114">
                  <c:v>3.58</c:v>
                </c:pt>
                <c:pt idx="115">
                  <c:v>3.55</c:v>
                </c:pt>
                <c:pt idx="116">
                  <c:v>3.5</c:v>
                </c:pt>
                <c:pt idx="117">
                  <c:v>3.44</c:v>
                </c:pt>
                <c:pt idx="118">
                  <c:v>3.38</c:v>
                </c:pt>
                <c:pt idx="119">
                  <c:v>3.3</c:v>
                </c:pt>
                <c:pt idx="120">
                  <c:v>3.25</c:v>
                </c:pt>
                <c:pt idx="121">
                  <c:v>3.22</c:v>
                </c:pt>
                <c:pt idx="122">
                  <c:v>3.21</c:v>
                </c:pt>
                <c:pt idx="123">
                  <c:v>3.15</c:v>
                </c:pt>
                <c:pt idx="124">
                  <c:v>3.09</c:v>
                </c:pt>
                <c:pt idx="125">
                  <c:v>3.03</c:v>
                </c:pt>
                <c:pt idx="126">
                  <c:v>3.03</c:v>
                </c:pt>
                <c:pt idx="127">
                  <c:v>2.97</c:v>
                </c:pt>
                <c:pt idx="128">
                  <c:v>2.96</c:v>
                </c:pt>
                <c:pt idx="129">
                  <c:v>2.96</c:v>
                </c:pt>
                <c:pt idx="130">
                  <c:v>2.94</c:v>
                </c:pt>
                <c:pt idx="131">
                  <c:v>2.91</c:v>
                </c:pt>
                <c:pt idx="132">
                  <c:v>2.85</c:v>
                </c:pt>
                <c:pt idx="133">
                  <c:v>2.81</c:v>
                </c:pt>
                <c:pt idx="134">
                  <c:v>2.78</c:v>
                </c:pt>
                <c:pt idx="135">
                  <c:v>2.75</c:v>
                </c:pt>
                <c:pt idx="136">
                  <c:v>2.7</c:v>
                </c:pt>
                <c:pt idx="137">
                  <c:v>2.69</c:v>
                </c:pt>
                <c:pt idx="138">
                  <c:v>2.67</c:v>
                </c:pt>
                <c:pt idx="139">
                  <c:v>2.63</c:v>
                </c:pt>
                <c:pt idx="140">
                  <c:v>2.58</c:v>
                </c:pt>
                <c:pt idx="141">
                  <c:v>2.57</c:v>
                </c:pt>
                <c:pt idx="142">
                  <c:v>2.56</c:v>
                </c:pt>
                <c:pt idx="143">
                  <c:v>2.5499999999999998</c:v>
                </c:pt>
                <c:pt idx="144">
                  <c:v>2.5499999999999998</c:v>
                </c:pt>
                <c:pt idx="145">
                  <c:v>2.52</c:v>
                </c:pt>
                <c:pt idx="146">
                  <c:v>2.5099999999999998</c:v>
                </c:pt>
                <c:pt idx="147">
                  <c:v>2.4900000000000002</c:v>
                </c:pt>
                <c:pt idx="148">
                  <c:v>2.48</c:v>
                </c:pt>
                <c:pt idx="149">
                  <c:v>2.46</c:v>
                </c:pt>
                <c:pt idx="150">
                  <c:v>2.4500000000000002</c:v>
                </c:pt>
                <c:pt idx="151">
                  <c:v>2.4500000000000002</c:v>
                </c:pt>
                <c:pt idx="152">
                  <c:v>2.4500000000000002</c:v>
                </c:pt>
                <c:pt idx="153">
                  <c:v>2.44</c:v>
                </c:pt>
                <c:pt idx="154">
                  <c:v>2.4300000000000002</c:v>
                </c:pt>
                <c:pt idx="155">
                  <c:v>2.4300000000000002</c:v>
                </c:pt>
                <c:pt idx="156">
                  <c:v>2.44</c:v>
                </c:pt>
                <c:pt idx="157">
                  <c:v>2.42</c:v>
                </c:pt>
                <c:pt idx="158">
                  <c:v>2.41</c:v>
                </c:pt>
                <c:pt idx="159">
                  <c:v>2.4</c:v>
                </c:pt>
                <c:pt idx="160">
                  <c:v>2.39</c:v>
                </c:pt>
                <c:pt idx="161">
                  <c:v>2.37</c:v>
                </c:pt>
                <c:pt idx="162">
                  <c:v>2.39</c:v>
                </c:pt>
                <c:pt idx="163">
                  <c:v>2.39</c:v>
                </c:pt>
                <c:pt idx="164">
                  <c:v>2.39</c:v>
                </c:pt>
                <c:pt idx="165">
                  <c:v>2.38</c:v>
                </c:pt>
                <c:pt idx="166">
                  <c:v>2.38</c:v>
                </c:pt>
                <c:pt idx="167">
                  <c:v>2.37</c:v>
                </c:pt>
                <c:pt idx="168">
                  <c:v>2.36</c:v>
                </c:pt>
                <c:pt idx="169">
                  <c:v>2.38</c:v>
                </c:pt>
                <c:pt idx="170">
                  <c:v>2.39</c:v>
                </c:pt>
                <c:pt idx="171">
                  <c:v>2.4</c:v>
                </c:pt>
                <c:pt idx="172">
                  <c:v>2.4</c:v>
                </c:pt>
                <c:pt idx="173">
                  <c:v>2.4</c:v>
                </c:pt>
                <c:pt idx="174">
                  <c:v>2.39</c:v>
                </c:pt>
                <c:pt idx="175">
                  <c:v>2.39</c:v>
                </c:pt>
                <c:pt idx="176">
                  <c:v>2.4</c:v>
                </c:pt>
                <c:pt idx="177">
                  <c:v>2.41</c:v>
                </c:pt>
                <c:pt idx="178">
                  <c:v>2.41</c:v>
                </c:pt>
                <c:pt idx="179">
                  <c:v>2.4</c:v>
                </c:pt>
                <c:pt idx="180">
                  <c:v>2.4</c:v>
                </c:pt>
                <c:pt idx="181">
                  <c:v>2.4</c:v>
                </c:pt>
                <c:pt idx="182">
                  <c:v>2.39</c:v>
                </c:pt>
                <c:pt idx="183">
                  <c:v>2.4</c:v>
                </c:pt>
                <c:pt idx="184">
                  <c:v>2.41</c:v>
                </c:pt>
                <c:pt idx="185">
                  <c:v>2.42</c:v>
                </c:pt>
                <c:pt idx="186">
                  <c:v>2.4300000000000002</c:v>
                </c:pt>
                <c:pt idx="187">
                  <c:v>2.42</c:v>
                </c:pt>
                <c:pt idx="188">
                  <c:v>2.42</c:v>
                </c:pt>
                <c:pt idx="189">
                  <c:v>2.42</c:v>
                </c:pt>
                <c:pt idx="190">
                  <c:v>2.42</c:v>
                </c:pt>
                <c:pt idx="191">
                  <c:v>2.44</c:v>
                </c:pt>
                <c:pt idx="192">
                  <c:v>2.44</c:v>
                </c:pt>
                <c:pt idx="193">
                  <c:v>2.4500000000000002</c:v>
                </c:pt>
                <c:pt idx="194">
                  <c:v>2.4500000000000002</c:v>
                </c:pt>
                <c:pt idx="195">
                  <c:v>2.44</c:v>
                </c:pt>
                <c:pt idx="196">
                  <c:v>2.4500000000000002</c:v>
                </c:pt>
                <c:pt idx="197">
                  <c:v>2.46</c:v>
                </c:pt>
                <c:pt idx="198">
                  <c:v>2.46</c:v>
                </c:pt>
                <c:pt idx="199">
                  <c:v>2.46</c:v>
                </c:pt>
                <c:pt idx="200">
                  <c:v>2.4500000000000002</c:v>
                </c:pt>
                <c:pt idx="201">
                  <c:v>2.44</c:v>
                </c:pt>
                <c:pt idx="202">
                  <c:v>2.44</c:v>
                </c:pt>
                <c:pt idx="203">
                  <c:v>2.4300000000000002</c:v>
                </c:pt>
                <c:pt idx="204">
                  <c:v>2.44</c:v>
                </c:pt>
                <c:pt idx="205">
                  <c:v>2.44</c:v>
                </c:pt>
                <c:pt idx="206">
                  <c:v>2.44</c:v>
                </c:pt>
                <c:pt idx="207">
                  <c:v>2.44</c:v>
                </c:pt>
                <c:pt idx="208">
                  <c:v>2.44</c:v>
                </c:pt>
                <c:pt idx="209">
                  <c:v>2.4300000000000002</c:v>
                </c:pt>
                <c:pt idx="210">
                  <c:v>2.4300000000000002</c:v>
                </c:pt>
                <c:pt idx="211">
                  <c:v>2.4300000000000002</c:v>
                </c:pt>
                <c:pt idx="212">
                  <c:v>2.4300000000000002</c:v>
                </c:pt>
                <c:pt idx="213">
                  <c:v>2.44</c:v>
                </c:pt>
                <c:pt idx="214">
                  <c:v>2.4300000000000002</c:v>
                </c:pt>
                <c:pt idx="215">
                  <c:v>2.4300000000000002</c:v>
                </c:pt>
                <c:pt idx="216">
                  <c:v>2.42</c:v>
                </c:pt>
                <c:pt idx="217">
                  <c:v>2.42</c:v>
                </c:pt>
                <c:pt idx="218">
                  <c:v>2.42</c:v>
                </c:pt>
                <c:pt idx="219">
                  <c:v>2.42</c:v>
                </c:pt>
                <c:pt idx="220">
                  <c:v>2.41</c:v>
                </c:pt>
                <c:pt idx="221">
                  <c:v>2.41</c:v>
                </c:pt>
                <c:pt idx="222">
                  <c:v>2.41</c:v>
                </c:pt>
                <c:pt idx="223">
                  <c:v>2.4</c:v>
                </c:pt>
                <c:pt idx="224">
                  <c:v>2.39</c:v>
                </c:pt>
                <c:pt idx="225">
                  <c:v>2.39</c:v>
                </c:pt>
                <c:pt idx="226">
                  <c:v>2.39</c:v>
                </c:pt>
                <c:pt idx="227">
                  <c:v>2.39</c:v>
                </c:pt>
                <c:pt idx="228">
                  <c:v>2.39</c:v>
                </c:pt>
                <c:pt idx="229">
                  <c:v>2.38</c:v>
                </c:pt>
                <c:pt idx="230">
                  <c:v>2.38</c:v>
                </c:pt>
                <c:pt idx="231">
                  <c:v>2.38</c:v>
                </c:pt>
                <c:pt idx="232">
                  <c:v>2.38</c:v>
                </c:pt>
                <c:pt idx="233">
                  <c:v>2.39</c:v>
                </c:pt>
                <c:pt idx="234">
                  <c:v>2.37</c:v>
                </c:pt>
                <c:pt idx="235">
                  <c:v>2.35</c:v>
                </c:pt>
                <c:pt idx="236">
                  <c:v>2.34</c:v>
                </c:pt>
                <c:pt idx="237">
                  <c:v>2.33</c:v>
                </c:pt>
                <c:pt idx="238">
                  <c:v>2.33</c:v>
                </c:pt>
                <c:pt idx="239">
                  <c:v>2.33</c:v>
                </c:pt>
                <c:pt idx="240">
                  <c:v>2.3199999999999998</c:v>
                </c:pt>
                <c:pt idx="241">
                  <c:v>2.31</c:v>
                </c:pt>
                <c:pt idx="242">
                  <c:v>2.2999999999999998</c:v>
                </c:pt>
                <c:pt idx="243">
                  <c:v>2.2999999999999998</c:v>
                </c:pt>
                <c:pt idx="244">
                  <c:v>2.29</c:v>
                </c:pt>
                <c:pt idx="245">
                  <c:v>2.2799999999999998</c:v>
                </c:pt>
                <c:pt idx="246">
                  <c:v>2.2799999999999998</c:v>
                </c:pt>
                <c:pt idx="247">
                  <c:v>2.27</c:v>
                </c:pt>
                <c:pt idx="248">
                  <c:v>2.2599999999999998</c:v>
                </c:pt>
                <c:pt idx="249">
                  <c:v>2.25</c:v>
                </c:pt>
                <c:pt idx="250">
                  <c:v>2.2400000000000002</c:v>
                </c:pt>
                <c:pt idx="251">
                  <c:v>2.23</c:v>
                </c:pt>
                <c:pt idx="252">
                  <c:v>2.2200000000000002</c:v>
                </c:pt>
                <c:pt idx="253">
                  <c:v>2.21</c:v>
                </c:pt>
                <c:pt idx="254">
                  <c:v>2.2000000000000002</c:v>
                </c:pt>
                <c:pt idx="255">
                  <c:v>2.19</c:v>
                </c:pt>
                <c:pt idx="256">
                  <c:v>2.1800000000000002</c:v>
                </c:pt>
                <c:pt idx="257">
                  <c:v>2.16</c:v>
                </c:pt>
                <c:pt idx="258">
                  <c:v>2.14</c:v>
                </c:pt>
                <c:pt idx="259">
                  <c:v>2.13</c:v>
                </c:pt>
                <c:pt idx="260">
                  <c:v>2.12</c:v>
                </c:pt>
                <c:pt idx="261">
                  <c:v>2.11</c:v>
                </c:pt>
                <c:pt idx="262">
                  <c:v>2.08</c:v>
                </c:pt>
                <c:pt idx="263">
                  <c:v>2.0699999999999998</c:v>
                </c:pt>
                <c:pt idx="264">
                  <c:v>2.0299999999999998</c:v>
                </c:pt>
                <c:pt idx="265">
                  <c:v>2.04</c:v>
                </c:pt>
                <c:pt idx="266">
                  <c:v>2.0099999999999998</c:v>
                </c:pt>
                <c:pt idx="267">
                  <c:v>2</c:v>
                </c:pt>
                <c:pt idx="268">
                  <c:v>1.99</c:v>
                </c:pt>
                <c:pt idx="269">
                  <c:v>1.98</c:v>
                </c:pt>
                <c:pt idx="270">
                  <c:v>1.96</c:v>
                </c:pt>
                <c:pt idx="271">
                  <c:v>1.95</c:v>
                </c:pt>
                <c:pt idx="272">
                  <c:v>1.93</c:v>
                </c:pt>
                <c:pt idx="273">
                  <c:v>1.91</c:v>
                </c:pt>
                <c:pt idx="274">
                  <c:v>1.89</c:v>
                </c:pt>
                <c:pt idx="275">
                  <c:v>1.87</c:v>
                </c:pt>
                <c:pt idx="276">
                  <c:v>1.84</c:v>
                </c:pt>
                <c:pt idx="277">
                  <c:v>1.82</c:v>
                </c:pt>
                <c:pt idx="278">
                  <c:v>1.79</c:v>
                </c:pt>
                <c:pt idx="279">
                  <c:v>1.76</c:v>
                </c:pt>
                <c:pt idx="280">
                  <c:v>1.73</c:v>
                </c:pt>
                <c:pt idx="281">
                  <c:v>1.72</c:v>
                </c:pt>
                <c:pt idx="282">
                  <c:v>1.7</c:v>
                </c:pt>
                <c:pt idx="283">
                  <c:v>1.67</c:v>
                </c:pt>
                <c:pt idx="284">
                  <c:v>1.63</c:v>
                </c:pt>
                <c:pt idx="285">
                  <c:v>1.61</c:v>
                </c:pt>
                <c:pt idx="286">
                  <c:v>1.58</c:v>
                </c:pt>
                <c:pt idx="287">
                  <c:v>1.57</c:v>
                </c:pt>
                <c:pt idx="288">
                  <c:v>1.55</c:v>
                </c:pt>
                <c:pt idx="289">
                  <c:v>1.51</c:v>
                </c:pt>
                <c:pt idx="290">
                  <c:v>1.49</c:v>
                </c:pt>
                <c:pt idx="291">
                  <c:v>1.47</c:v>
                </c:pt>
                <c:pt idx="292">
                  <c:v>1.44</c:v>
                </c:pt>
                <c:pt idx="293">
                  <c:v>1.42</c:v>
                </c:pt>
                <c:pt idx="294">
                  <c:v>1.41</c:v>
                </c:pt>
                <c:pt idx="295">
                  <c:v>1.39</c:v>
                </c:pt>
                <c:pt idx="296">
                  <c:v>1.38</c:v>
                </c:pt>
                <c:pt idx="297">
                  <c:v>1.37</c:v>
                </c:pt>
                <c:pt idx="298">
                  <c:v>1.34</c:v>
                </c:pt>
                <c:pt idx="299">
                  <c:v>1.34</c:v>
                </c:pt>
                <c:pt idx="300">
                  <c:v>1.32</c:v>
                </c:pt>
                <c:pt idx="301">
                  <c:v>1.3</c:v>
                </c:pt>
                <c:pt idx="302">
                  <c:v>1.31</c:v>
                </c:pt>
                <c:pt idx="303">
                  <c:v>1.33</c:v>
                </c:pt>
                <c:pt idx="304">
                  <c:v>1.34</c:v>
                </c:pt>
                <c:pt idx="305">
                  <c:v>1.33</c:v>
                </c:pt>
              </c:numCache>
            </c:numRef>
          </c:val>
          <c:smooth val="0"/>
          <c:extLst>
            <c:ext xmlns:c16="http://schemas.microsoft.com/office/drawing/2014/chart" uri="{C3380CC4-5D6E-409C-BE32-E72D297353CC}">
              <c16:uniqueId val="{00000000-3665-4C8F-B3D7-4F1256295275}"/>
            </c:ext>
          </c:extLst>
        </c:ser>
        <c:ser>
          <c:idx val="1"/>
          <c:order val="1"/>
          <c:tx>
            <c:v>Case Growth Rate</c:v>
          </c:tx>
          <c:spPr>
            <a:ln w="28575" cap="rnd">
              <a:solidFill>
                <a:schemeClr val="tx1"/>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Data!$D$3:$D$308</c:f>
              <c:numCache>
                <c:formatCode>General</c:formatCode>
                <c:ptCount val="306"/>
                <c:pt idx="23">
                  <c:v>23.51</c:v>
                </c:pt>
                <c:pt idx="24">
                  <c:v>20.69</c:v>
                </c:pt>
                <c:pt idx="25">
                  <c:v>52.19</c:v>
                </c:pt>
                <c:pt idx="26">
                  <c:v>20.48</c:v>
                </c:pt>
                <c:pt idx="27">
                  <c:v>23.14</c:v>
                </c:pt>
                <c:pt idx="28">
                  <c:v>18.399999999999999</c:v>
                </c:pt>
                <c:pt idx="29">
                  <c:v>15.82</c:v>
                </c:pt>
                <c:pt idx="30">
                  <c:v>21.71</c:v>
                </c:pt>
                <c:pt idx="31">
                  <c:v>16.84</c:v>
                </c:pt>
                <c:pt idx="32">
                  <c:v>14.98</c:v>
                </c:pt>
                <c:pt idx="33">
                  <c:v>12.88</c:v>
                </c:pt>
                <c:pt idx="34">
                  <c:v>15.57</c:v>
                </c:pt>
                <c:pt idx="35">
                  <c:v>12.56</c:v>
                </c:pt>
                <c:pt idx="36">
                  <c:v>7.07</c:v>
                </c:pt>
                <c:pt idx="37">
                  <c:v>8.65</c:v>
                </c:pt>
                <c:pt idx="38">
                  <c:v>8.9700000000000006</c:v>
                </c:pt>
                <c:pt idx="39">
                  <c:v>5.64</c:v>
                </c:pt>
                <c:pt idx="40">
                  <c:v>5.97</c:v>
                </c:pt>
                <c:pt idx="41">
                  <c:v>5.26</c:v>
                </c:pt>
                <c:pt idx="42">
                  <c:v>3.6</c:v>
                </c:pt>
                <c:pt idx="43">
                  <c:v>2.48</c:v>
                </c:pt>
                <c:pt idx="44">
                  <c:v>6.66</c:v>
                </c:pt>
                <c:pt idx="45">
                  <c:v>4.47</c:v>
                </c:pt>
                <c:pt idx="46">
                  <c:v>3.41</c:v>
                </c:pt>
                <c:pt idx="47">
                  <c:v>4.95</c:v>
                </c:pt>
                <c:pt idx="48">
                  <c:v>5.53</c:v>
                </c:pt>
                <c:pt idx="49">
                  <c:v>2.66</c:v>
                </c:pt>
                <c:pt idx="50">
                  <c:v>11.95</c:v>
                </c:pt>
                <c:pt idx="51">
                  <c:v>9.58</c:v>
                </c:pt>
                <c:pt idx="52">
                  <c:v>8.5500000000000007</c:v>
                </c:pt>
                <c:pt idx="53">
                  <c:v>12.67</c:v>
                </c:pt>
                <c:pt idx="54">
                  <c:v>3.19</c:v>
                </c:pt>
                <c:pt idx="55">
                  <c:v>2.2000000000000002</c:v>
                </c:pt>
                <c:pt idx="56">
                  <c:v>4.55</c:v>
                </c:pt>
                <c:pt idx="57">
                  <c:v>2.74</c:v>
                </c:pt>
                <c:pt idx="58">
                  <c:v>7.19</c:v>
                </c:pt>
                <c:pt idx="59">
                  <c:v>3.1</c:v>
                </c:pt>
                <c:pt idx="60">
                  <c:v>4.46</c:v>
                </c:pt>
                <c:pt idx="61">
                  <c:v>2.8</c:v>
                </c:pt>
                <c:pt idx="62">
                  <c:v>3.09</c:v>
                </c:pt>
                <c:pt idx="63">
                  <c:v>2.16</c:v>
                </c:pt>
                <c:pt idx="64">
                  <c:v>6.1</c:v>
                </c:pt>
                <c:pt idx="65">
                  <c:v>2.98</c:v>
                </c:pt>
                <c:pt idx="66">
                  <c:v>2.73</c:v>
                </c:pt>
                <c:pt idx="67">
                  <c:v>2.95</c:v>
                </c:pt>
                <c:pt idx="68">
                  <c:v>2.97</c:v>
                </c:pt>
                <c:pt idx="69">
                  <c:v>1.54</c:v>
                </c:pt>
                <c:pt idx="70">
                  <c:v>1.83</c:v>
                </c:pt>
                <c:pt idx="71">
                  <c:v>2.86</c:v>
                </c:pt>
                <c:pt idx="72">
                  <c:v>3.76</c:v>
                </c:pt>
                <c:pt idx="73">
                  <c:v>2.62</c:v>
                </c:pt>
                <c:pt idx="74">
                  <c:v>2.63</c:v>
                </c:pt>
                <c:pt idx="75">
                  <c:v>2.88</c:v>
                </c:pt>
                <c:pt idx="76">
                  <c:v>1.8</c:v>
                </c:pt>
                <c:pt idx="77">
                  <c:v>1.26</c:v>
                </c:pt>
                <c:pt idx="78">
                  <c:v>2.92</c:v>
                </c:pt>
                <c:pt idx="79">
                  <c:v>3.24</c:v>
                </c:pt>
                <c:pt idx="80">
                  <c:v>2.89</c:v>
                </c:pt>
                <c:pt idx="81">
                  <c:v>2.41</c:v>
                </c:pt>
                <c:pt idx="82">
                  <c:v>2.33</c:v>
                </c:pt>
                <c:pt idx="83">
                  <c:v>2.12</c:v>
                </c:pt>
                <c:pt idx="84">
                  <c:v>2.29</c:v>
                </c:pt>
                <c:pt idx="85">
                  <c:v>3.92</c:v>
                </c:pt>
                <c:pt idx="86">
                  <c:v>1.84</c:v>
                </c:pt>
                <c:pt idx="87">
                  <c:v>2.21</c:v>
                </c:pt>
                <c:pt idx="88">
                  <c:v>3.59</c:v>
                </c:pt>
                <c:pt idx="89">
                  <c:v>4.05</c:v>
                </c:pt>
                <c:pt idx="90">
                  <c:v>2.5099999999999998</c:v>
                </c:pt>
                <c:pt idx="91">
                  <c:v>1.77</c:v>
                </c:pt>
                <c:pt idx="92">
                  <c:v>2.0499999999999998</c:v>
                </c:pt>
                <c:pt idx="93">
                  <c:v>1.95</c:v>
                </c:pt>
                <c:pt idx="94">
                  <c:v>2.4300000000000002</c:v>
                </c:pt>
                <c:pt idx="95">
                  <c:v>2.34</c:v>
                </c:pt>
                <c:pt idx="96">
                  <c:v>2.12</c:v>
                </c:pt>
                <c:pt idx="97">
                  <c:v>2.42</c:v>
                </c:pt>
                <c:pt idx="98">
                  <c:v>1.25</c:v>
                </c:pt>
                <c:pt idx="99">
                  <c:v>1.82</c:v>
                </c:pt>
                <c:pt idx="100">
                  <c:v>1.89</c:v>
                </c:pt>
                <c:pt idx="101">
                  <c:v>2.7</c:v>
                </c:pt>
                <c:pt idx="102">
                  <c:v>2.3199999999999998</c:v>
                </c:pt>
                <c:pt idx="103">
                  <c:v>2.2000000000000002</c:v>
                </c:pt>
                <c:pt idx="104">
                  <c:v>1.38</c:v>
                </c:pt>
                <c:pt idx="105">
                  <c:v>1.06</c:v>
                </c:pt>
                <c:pt idx="106">
                  <c:v>1.75</c:v>
                </c:pt>
                <c:pt idx="107">
                  <c:v>2.8</c:v>
                </c:pt>
                <c:pt idx="108">
                  <c:v>1.34</c:v>
                </c:pt>
                <c:pt idx="109">
                  <c:v>1.77</c:v>
                </c:pt>
                <c:pt idx="110">
                  <c:v>2.5499999999999998</c:v>
                </c:pt>
                <c:pt idx="111">
                  <c:v>2.16</c:v>
                </c:pt>
                <c:pt idx="112">
                  <c:v>3.05</c:v>
                </c:pt>
                <c:pt idx="113">
                  <c:v>2.7</c:v>
                </c:pt>
                <c:pt idx="114">
                  <c:v>1.39</c:v>
                </c:pt>
                <c:pt idx="115">
                  <c:v>2.21</c:v>
                </c:pt>
                <c:pt idx="116">
                  <c:v>1.93</c:v>
                </c:pt>
                <c:pt idx="117">
                  <c:v>2.29</c:v>
                </c:pt>
                <c:pt idx="118">
                  <c:v>2.65</c:v>
                </c:pt>
                <c:pt idx="119">
                  <c:v>2.94</c:v>
                </c:pt>
                <c:pt idx="120">
                  <c:v>2.74</c:v>
                </c:pt>
                <c:pt idx="121">
                  <c:v>1.91</c:v>
                </c:pt>
                <c:pt idx="122">
                  <c:v>2.0499999999999998</c:v>
                </c:pt>
                <c:pt idx="123">
                  <c:v>2.27</c:v>
                </c:pt>
                <c:pt idx="124">
                  <c:v>2.2200000000000002</c:v>
                </c:pt>
                <c:pt idx="125">
                  <c:v>2.17</c:v>
                </c:pt>
                <c:pt idx="126">
                  <c:v>1.37</c:v>
                </c:pt>
                <c:pt idx="127">
                  <c:v>3.4</c:v>
                </c:pt>
                <c:pt idx="128">
                  <c:v>2.04</c:v>
                </c:pt>
                <c:pt idx="129">
                  <c:v>1.41</c:v>
                </c:pt>
                <c:pt idx="130">
                  <c:v>2.1</c:v>
                </c:pt>
                <c:pt idx="131">
                  <c:v>2.2599999999999998</c:v>
                </c:pt>
                <c:pt idx="132">
                  <c:v>2.54</c:v>
                </c:pt>
                <c:pt idx="133">
                  <c:v>1.93</c:v>
                </c:pt>
                <c:pt idx="134">
                  <c:v>3.07</c:v>
                </c:pt>
                <c:pt idx="135">
                  <c:v>1.93</c:v>
                </c:pt>
                <c:pt idx="136">
                  <c:v>3.12</c:v>
                </c:pt>
                <c:pt idx="137">
                  <c:v>1.93</c:v>
                </c:pt>
                <c:pt idx="138">
                  <c:v>1.81</c:v>
                </c:pt>
                <c:pt idx="139">
                  <c:v>1.86</c:v>
                </c:pt>
                <c:pt idx="140">
                  <c:v>2.0299999999999998</c:v>
                </c:pt>
                <c:pt idx="141">
                  <c:v>1.65</c:v>
                </c:pt>
                <c:pt idx="142">
                  <c:v>1.98</c:v>
                </c:pt>
                <c:pt idx="143">
                  <c:v>1.2</c:v>
                </c:pt>
                <c:pt idx="144">
                  <c:v>1.1399999999999999</c:v>
                </c:pt>
                <c:pt idx="145">
                  <c:v>2.11</c:v>
                </c:pt>
                <c:pt idx="146">
                  <c:v>0.97</c:v>
                </c:pt>
                <c:pt idx="147">
                  <c:v>1.17</c:v>
                </c:pt>
                <c:pt idx="148">
                  <c:v>1.48</c:v>
                </c:pt>
                <c:pt idx="149">
                  <c:v>2.65</c:v>
                </c:pt>
                <c:pt idx="150">
                  <c:v>1.36</c:v>
                </c:pt>
                <c:pt idx="151">
                  <c:v>1.4</c:v>
                </c:pt>
                <c:pt idx="152">
                  <c:v>1.17</c:v>
                </c:pt>
                <c:pt idx="153">
                  <c:v>0.77</c:v>
                </c:pt>
                <c:pt idx="154">
                  <c:v>0.84</c:v>
                </c:pt>
                <c:pt idx="155">
                  <c:v>0.94</c:v>
                </c:pt>
                <c:pt idx="156">
                  <c:v>1.17</c:v>
                </c:pt>
                <c:pt idx="157">
                  <c:v>1.61</c:v>
                </c:pt>
                <c:pt idx="158">
                  <c:v>1.52</c:v>
                </c:pt>
                <c:pt idx="159">
                  <c:v>1.27</c:v>
                </c:pt>
                <c:pt idx="160">
                  <c:v>0.85</c:v>
                </c:pt>
                <c:pt idx="161">
                  <c:v>0.91</c:v>
                </c:pt>
                <c:pt idx="162">
                  <c:v>0.66</c:v>
                </c:pt>
                <c:pt idx="163">
                  <c:v>1.1299999999999999</c:v>
                </c:pt>
                <c:pt idx="164">
                  <c:v>0.91</c:v>
                </c:pt>
                <c:pt idx="165">
                  <c:v>1.18</c:v>
                </c:pt>
                <c:pt idx="166">
                  <c:v>0.95</c:v>
                </c:pt>
                <c:pt idx="167">
                  <c:v>0.54</c:v>
                </c:pt>
                <c:pt idx="168">
                  <c:v>0.53</c:v>
                </c:pt>
                <c:pt idx="169">
                  <c:v>0.4</c:v>
                </c:pt>
                <c:pt idx="170">
                  <c:v>0.8</c:v>
                </c:pt>
                <c:pt idx="171">
                  <c:v>0.67</c:v>
                </c:pt>
                <c:pt idx="172">
                  <c:v>0.75</c:v>
                </c:pt>
                <c:pt idx="173">
                  <c:v>0.7</c:v>
                </c:pt>
                <c:pt idx="174">
                  <c:v>0.45</c:v>
                </c:pt>
                <c:pt idx="175">
                  <c:v>0.52</c:v>
                </c:pt>
                <c:pt idx="176">
                  <c:v>0.38</c:v>
                </c:pt>
                <c:pt idx="177">
                  <c:v>0.69</c:v>
                </c:pt>
                <c:pt idx="178">
                  <c:v>0.68</c:v>
                </c:pt>
                <c:pt idx="179">
                  <c:v>0.62</c:v>
                </c:pt>
                <c:pt idx="180">
                  <c:v>0.54</c:v>
                </c:pt>
                <c:pt idx="181">
                  <c:v>0.41</c:v>
                </c:pt>
                <c:pt idx="182">
                  <c:v>0.42</c:v>
                </c:pt>
                <c:pt idx="183">
                  <c:v>0.31</c:v>
                </c:pt>
                <c:pt idx="184">
                  <c:v>0.57999999999999996</c:v>
                </c:pt>
                <c:pt idx="185">
                  <c:v>0.44</c:v>
                </c:pt>
                <c:pt idx="186">
                  <c:v>0.56999999999999995</c:v>
                </c:pt>
                <c:pt idx="187">
                  <c:v>0.46</c:v>
                </c:pt>
                <c:pt idx="188">
                  <c:v>0.32</c:v>
                </c:pt>
                <c:pt idx="189">
                  <c:v>0.2</c:v>
                </c:pt>
                <c:pt idx="190">
                  <c:v>0.17</c:v>
                </c:pt>
                <c:pt idx="191">
                  <c:v>0.25</c:v>
                </c:pt>
                <c:pt idx="192">
                  <c:v>0.47</c:v>
                </c:pt>
                <c:pt idx="193">
                  <c:v>0.42</c:v>
                </c:pt>
                <c:pt idx="194">
                  <c:v>0.44</c:v>
                </c:pt>
                <c:pt idx="195">
                  <c:v>0.32</c:v>
                </c:pt>
                <c:pt idx="196">
                  <c:v>0.26</c:v>
                </c:pt>
                <c:pt idx="197">
                  <c:v>0.15</c:v>
                </c:pt>
                <c:pt idx="198">
                  <c:v>0.43</c:v>
                </c:pt>
                <c:pt idx="199">
                  <c:v>0.44</c:v>
                </c:pt>
                <c:pt idx="200">
                  <c:v>0.48</c:v>
                </c:pt>
                <c:pt idx="201">
                  <c:v>0.5</c:v>
                </c:pt>
                <c:pt idx="202">
                  <c:v>0.38</c:v>
                </c:pt>
                <c:pt idx="203">
                  <c:v>0.25</c:v>
                </c:pt>
                <c:pt idx="204">
                  <c:v>0.26</c:v>
                </c:pt>
                <c:pt idx="205">
                  <c:v>0.46</c:v>
                </c:pt>
                <c:pt idx="206">
                  <c:v>0.41</c:v>
                </c:pt>
                <c:pt idx="207">
                  <c:v>0.51</c:v>
                </c:pt>
                <c:pt idx="208">
                  <c:v>0.46</c:v>
                </c:pt>
                <c:pt idx="209">
                  <c:v>0.3</c:v>
                </c:pt>
                <c:pt idx="210">
                  <c:v>0.24</c:v>
                </c:pt>
                <c:pt idx="211">
                  <c:v>0.31</c:v>
                </c:pt>
                <c:pt idx="212">
                  <c:v>0.38</c:v>
                </c:pt>
                <c:pt idx="213">
                  <c:v>0.4</c:v>
                </c:pt>
                <c:pt idx="214">
                  <c:v>0.47</c:v>
                </c:pt>
                <c:pt idx="215">
                  <c:v>0.36</c:v>
                </c:pt>
                <c:pt idx="216">
                  <c:v>0.34</c:v>
                </c:pt>
                <c:pt idx="217">
                  <c:v>0.14000000000000001</c:v>
                </c:pt>
                <c:pt idx="218">
                  <c:v>0.33</c:v>
                </c:pt>
                <c:pt idx="219">
                  <c:v>0.57999999999999996</c:v>
                </c:pt>
                <c:pt idx="220">
                  <c:v>0.44</c:v>
                </c:pt>
                <c:pt idx="221">
                  <c:v>0.45</c:v>
                </c:pt>
                <c:pt idx="222">
                  <c:v>0.45</c:v>
                </c:pt>
                <c:pt idx="223">
                  <c:v>0.34</c:v>
                </c:pt>
                <c:pt idx="224">
                  <c:v>0.3</c:v>
                </c:pt>
                <c:pt idx="225">
                  <c:v>0.27</c:v>
                </c:pt>
                <c:pt idx="226">
                  <c:v>0.45</c:v>
                </c:pt>
                <c:pt idx="227">
                  <c:v>0.41</c:v>
                </c:pt>
                <c:pt idx="228">
                  <c:v>0.36</c:v>
                </c:pt>
                <c:pt idx="229">
                  <c:v>0.32</c:v>
                </c:pt>
                <c:pt idx="230">
                  <c:v>0.11</c:v>
                </c:pt>
                <c:pt idx="231">
                  <c:v>0.32</c:v>
                </c:pt>
                <c:pt idx="232">
                  <c:v>0.22</c:v>
                </c:pt>
                <c:pt idx="233">
                  <c:v>0.16</c:v>
                </c:pt>
                <c:pt idx="234">
                  <c:v>1.23</c:v>
                </c:pt>
                <c:pt idx="235">
                  <c:v>0.94</c:v>
                </c:pt>
                <c:pt idx="236">
                  <c:v>0.71</c:v>
                </c:pt>
                <c:pt idx="237">
                  <c:v>0.28000000000000003</c:v>
                </c:pt>
                <c:pt idx="238">
                  <c:v>0.28000000000000003</c:v>
                </c:pt>
                <c:pt idx="239">
                  <c:v>0.49</c:v>
                </c:pt>
                <c:pt idx="240">
                  <c:v>0.43</c:v>
                </c:pt>
                <c:pt idx="241">
                  <c:v>0.56000000000000005</c:v>
                </c:pt>
                <c:pt idx="242">
                  <c:v>0.41</c:v>
                </c:pt>
                <c:pt idx="243">
                  <c:v>0.42</c:v>
                </c:pt>
                <c:pt idx="244">
                  <c:v>0.51</c:v>
                </c:pt>
                <c:pt idx="245">
                  <c:v>0.45</c:v>
                </c:pt>
                <c:pt idx="246">
                  <c:v>0.37</c:v>
                </c:pt>
                <c:pt idx="247">
                  <c:v>0.56999999999999995</c:v>
                </c:pt>
                <c:pt idx="248">
                  <c:v>0.65</c:v>
                </c:pt>
                <c:pt idx="249">
                  <c:v>0.66</c:v>
                </c:pt>
                <c:pt idx="250">
                  <c:v>0.73</c:v>
                </c:pt>
                <c:pt idx="251">
                  <c:v>0.7</c:v>
                </c:pt>
                <c:pt idx="252">
                  <c:v>0.44</c:v>
                </c:pt>
                <c:pt idx="253">
                  <c:v>0.7</c:v>
                </c:pt>
                <c:pt idx="254">
                  <c:v>0.64</c:v>
                </c:pt>
                <c:pt idx="255">
                  <c:v>0.76</c:v>
                </c:pt>
                <c:pt idx="256">
                  <c:v>0.73</c:v>
                </c:pt>
                <c:pt idx="257">
                  <c:v>1.1100000000000001</c:v>
                </c:pt>
                <c:pt idx="258">
                  <c:v>0.89</c:v>
                </c:pt>
                <c:pt idx="259">
                  <c:v>0.82</c:v>
                </c:pt>
                <c:pt idx="260">
                  <c:v>0.64</c:v>
                </c:pt>
                <c:pt idx="261">
                  <c:v>1.1100000000000001</c:v>
                </c:pt>
                <c:pt idx="262">
                  <c:v>1.41</c:v>
                </c:pt>
                <c:pt idx="263">
                  <c:v>1.19</c:v>
                </c:pt>
                <c:pt idx="264">
                  <c:v>1.24</c:v>
                </c:pt>
                <c:pt idx="265">
                  <c:v>0.73</c:v>
                </c:pt>
                <c:pt idx="266">
                  <c:v>1.68</c:v>
                </c:pt>
                <c:pt idx="267">
                  <c:v>0.94</c:v>
                </c:pt>
                <c:pt idx="268">
                  <c:v>1.1200000000000001</c:v>
                </c:pt>
                <c:pt idx="269">
                  <c:v>1.31</c:v>
                </c:pt>
                <c:pt idx="270">
                  <c:v>1.18</c:v>
                </c:pt>
                <c:pt idx="271">
                  <c:v>0.8</c:v>
                </c:pt>
                <c:pt idx="272">
                  <c:v>1.27</c:v>
                </c:pt>
                <c:pt idx="273">
                  <c:v>1.28</c:v>
                </c:pt>
                <c:pt idx="274">
                  <c:v>1.86</c:v>
                </c:pt>
                <c:pt idx="275">
                  <c:v>1.42</c:v>
                </c:pt>
                <c:pt idx="276">
                  <c:v>1.86</c:v>
                </c:pt>
                <c:pt idx="277">
                  <c:v>2.06</c:v>
                </c:pt>
                <c:pt idx="278">
                  <c:v>2.0499999999999998</c:v>
                </c:pt>
                <c:pt idx="279">
                  <c:v>2.38</c:v>
                </c:pt>
                <c:pt idx="280">
                  <c:v>1.78</c:v>
                </c:pt>
                <c:pt idx="281">
                  <c:v>1.84</c:v>
                </c:pt>
                <c:pt idx="282">
                  <c:v>1.92</c:v>
                </c:pt>
                <c:pt idx="283">
                  <c:v>2.66</c:v>
                </c:pt>
                <c:pt idx="284">
                  <c:v>2.81</c:v>
                </c:pt>
                <c:pt idx="285">
                  <c:v>2.2400000000000002</c:v>
                </c:pt>
                <c:pt idx="286">
                  <c:v>2.46</c:v>
                </c:pt>
                <c:pt idx="287">
                  <c:v>1.38</c:v>
                </c:pt>
                <c:pt idx="288">
                  <c:v>2.0699999999999998</c:v>
                </c:pt>
                <c:pt idx="289">
                  <c:v>4.09</c:v>
                </c:pt>
                <c:pt idx="290">
                  <c:v>2.5299999999999998</c:v>
                </c:pt>
                <c:pt idx="291">
                  <c:v>2.83</c:v>
                </c:pt>
                <c:pt idx="292">
                  <c:v>2.29</c:v>
                </c:pt>
                <c:pt idx="293">
                  <c:v>2.1800000000000002</c:v>
                </c:pt>
                <c:pt idx="294">
                  <c:v>1.79</c:v>
                </c:pt>
                <c:pt idx="295">
                  <c:v>2</c:v>
                </c:pt>
                <c:pt idx="296">
                  <c:v>2.5299999999999998</c:v>
                </c:pt>
                <c:pt idx="297">
                  <c:v>2.0099999999999998</c:v>
                </c:pt>
                <c:pt idx="298">
                  <c:v>4.3</c:v>
                </c:pt>
                <c:pt idx="299">
                  <c:v>0</c:v>
                </c:pt>
                <c:pt idx="300">
                  <c:v>1.89</c:v>
                </c:pt>
                <c:pt idx="301">
                  <c:v>1.87</c:v>
                </c:pt>
                <c:pt idx="302">
                  <c:v>1.74</c:v>
                </c:pt>
                <c:pt idx="303">
                  <c:v>1.34</c:v>
                </c:pt>
                <c:pt idx="304">
                  <c:v>1.92</c:v>
                </c:pt>
                <c:pt idx="305">
                  <c:v>2.59</c:v>
                </c:pt>
              </c:numCache>
            </c:numRef>
          </c:val>
          <c:smooth val="0"/>
          <c:extLst>
            <c:ext xmlns:c16="http://schemas.microsoft.com/office/drawing/2014/chart" uri="{C3380CC4-5D6E-409C-BE32-E72D297353CC}">
              <c16:uniqueId val="{00000002-5001-40E0-9B15-ADFEDEE6BFC1}"/>
            </c:ext>
          </c:extLst>
        </c:ser>
        <c:ser>
          <c:idx val="2"/>
          <c:order val="2"/>
          <c:tx>
            <c:v>Death Growth Rate</c:v>
          </c:tx>
          <c:spPr>
            <a:ln w="28575" cap="rnd">
              <a:solidFill>
                <a:srgbClr val="C00000"/>
              </a:solidFill>
              <a:round/>
            </a:ln>
            <a:effectLst/>
          </c:spPr>
          <c:marker>
            <c:symbol val="none"/>
          </c:marker>
          <c:cat>
            <c:numRef>
              <c:f>Data!$A$3:$A$308</c:f>
              <c:numCache>
                <c:formatCode>d\-mmm</c:formatCode>
                <c:ptCount val="306"/>
                <c:pt idx="0">
                  <c:v>43891</c:v>
                </c:pt>
                <c:pt idx="1">
                  <c:v>43892</c:v>
                </c:pt>
                <c:pt idx="2">
                  <c:v>43893</c:v>
                </c:pt>
                <c:pt idx="3">
                  <c:v>43894</c:v>
                </c:pt>
                <c:pt idx="4">
                  <c:v>43895</c:v>
                </c:pt>
                <c:pt idx="5">
                  <c:v>43896</c:v>
                </c:pt>
                <c:pt idx="6">
                  <c:v>43897</c:v>
                </c:pt>
                <c:pt idx="7">
                  <c:v>43898</c:v>
                </c:pt>
                <c:pt idx="8">
                  <c:v>43899</c:v>
                </c:pt>
                <c:pt idx="9">
                  <c:v>43900</c:v>
                </c:pt>
                <c:pt idx="10">
                  <c:v>43901</c:v>
                </c:pt>
                <c:pt idx="11">
                  <c:v>43902</c:v>
                </c:pt>
                <c:pt idx="12">
                  <c:v>43903</c:v>
                </c:pt>
                <c:pt idx="13">
                  <c:v>43904</c:v>
                </c:pt>
                <c:pt idx="14">
                  <c:v>43905</c:v>
                </c:pt>
                <c:pt idx="15">
                  <c:v>43906</c:v>
                </c:pt>
                <c:pt idx="16">
                  <c:v>43907</c:v>
                </c:pt>
                <c:pt idx="17">
                  <c:v>43908</c:v>
                </c:pt>
                <c:pt idx="18">
                  <c:v>43909</c:v>
                </c:pt>
                <c:pt idx="19">
                  <c:v>43910</c:v>
                </c:pt>
                <c:pt idx="20">
                  <c:v>43911</c:v>
                </c:pt>
                <c:pt idx="21">
                  <c:v>43912</c:v>
                </c:pt>
                <c:pt idx="22">
                  <c:v>43913</c:v>
                </c:pt>
                <c:pt idx="23">
                  <c:v>43914</c:v>
                </c:pt>
                <c:pt idx="24">
                  <c:v>43915</c:v>
                </c:pt>
                <c:pt idx="25">
                  <c:v>43916</c:v>
                </c:pt>
                <c:pt idx="26">
                  <c:v>43917</c:v>
                </c:pt>
                <c:pt idx="27">
                  <c:v>43918</c:v>
                </c:pt>
                <c:pt idx="28">
                  <c:v>43919</c:v>
                </c:pt>
                <c:pt idx="29">
                  <c:v>43920</c:v>
                </c:pt>
                <c:pt idx="30">
                  <c:v>43921</c:v>
                </c:pt>
                <c:pt idx="31">
                  <c:v>43922</c:v>
                </c:pt>
                <c:pt idx="32">
                  <c:v>43923</c:v>
                </c:pt>
                <c:pt idx="33">
                  <c:v>43924</c:v>
                </c:pt>
                <c:pt idx="34">
                  <c:v>43925</c:v>
                </c:pt>
                <c:pt idx="35">
                  <c:v>43926</c:v>
                </c:pt>
                <c:pt idx="36">
                  <c:v>43927</c:v>
                </c:pt>
                <c:pt idx="37">
                  <c:v>43928</c:v>
                </c:pt>
                <c:pt idx="38">
                  <c:v>43929</c:v>
                </c:pt>
                <c:pt idx="39">
                  <c:v>43930</c:v>
                </c:pt>
                <c:pt idx="40">
                  <c:v>43931</c:v>
                </c:pt>
                <c:pt idx="41">
                  <c:v>43932</c:v>
                </c:pt>
                <c:pt idx="42">
                  <c:v>43933</c:v>
                </c:pt>
                <c:pt idx="43">
                  <c:v>43934</c:v>
                </c:pt>
                <c:pt idx="44">
                  <c:v>43935</c:v>
                </c:pt>
                <c:pt idx="45">
                  <c:v>43936</c:v>
                </c:pt>
                <c:pt idx="46">
                  <c:v>43937</c:v>
                </c:pt>
                <c:pt idx="47">
                  <c:v>43938</c:v>
                </c:pt>
                <c:pt idx="48">
                  <c:v>43939</c:v>
                </c:pt>
                <c:pt idx="49">
                  <c:v>43940</c:v>
                </c:pt>
                <c:pt idx="50">
                  <c:v>43941</c:v>
                </c:pt>
                <c:pt idx="51">
                  <c:v>43942</c:v>
                </c:pt>
                <c:pt idx="52">
                  <c:v>43943</c:v>
                </c:pt>
                <c:pt idx="53">
                  <c:v>43944</c:v>
                </c:pt>
                <c:pt idx="54">
                  <c:v>43945</c:v>
                </c:pt>
                <c:pt idx="55">
                  <c:v>43946</c:v>
                </c:pt>
                <c:pt idx="56">
                  <c:v>43947</c:v>
                </c:pt>
                <c:pt idx="57">
                  <c:v>43948</c:v>
                </c:pt>
                <c:pt idx="58">
                  <c:v>43949</c:v>
                </c:pt>
                <c:pt idx="59">
                  <c:v>43950</c:v>
                </c:pt>
                <c:pt idx="60">
                  <c:v>43951</c:v>
                </c:pt>
                <c:pt idx="61">
                  <c:v>43952</c:v>
                </c:pt>
                <c:pt idx="62">
                  <c:v>43953</c:v>
                </c:pt>
                <c:pt idx="63">
                  <c:v>43954</c:v>
                </c:pt>
                <c:pt idx="64">
                  <c:v>43955</c:v>
                </c:pt>
                <c:pt idx="65">
                  <c:v>43956</c:v>
                </c:pt>
                <c:pt idx="66">
                  <c:v>43957</c:v>
                </c:pt>
                <c:pt idx="67">
                  <c:v>43958</c:v>
                </c:pt>
                <c:pt idx="68">
                  <c:v>43959</c:v>
                </c:pt>
                <c:pt idx="69">
                  <c:v>43960</c:v>
                </c:pt>
                <c:pt idx="70">
                  <c:v>43961</c:v>
                </c:pt>
                <c:pt idx="71">
                  <c:v>43962</c:v>
                </c:pt>
                <c:pt idx="72">
                  <c:v>43963</c:v>
                </c:pt>
                <c:pt idx="73">
                  <c:v>43964</c:v>
                </c:pt>
                <c:pt idx="74">
                  <c:v>43965</c:v>
                </c:pt>
                <c:pt idx="75">
                  <c:v>43966</c:v>
                </c:pt>
                <c:pt idx="76">
                  <c:v>43967</c:v>
                </c:pt>
                <c:pt idx="77">
                  <c:v>43968</c:v>
                </c:pt>
                <c:pt idx="78">
                  <c:v>43969</c:v>
                </c:pt>
                <c:pt idx="79">
                  <c:v>43970</c:v>
                </c:pt>
                <c:pt idx="80">
                  <c:v>43971</c:v>
                </c:pt>
                <c:pt idx="81">
                  <c:v>43972</c:v>
                </c:pt>
                <c:pt idx="82">
                  <c:v>43973</c:v>
                </c:pt>
                <c:pt idx="83">
                  <c:v>43974</c:v>
                </c:pt>
                <c:pt idx="84">
                  <c:v>43975</c:v>
                </c:pt>
                <c:pt idx="85">
                  <c:v>43976</c:v>
                </c:pt>
                <c:pt idx="86">
                  <c:v>43977</c:v>
                </c:pt>
                <c:pt idx="87">
                  <c:v>43978</c:v>
                </c:pt>
                <c:pt idx="88">
                  <c:v>43979</c:v>
                </c:pt>
                <c:pt idx="89">
                  <c:v>43980</c:v>
                </c:pt>
                <c:pt idx="90">
                  <c:v>43981</c:v>
                </c:pt>
                <c:pt idx="91">
                  <c:v>43982</c:v>
                </c:pt>
                <c:pt idx="92">
                  <c:v>43983</c:v>
                </c:pt>
                <c:pt idx="93">
                  <c:v>43984</c:v>
                </c:pt>
                <c:pt idx="94">
                  <c:v>43985</c:v>
                </c:pt>
                <c:pt idx="95">
                  <c:v>43986</c:v>
                </c:pt>
                <c:pt idx="96">
                  <c:v>43987</c:v>
                </c:pt>
                <c:pt idx="97">
                  <c:v>43988</c:v>
                </c:pt>
                <c:pt idx="98">
                  <c:v>43989</c:v>
                </c:pt>
                <c:pt idx="99">
                  <c:v>43990</c:v>
                </c:pt>
                <c:pt idx="100">
                  <c:v>43991</c:v>
                </c:pt>
                <c:pt idx="101">
                  <c:v>43992</c:v>
                </c:pt>
                <c:pt idx="102">
                  <c:v>43993</c:v>
                </c:pt>
                <c:pt idx="103">
                  <c:v>43994</c:v>
                </c:pt>
                <c:pt idx="104">
                  <c:v>43995</c:v>
                </c:pt>
                <c:pt idx="105">
                  <c:v>43996</c:v>
                </c:pt>
                <c:pt idx="106">
                  <c:v>43997</c:v>
                </c:pt>
                <c:pt idx="107">
                  <c:v>43998</c:v>
                </c:pt>
                <c:pt idx="108">
                  <c:v>43999</c:v>
                </c:pt>
                <c:pt idx="109">
                  <c:v>44000</c:v>
                </c:pt>
                <c:pt idx="110">
                  <c:v>44001</c:v>
                </c:pt>
                <c:pt idx="111">
                  <c:v>44002</c:v>
                </c:pt>
                <c:pt idx="112">
                  <c:v>44003</c:v>
                </c:pt>
                <c:pt idx="113">
                  <c:v>44004</c:v>
                </c:pt>
                <c:pt idx="114">
                  <c:v>44005</c:v>
                </c:pt>
                <c:pt idx="115">
                  <c:v>44006</c:v>
                </c:pt>
                <c:pt idx="116">
                  <c:v>44007</c:v>
                </c:pt>
                <c:pt idx="117">
                  <c:v>44008</c:v>
                </c:pt>
                <c:pt idx="118">
                  <c:v>44009</c:v>
                </c:pt>
                <c:pt idx="119">
                  <c:v>44010</c:v>
                </c:pt>
                <c:pt idx="120">
                  <c:v>44011</c:v>
                </c:pt>
                <c:pt idx="121">
                  <c:v>44012</c:v>
                </c:pt>
                <c:pt idx="122">
                  <c:v>44013</c:v>
                </c:pt>
                <c:pt idx="123">
                  <c:v>44014</c:v>
                </c:pt>
                <c:pt idx="124">
                  <c:v>44015</c:v>
                </c:pt>
                <c:pt idx="125">
                  <c:v>44016</c:v>
                </c:pt>
                <c:pt idx="126">
                  <c:v>44017</c:v>
                </c:pt>
                <c:pt idx="127">
                  <c:v>44018</c:v>
                </c:pt>
                <c:pt idx="128">
                  <c:v>44019</c:v>
                </c:pt>
                <c:pt idx="129">
                  <c:v>44020</c:v>
                </c:pt>
                <c:pt idx="130">
                  <c:v>44021</c:v>
                </c:pt>
                <c:pt idx="131">
                  <c:v>44022</c:v>
                </c:pt>
                <c:pt idx="132">
                  <c:v>44023</c:v>
                </c:pt>
                <c:pt idx="133">
                  <c:v>44024</c:v>
                </c:pt>
                <c:pt idx="134">
                  <c:v>44025</c:v>
                </c:pt>
                <c:pt idx="135">
                  <c:v>44026</c:v>
                </c:pt>
                <c:pt idx="136">
                  <c:v>44027</c:v>
                </c:pt>
                <c:pt idx="137">
                  <c:v>44028</c:v>
                </c:pt>
                <c:pt idx="138">
                  <c:v>44029</c:v>
                </c:pt>
                <c:pt idx="139">
                  <c:v>44030</c:v>
                </c:pt>
                <c:pt idx="140">
                  <c:v>44031</c:v>
                </c:pt>
                <c:pt idx="141">
                  <c:v>44032</c:v>
                </c:pt>
                <c:pt idx="142">
                  <c:v>44033</c:v>
                </c:pt>
                <c:pt idx="143">
                  <c:v>44034</c:v>
                </c:pt>
                <c:pt idx="144">
                  <c:v>44035</c:v>
                </c:pt>
                <c:pt idx="145">
                  <c:v>44036</c:v>
                </c:pt>
                <c:pt idx="146">
                  <c:v>44037</c:v>
                </c:pt>
                <c:pt idx="147">
                  <c:v>44038</c:v>
                </c:pt>
                <c:pt idx="148">
                  <c:v>44039</c:v>
                </c:pt>
                <c:pt idx="149">
                  <c:v>44040</c:v>
                </c:pt>
                <c:pt idx="150">
                  <c:v>44041</c:v>
                </c:pt>
                <c:pt idx="151">
                  <c:v>44042</c:v>
                </c:pt>
                <c:pt idx="152">
                  <c:v>44043</c:v>
                </c:pt>
                <c:pt idx="153">
                  <c:v>44044</c:v>
                </c:pt>
                <c:pt idx="154">
                  <c:v>44045</c:v>
                </c:pt>
                <c:pt idx="155">
                  <c:v>44046</c:v>
                </c:pt>
                <c:pt idx="156">
                  <c:v>44047</c:v>
                </c:pt>
                <c:pt idx="157">
                  <c:v>44048</c:v>
                </c:pt>
                <c:pt idx="158">
                  <c:v>44049</c:v>
                </c:pt>
                <c:pt idx="159">
                  <c:v>44050</c:v>
                </c:pt>
                <c:pt idx="160">
                  <c:v>44051</c:v>
                </c:pt>
                <c:pt idx="161">
                  <c:v>44052</c:v>
                </c:pt>
                <c:pt idx="162">
                  <c:v>44053</c:v>
                </c:pt>
                <c:pt idx="163">
                  <c:v>44054</c:v>
                </c:pt>
                <c:pt idx="164">
                  <c:v>44055</c:v>
                </c:pt>
                <c:pt idx="165">
                  <c:v>44056</c:v>
                </c:pt>
                <c:pt idx="166">
                  <c:v>44057</c:v>
                </c:pt>
                <c:pt idx="167">
                  <c:v>44058</c:v>
                </c:pt>
                <c:pt idx="168">
                  <c:v>44059</c:v>
                </c:pt>
                <c:pt idx="169">
                  <c:v>44060</c:v>
                </c:pt>
                <c:pt idx="170">
                  <c:v>44061</c:v>
                </c:pt>
                <c:pt idx="171">
                  <c:v>44062</c:v>
                </c:pt>
                <c:pt idx="172">
                  <c:v>44063</c:v>
                </c:pt>
                <c:pt idx="173">
                  <c:v>44064</c:v>
                </c:pt>
                <c:pt idx="174">
                  <c:v>44065</c:v>
                </c:pt>
                <c:pt idx="175">
                  <c:v>44066</c:v>
                </c:pt>
                <c:pt idx="176">
                  <c:v>44067</c:v>
                </c:pt>
                <c:pt idx="177">
                  <c:v>44068</c:v>
                </c:pt>
                <c:pt idx="178">
                  <c:v>44069</c:v>
                </c:pt>
                <c:pt idx="179">
                  <c:v>44070</c:v>
                </c:pt>
                <c:pt idx="180">
                  <c:v>44071</c:v>
                </c:pt>
                <c:pt idx="181">
                  <c:v>44072</c:v>
                </c:pt>
                <c:pt idx="182">
                  <c:v>44073</c:v>
                </c:pt>
                <c:pt idx="183">
                  <c:v>44074</c:v>
                </c:pt>
                <c:pt idx="184">
                  <c:v>44075</c:v>
                </c:pt>
                <c:pt idx="185">
                  <c:v>44076</c:v>
                </c:pt>
                <c:pt idx="186">
                  <c:v>44077</c:v>
                </c:pt>
                <c:pt idx="187">
                  <c:v>44078</c:v>
                </c:pt>
                <c:pt idx="188">
                  <c:v>44079</c:v>
                </c:pt>
                <c:pt idx="189">
                  <c:v>44080</c:v>
                </c:pt>
                <c:pt idx="190">
                  <c:v>44081</c:v>
                </c:pt>
                <c:pt idx="191">
                  <c:v>44082</c:v>
                </c:pt>
                <c:pt idx="192">
                  <c:v>44083</c:v>
                </c:pt>
                <c:pt idx="193">
                  <c:v>44084</c:v>
                </c:pt>
                <c:pt idx="194">
                  <c:v>44085</c:v>
                </c:pt>
                <c:pt idx="195">
                  <c:v>44086</c:v>
                </c:pt>
                <c:pt idx="196">
                  <c:v>44087</c:v>
                </c:pt>
                <c:pt idx="197">
                  <c:v>44088</c:v>
                </c:pt>
                <c:pt idx="198">
                  <c:v>44089</c:v>
                </c:pt>
                <c:pt idx="199">
                  <c:v>44090</c:v>
                </c:pt>
                <c:pt idx="200">
                  <c:v>44091</c:v>
                </c:pt>
                <c:pt idx="201">
                  <c:v>44092</c:v>
                </c:pt>
                <c:pt idx="202">
                  <c:v>44093</c:v>
                </c:pt>
                <c:pt idx="203">
                  <c:v>44094</c:v>
                </c:pt>
                <c:pt idx="204">
                  <c:v>44095</c:v>
                </c:pt>
                <c:pt idx="205">
                  <c:v>44096</c:v>
                </c:pt>
                <c:pt idx="206">
                  <c:v>44097</c:v>
                </c:pt>
                <c:pt idx="207">
                  <c:v>44098</c:v>
                </c:pt>
                <c:pt idx="208">
                  <c:v>44099</c:v>
                </c:pt>
                <c:pt idx="209">
                  <c:v>44100</c:v>
                </c:pt>
                <c:pt idx="210">
                  <c:v>44101</c:v>
                </c:pt>
                <c:pt idx="211">
                  <c:v>44102</c:v>
                </c:pt>
                <c:pt idx="212">
                  <c:v>44103</c:v>
                </c:pt>
                <c:pt idx="213">
                  <c:v>44104</c:v>
                </c:pt>
                <c:pt idx="214">
                  <c:v>44105</c:v>
                </c:pt>
                <c:pt idx="215">
                  <c:v>44106</c:v>
                </c:pt>
                <c:pt idx="216">
                  <c:v>44107</c:v>
                </c:pt>
                <c:pt idx="217">
                  <c:v>44108</c:v>
                </c:pt>
                <c:pt idx="218">
                  <c:v>44109</c:v>
                </c:pt>
                <c:pt idx="219">
                  <c:v>44110</c:v>
                </c:pt>
                <c:pt idx="220">
                  <c:v>44111</c:v>
                </c:pt>
                <c:pt idx="221">
                  <c:v>44112</c:v>
                </c:pt>
                <c:pt idx="222">
                  <c:v>44113</c:v>
                </c:pt>
                <c:pt idx="223">
                  <c:v>44114</c:v>
                </c:pt>
                <c:pt idx="224">
                  <c:v>44115</c:v>
                </c:pt>
                <c:pt idx="225">
                  <c:v>44116</c:v>
                </c:pt>
                <c:pt idx="226">
                  <c:v>44117</c:v>
                </c:pt>
                <c:pt idx="227">
                  <c:v>44118</c:v>
                </c:pt>
                <c:pt idx="228">
                  <c:v>44119</c:v>
                </c:pt>
                <c:pt idx="229">
                  <c:v>44120</c:v>
                </c:pt>
                <c:pt idx="230">
                  <c:v>44121</c:v>
                </c:pt>
                <c:pt idx="231">
                  <c:v>44122</c:v>
                </c:pt>
                <c:pt idx="232">
                  <c:v>44123</c:v>
                </c:pt>
                <c:pt idx="233">
                  <c:v>44124</c:v>
                </c:pt>
                <c:pt idx="234">
                  <c:v>44125</c:v>
                </c:pt>
                <c:pt idx="235">
                  <c:v>44126</c:v>
                </c:pt>
                <c:pt idx="236">
                  <c:v>44127</c:v>
                </c:pt>
                <c:pt idx="237">
                  <c:v>44128</c:v>
                </c:pt>
                <c:pt idx="238">
                  <c:v>44129</c:v>
                </c:pt>
                <c:pt idx="239">
                  <c:v>44130</c:v>
                </c:pt>
                <c:pt idx="240">
                  <c:v>44131</c:v>
                </c:pt>
                <c:pt idx="241">
                  <c:v>44132</c:v>
                </c:pt>
                <c:pt idx="242">
                  <c:v>44133</c:v>
                </c:pt>
                <c:pt idx="243">
                  <c:v>44134</c:v>
                </c:pt>
                <c:pt idx="244">
                  <c:v>44135</c:v>
                </c:pt>
                <c:pt idx="245">
                  <c:v>44136</c:v>
                </c:pt>
                <c:pt idx="246">
                  <c:v>44137</c:v>
                </c:pt>
                <c:pt idx="247">
                  <c:v>44138</c:v>
                </c:pt>
                <c:pt idx="248">
                  <c:v>44139</c:v>
                </c:pt>
                <c:pt idx="249">
                  <c:v>44140</c:v>
                </c:pt>
                <c:pt idx="250">
                  <c:v>44141</c:v>
                </c:pt>
                <c:pt idx="251">
                  <c:v>44142</c:v>
                </c:pt>
                <c:pt idx="252">
                  <c:v>44143</c:v>
                </c:pt>
                <c:pt idx="253">
                  <c:v>44144</c:v>
                </c:pt>
                <c:pt idx="254">
                  <c:v>44145</c:v>
                </c:pt>
                <c:pt idx="255">
                  <c:v>44146</c:v>
                </c:pt>
                <c:pt idx="256">
                  <c:v>44147</c:v>
                </c:pt>
                <c:pt idx="257">
                  <c:v>44148</c:v>
                </c:pt>
                <c:pt idx="258">
                  <c:v>44149</c:v>
                </c:pt>
                <c:pt idx="259">
                  <c:v>44150</c:v>
                </c:pt>
                <c:pt idx="260">
                  <c:v>44151</c:v>
                </c:pt>
                <c:pt idx="261">
                  <c:v>44152</c:v>
                </c:pt>
                <c:pt idx="262">
                  <c:v>44153</c:v>
                </c:pt>
                <c:pt idx="263">
                  <c:v>44154</c:v>
                </c:pt>
                <c:pt idx="264">
                  <c:v>44155</c:v>
                </c:pt>
                <c:pt idx="265">
                  <c:v>44156</c:v>
                </c:pt>
                <c:pt idx="266">
                  <c:v>44157</c:v>
                </c:pt>
                <c:pt idx="267">
                  <c:v>44158</c:v>
                </c:pt>
                <c:pt idx="268">
                  <c:v>44159</c:v>
                </c:pt>
                <c:pt idx="269">
                  <c:v>44160</c:v>
                </c:pt>
                <c:pt idx="270">
                  <c:v>44161</c:v>
                </c:pt>
                <c:pt idx="271">
                  <c:v>44162</c:v>
                </c:pt>
                <c:pt idx="272">
                  <c:v>44163</c:v>
                </c:pt>
                <c:pt idx="273">
                  <c:v>44164</c:v>
                </c:pt>
                <c:pt idx="274">
                  <c:v>44165</c:v>
                </c:pt>
                <c:pt idx="275">
                  <c:v>44166</c:v>
                </c:pt>
                <c:pt idx="276">
                  <c:v>44167</c:v>
                </c:pt>
                <c:pt idx="277">
                  <c:v>44168</c:v>
                </c:pt>
                <c:pt idx="278">
                  <c:v>44169</c:v>
                </c:pt>
                <c:pt idx="279">
                  <c:v>44170</c:v>
                </c:pt>
                <c:pt idx="280">
                  <c:v>44171</c:v>
                </c:pt>
                <c:pt idx="281">
                  <c:v>44172</c:v>
                </c:pt>
                <c:pt idx="282">
                  <c:v>44173</c:v>
                </c:pt>
                <c:pt idx="283">
                  <c:v>44174</c:v>
                </c:pt>
                <c:pt idx="284">
                  <c:v>44175</c:v>
                </c:pt>
                <c:pt idx="285">
                  <c:v>44176</c:v>
                </c:pt>
                <c:pt idx="286">
                  <c:v>44177</c:v>
                </c:pt>
                <c:pt idx="287">
                  <c:v>44178</c:v>
                </c:pt>
                <c:pt idx="288">
                  <c:v>44179</c:v>
                </c:pt>
                <c:pt idx="289">
                  <c:v>44180</c:v>
                </c:pt>
                <c:pt idx="290">
                  <c:v>44181</c:v>
                </c:pt>
                <c:pt idx="291">
                  <c:v>44182</c:v>
                </c:pt>
                <c:pt idx="292">
                  <c:v>44183</c:v>
                </c:pt>
                <c:pt idx="293">
                  <c:v>44184</c:v>
                </c:pt>
                <c:pt idx="294">
                  <c:v>44185</c:v>
                </c:pt>
                <c:pt idx="295">
                  <c:v>44186</c:v>
                </c:pt>
                <c:pt idx="296">
                  <c:v>44187</c:v>
                </c:pt>
                <c:pt idx="297">
                  <c:v>44188</c:v>
                </c:pt>
                <c:pt idx="298">
                  <c:v>44189</c:v>
                </c:pt>
                <c:pt idx="299">
                  <c:v>44190</c:v>
                </c:pt>
                <c:pt idx="300">
                  <c:v>44191</c:v>
                </c:pt>
                <c:pt idx="301">
                  <c:v>44192</c:v>
                </c:pt>
                <c:pt idx="302">
                  <c:v>44193</c:v>
                </c:pt>
                <c:pt idx="303">
                  <c:v>44194</c:v>
                </c:pt>
                <c:pt idx="304">
                  <c:v>44195</c:v>
                </c:pt>
                <c:pt idx="305">
                  <c:v>44196</c:v>
                </c:pt>
              </c:numCache>
            </c:numRef>
          </c:cat>
          <c:val>
            <c:numRef>
              <c:f>Data!$J$3:$J$308</c:f>
              <c:numCache>
                <c:formatCode>General</c:formatCode>
                <c:ptCount val="306"/>
                <c:pt idx="23">
                  <c:v>57.14</c:v>
                </c:pt>
                <c:pt idx="24">
                  <c:v>18.18</c:v>
                </c:pt>
                <c:pt idx="25">
                  <c:v>61.54</c:v>
                </c:pt>
                <c:pt idx="26">
                  <c:v>23.81</c:v>
                </c:pt>
                <c:pt idx="27">
                  <c:v>23.08</c:v>
                </c:pt>
                <c:pt idx="28">
                  <c:v>15.63</c:v>
                </c:pt>
                <c:pt idx="29">
                  <c:v>18.920000000000002</c:v>
                </c:pt>
                <c:pt idx="30">
                  <c:v>22.73</c:v>
                </c:pt>
                <c:pt idx="31">
                  <c:v>18.52</c:v>
                </c:pt>
                <c:pt idx="32">
                  <c:v>21.88</c:v>
                </c:pt>
                <c:pt idx="33">
                  <c:v>14.1</c:v>
                </c:pt>
                <c:pt idx="34">
                  <c:v>31.46</c:v>
                </c:pt>
                <c:pt idx="35">
                  <c:v>12.82</c:v>
                </c:pt>
                <c:pt idx="36">
                  <c:v>11.36</c:v>
                </c:pt>
                <c:pt idx="37">
                  <c:v>14.97</c:v>
                </c:pt>
                <c:pt idx="38">
                  <c:v>17.16</c:v>
                </c:pt>
                <c:pt idx="39">
                  <c:v>12.63</c:v>
                </c:pt>
                <c:pt idx="40">
                  <c:v>8.07</c:v>
                </c:pt>
                <c:pt idx="41">
                  <c:v>9.9600000000000009</c:v>
                </c:pt>
                <c:pt idx="42">
                  <c:v>11.7</c:v>
                </c:pt>
                <c:pt idx="43">
                  <c:v>8.11</c:v>
                </c:pt>
                <c:pt idx="44">
                  <c:v>12.5</c:v>
                </c:pt>
                <c:pt idx="45">
                  <c:v>11.67</c:v>
                </c:pt>
                <c:pt idx="46">
                  <c:v>13.18</c:v>
                </c:pt>
                <c:pt idx="47">
                  <c:v>8.7899999999999991</c:v>
                </c:pt>
                <c:pt idx="48">
                  <c:v>16.36</c:v>
                </c:pt>
                <c:pt idx="49">
                  <c:v>4.17</c:v>
                </c:pt>
                <c:pt idx="50">
                  <c:v>2.83</c:v>
                </c:pt>
                <c:pt idx="51">
                  <c:v>7.46</c:v>
                </c:pt>
                <c:pt idx="52">
                  <c:v>9.9499999999999993</c:v>
                </c:pt>
                <c:pt idx="53">
                  <c:v>16.32</c:v>
                </c:pt>
                <c:pt idx="54">
                  <c:v>5.54</c:v>
                </c:pt>
                <c:pt idx="55">
                  <c:v>2.0099999999999998</c:v>
                </c:pt>
                <c:pt idx="56">
                  <c:v>3.18</c:v>
                </c:pt>
                <c:pt idx="57">
                  <c:v>6.16</c:v>
                </c:pt>
                <c:pt idx="58">
                  <c:v>5.6</c:v>
                </c:pt>
                <c:pt idx="59">
                  <c:v>5.21</c:v>
                </c:pt>
                <c:pt idx="60">
                  <c:v>5.49</c:v>
                </c:pt>
                <c:pt idx="61">
                  <c:v>3.16</c:v>
                </c:pt>
                <c:pt idx="62">
                  <c:v>1.65</c:v>
                </c:pt>
                <c:pt idx="63">
                  <c:v>2.2000000000000002</c:v>
                </c:pt>
                <c:pt idx="64">
                  <c:v>4.54</c:v>
                </c:pt>
                <c:pt idx="65">
                  <c:v>4.1100000000000003</c:v>
                </c:pt>
                <c:pt idx="66">
                  <c:v>3.73</c:v>
                </c:pt>
                <c:pt idx="67">
                  <c:v>3.53</c:v>
                </c:pt>
                <c:pt idx="68">
                  <c:v>3</c:v>
                </c:pt>
                <c:pt idx="69">
                  <c:v>1.19</c:v>
                </c:pt>
                <c:pt idx="70">
                  <c:v>2.5499999999999998</c:v>
                </c:pt>
                <c:pt idx="71">
                  <c:v>2.8</c:v>
                </c:pt>
                <c:pt idx="72">
                  <c:v>2.85</c:v>
                </c:pt>
                <c:pt idx="73">
                  <c:v>3.01</c:v>
                </c:pt>
                <c:pt idx="74">
                  <c:v>2.69</c:v>
                </c:pt>
                <c:pt idx="75">
                  <c:v>2.17</c:v>
                </c:pt>
                <c:pt idx="76">
                  <c:v>1.56</c:v>
                </c:pt>
                <c:pt idx="77">
                  <c:v>0.99</c:v>
                </c:pt>
                <c:pt idx="78">
                  <c:v>4.0199999999999996</c:v>
                </c:pt>
                <c:pt idx="79">
                  <c:v>2.98</c:v>
                </c:pt>
                <c:pt idx="80">
                  <c:v>2.34</c:v>
                </c:pt>
                <c:pt idx="81">
                  <c:v>1.64</c:v>
                </c:pt>
                <c:pt idx="82">
                  <c:v>2</c:v>
                </c:pt>
                <c:pt idx="83">
                  <c:v>0.67</c:v>
                </c:pt>
                <c:pt idx="84">
                  <c:v>0.56999999999999995</c:v>
                </c:pt>
                <c:pt idx="85">
                  <c:v>1.28</c:v>
                </c:pt>
                <c:pt idx="86">
                  <c:v>2.4300000000000002</c:v>
                </c:pt>
                <c:pt idx="87">
                  <c:v>2.1</c:v>
                </c:pt>
                <c:pt idx="88">
                  <c:v>2.19</c:v>
                </c:pt>
                <c:pt idx="89">
                  <c:v>2.1</c:v>
                </c:pt>
                <c:pt idx="90">
                  <c:v>1.03</c:v>
                </c:pt>
                <c:pt idx="91">
                  <c:v>0.93</c:v>
                </c:pt>
                <c:pt idx="92">
                  <c:v>2.4700000000000002</c:v>
                </c:pt>
                <c:pt idx="93">
                  <c:v>1.88</c:v>
                </c:pt>
                <c:pt idx="94">
                  <c:v>1.69</c:v>
                </c:pt>
                <c:pt idx="95">
                  <c:v>1.34</c:v>
                </c:pt>
                <c:pt idx="96">
                  <c:v>2.14</c:v>
                </c:pt>
                <c:pt idx="97">
                  <c:v>0.95</c:v>
                </c:pt>
                <c:pt idx="98">
                  <c:v>0.38</c:v>
                </c:pt>
                <c:pt idx="99">
                  <c:v>1.96</c:v>
                </c:pt>
                <c:pt idx="100">
                  <c:v>2.25</c:v>
                </c:pt>
                <c:pt idx="101">
                  <c:v>1.63</c:v>
                </c:pt>
                <c:pt idx="102">
                  <c:v>0.68</c:v>
                </c:pt>
                <c:pt idx="103">
                  <c:v>2.0499999999999998</c:v>
                </c:pt>
                <c:pt idx="104">
                  <c:v>0.59</c:v>
                </c:pt>
                <c:pt idx="105">
                  <c:v>0.65</c:v>
                </c:pt>
                <c:pt idx="106">
                  <c:v>1.1299999999999999</c:v>
                </c:pt>
                <c:pt idx="107">
                  <c:v>1.08</c:v>
                </c:pt>
                <c:pt idx="108">
                  <c:v>1.2</c:v>
                </c:pt>
                <c:pt idx="109">
                  <c:v>1.19</c:v>
                </c:pt>
                <c:pt idx="110">
                  <c:v>1.53</c:v>
                </c:pt>
                <c:pt idx="111">
                  <c:v>0.32</c:v>
                </c:pt>
                <c:pt idx="112">
                  <c:v>0.54</c:v>
                </c:pt>
                <c:pt idx="113">
                  <c:v>1.08</c:v>
                </c:pt>
                <c:pt idx="114">
                  <c:v>1.07</c:v>
                </c:pt>
                <c:pt idx="115">
                  <c:v>1.28</c:v>
                </c:pt>
                <c:pt idx="116">
                  <c:v>0.65</c:v>
                </c:pt>
                <c:pt idx="117">
                  <c:v>0.55000000000000004</c:v>
                </c:pt>
                <c:pt idx="118">
                  <c:v>0.61</c:v>
                </c:pt>
                <c:pt idx="119">
                  <c:v>0.64</c:v>
                </c:pt>
                <c:pt idx="120">
                  <c:v>1.29</c:v>
                </c:pt>
                <c:pt idx="121">
                  <c:v>0.98</c:v>
                </c:pt>
                <c:pt idx="122">
                  <c:v>1.53</c:v>
                </c:pt>
                <c:pt idx="123">
                  <c:v>0.32</c:v>
                </c:pt>
                <c:pt idx="124">
                  <c:v>0.32</c:v>
                </c:pt>
                <c:pt idx="125">
                  <c:v>0.32</c:v>
                </c:pt>
                <c:pt idx="126">
                  <c:v>1.35</c:v>
                </c:pt>
                <c:pt idx="127">
                  <c:v>1.27</c:v>
                </c:pt>
                <c:pt idx="128">
                  <c:v>1.76</c:v>
                </c:pt>
                <c:pt idx="129">
                  <c:v>1.29</c:v>
                </c:pt>
                <c:pt idx="130">
                  <c:v>1.33</c:v>
                </c:pt>
                <c:pt idx="131">
                  <c:v>1.47</c:v>
                </c:pt>
                <c:pt idx="132">
                  <c:v>0.42</c:v>
                </c:pt>
                <c:pt idx="133">
                  <c:v>0.34</c:v>
                </c:pt>
                <c:pt idx="134">
                  <c:v>1.88</c:v>
                </c:pt>
                <c:pt idx="135">
                  <c:v>1.08</c:v>
                </c:pt>
                <c:pt idx="136">
                  <c:v>1.32</c:v>
                </c:pt>
                <c:pt idx="137">
                  <c:v>1.48</c:v>
                </c:pt>
                <c:pt idx="138">
                  <c:v>0.91</c:v>
                </c:pt>
                <c:pt idx="139">
                  <c:v>0.27</c:v>
                </c:pt>
                <c:pt idx="140">
                  <c:v>0.22</c:v>
                </c:pt>
                <c:pt idx="141">
                  <c:v>1.22</c:v>
                </c:pt>
                <c:pt idx="142">
                  <c:v>1.42</c:v>
                </c:pt>
                <c:pt idx="143">
                  <c:v>1.1599999999999999</c:v>
                </c:pt>
                <c:pt idx="144">
                  <c:v>0.89</c:v>
                </c:pt>
                <c:pt idx="145">
                  <c:v>1.19</c:v>
                </c:pt>
                <c:pt idx="146">
                  <c:v>0.21</c:v>
                </c:pt>
                <c:pt idx="147">
                  <c:v>0.34</c:v>
                </c:pt>
                <c:pt idx="148">
                  <c:v>1.17</c:v>
                </c:pt>
                <c:pt idx="149">
                  <c:v>2.0299999999999998</c:v>
                </c:pt>
                <c:pt idx="150">
                  <c:v>0.8</c:v>
                </c:pt>
                <c:pt idx="151">
                  <c:v>1.52</c:v>
                </c:pt>
                <c:pt idx="152">
                  <c:v>1.04</c:v>
                </c:pt>
                <c:pt idx="153">
                  <c:v>0.49</c:v>
                </c:pt>
                <c:pt idx="154">
                  <c:v>0.19</c:v>
                </c:pt>
                <c:pt idx="155">
                  <c:v>1.21</c:v>
                </c:pt>
                <c:pt idx="156">
                  <c:v>1.41</c:v>
                </c:pt>
                <c:pt idx="157">
                  <c:v>0.91</c:v>
                </c:pt>
                <c:pt idx="158">
                  <c:v>1.01</c:v>
                </c:pt>
                <c:pt idx="159">
                  <c:v>1</c:v>
                </c:pt>
                <c:pt idx="160">
                  <c:v>0.2</c:v>
                </c:pt>
                <c:pt idx="161">
                  <c:v>0.38</c:v>
                </c:pt>
                <c:pt idx="162">
                  <c:v>1.22</c:v>
                </c:pt>
                <c:pt idx="163">
                  <c:v>1.03</c:v>
                </c:pt>
                <c:pt idx="164">
                  <c:v>1.21</c:v>
                </c:pt>
                <c:pt idx="165">
                  <c:v>0.83</c:v>
                </c:pt>
                <c:pt idx="166">
                  <c:v>0.59</c:v>
                </c:pt>
                <c:pt idx="167">
                  <c:v>0.17</c:v>
                </c:pt>
                <c:pt idx="168">
                  <c:v>0.36</c:v>
                </c:pt>
                <c:pt idx="169">
                  <c:v>1.18</c:v>
                </c:pt>
                <c:pt idx="170">
                  <c:v>1.07</c:v>
                </c:pt>
                <c:pt idx="171">
                  <c:v>1</c:v>
                </c:pt>
                <c:pt idx="172">
                  <c:v>0.83</c:v>
                </c:pt>
                <c:pt idx="173">
                  <c:v>0.84</c:v>
                </c:pt>
                <c:pt idx="174">
                  <c:v>0.14000000000000001</c:v>
                </c:pt>
                <c:pt idx="175">
                  <c:v>0.23</c:v>
                </c:pt>
                <c:pt idx="176">
                  <c:v>0.85</c:v>
                </c:pt>
                <c:pt idx="177">
                  <c:v>1.03</c:v>
                </c:pt>
                <c:pt idx="178">
                  <c:v>0.67</c:v>
                </c:pt>
                <c:pt idx="179">
                  <c:v>0.54</c:v>
                </c:pt>
                <c:pt idx="180">
                  <c:v>0.47</c:v>
                </c:pt>
                <c:pt idx="181">
                  <c:v>0.17</c:v>
                </c:pt>
                <c:pt idx="182">
                  <c:v>0.26</c:v>
                </c:pt>
                <c:pt idx="183">
                  <c:v>0.78</c:v>
                </c:pt>
                <c:pt idx="184">
                  <c:v>0.84</c:v>
                </c:pt>
                <c:pt idx="185">
                  <c:v>0.92</c:v>
                </c:pt>
                <c:pt idx="186">
                  <c:v>0.76</c:v>
                </c:pt>
                <c:pt idx="187">
                  <c:v>0.38</c:v>
                </c:pt>
                <c:pt idx="188">
                  <c:v>0.08</c:v>
                </c:pt>
                <c:pt idx="189">
                  <c:v>0.42</c:v>
                </c:pt>
                <c:pt idx="190">
                  <c:v>0.1</c:v>
                </c:pt>
                <c:pt idx="191">
                  <c:v>0.89</c:v>
                </c:pt>
                <c:pt idx="192">
                  <c:v>0.62</c:v>
                </c:pt>
                <c:pt idx="193">
                  <c:v>0.7</c:v>
                </c:pt>
                <c:pt idx="194">
                  <c:v>0.42</c:v>
                </c:pt>
                <c:pt idx="195">
                  <c:v>0.18</c:v>
                </c:pt>
                <c:pt idx="196">
                  <c:v>0.37</c:v>
                </c:pt>
                <c:pt idx="197">
                  <c:v>0.67</c:v>
                </c:pt>
                <c:pt idx="198">
                  <c:v>0.48</c:v>
                </c:pt>
                <c:pt idx="199">
                  <c:v>0.33</c:v>
                </c:pt>
                <c:pt idx="200">
                  <c:v>0.09</c:v>
                </c:pt>
                <c:pt idx="201">
                  <c:v>0</c:v>
                </c:pt>
                <c:pt idx="202">
                  <c:v>0.36</c:v>
                </c:pt>
                <c:pt idx="203">
                  <c:v>0.2</c:v>
                </c:pt>
                <c:pt idx="204">
                  <c:v>0.55000000000000004</c:v>
                </c:pt>
                <c:pt idx="205">
                  <c:v>0.34</c:v>
                </c:pt>
                <c:pt idx="206">
                  <c:v>0.5</c:v>
                </c:pt>
                <c:pt idx="207">
                  <c:v>0.51</c:v>
                </c:pt>
                <c:pt idx="208">
                  <c:v>0.25</c:v>
                </c:pt>
                <c:pt idx="209">
                  <c:v>0.15</c:v>
                </c:pt>
                <c:pt idx="210">
                  <c:v>0.02</c:v>
                </c:pt>
                <c:pt idx="211">
                  <c:v>0.55000000000000004</c:v>
                </c:pt>
                <c:pt idx="212">
                  <c:v>0.38</c:v>
                </c:pt>
                <c:pt idx="213">
                  <c:v>0.52</c:v>
                </c:pt>
                <c:pt idx="214">
                  <c:v>0.24</c:v>
                </c:pt>
                <c:pt idx="215">
                  <c:v>0.24</c:v>
                </c:pt>
                <c:pt idx="216">
                  <c:v>0.08</c:v>
                </c:pt>
                <c:pt idx="217">
                  <c:v>0.11</c:v>
                </c:pt>
                <c:pt idx="218">
                  <c:v>0.41</c:v>
                </c:pt>
                <c:pt idx="219">
                  <c:v>0.42</c:v>
                </c:pt>
                <c:pt idx="220">
                  <c:v>0.25</c:v>
                </c:pt>
                <c:pt idx="221">
                  <c:v>0.22</c:v>
                </c:pt>
                <c:pt idx="222">
                  <c:v>0.4</c:v>
                </c:pt>
                <c:pt idx="223">
                  <c:v>0.04</c:v>
                </c:pt>
                <c:pt idx="224">
                  <c:v>0.03</c:v>
                </c:pt>
                <c:pt idx="225">
                  <c:v>0.25</c:v>
                </c:pt>
                <c:pt idx="226">
                  <c:v>0.32</c:v>
                </c:pt>
                <c:pt idx="227">
                  <c:v>0.32</c:v>
                </c:pt>
                <c:pt idx="228">
                  <c:v>0.31</c:v>
                </c:pt>
                <c:pt idx="229">
                  <c:v>0.12</c:v>
                </c:pt>
                <c:pt idx="230">
                  <c:v>0.19</c:v>
                </c:pt>
                <c:pt idx="231">
                  <c:v>0.01</c:v>
                </c:pt>
                <c:pt idx="232">
                  <c:v>0.51</c:v>
                </c:pt>
                <c:pt idx="233">
                  <c:v>0.46</c:v>
                </c:pt>
                <c:pt idx="234">
                  <c:v>0.17</c:v>
                </c:pt>
                <c:pt idx="235">
                  <c:v>0.26</c:v>
                </c:pt>
                <c:pt idx="236">
                  <c:v>0.22</c:v>
                </c:pt>
                <c:pt idx="237">
                  <c:v>0.06</c:v>
                </c:pt>
                <c:pt idx="238">
                  <c:v>0.1</c:v>
                </c:pt>
                <c:pt idx="239">
                  <c:v>0.39</c:v>
                </c:pt>
                <c:pt idx="240">
                  <c:v>0.19</c:v>
                </c:pt>
                <c:pt idx="241">
                  <c:v>0.06</c:v>
                </c:pt>
                <c:pt idx="242">
                  <c:v>0.17</c:v>
                </c:pt>
                <c:pt idx="243">
                  <c:v>0.21</c:v>
                </c:pt>
                <c:pt idx="244">
                  <c:v>0.04</c:v>
                </c:pt>
                <c:pt idx="245">
                  <c:v>0.03</c:v>
                </c:pt>
                <c:pt idx="246">
                  <c:v>0.3</c:v>
                </c:pt>
                <c:pt idx="247">
                  <c:v>0.28000000000000003</c:v>
                </c:pt>
                <c:pt idx="248">
                  <c:v>0.32</c:v>
                </c:pt>
                <c:pt idx="249">
                  <c:v>0.24</c:v>
                </c:pt>
                <c:pt idx="250">
                  <c:v>0.18</c:v>
                </c:pt>
                <c:pt idx="251">
                  <c:v>0.03</c:v>
                </c:pt>
                <c:pt idx="252">
                  <c:v>7.0000000000000007E-2</c:v>
                </c:pt>
                <c:pt idx="253">
                  <c:v>0.32</c:v>
                </c:pt>
                <c:pt idx="254">
                  <c:v>0.22</c:v>
                </c:pt>
                <c:pt idx="255">
                  <c:v>7.0000000000000007E-2</c:v>
                </c:pt>
                <c:pt idx="256">
                  <c:v>0.35</c:v>
                </c:pt>
                <c:pt idx="257">
                  <c:v>0.28000000000000003</c:v>
                </c:pt>
                <c:pt idx="258">
                  <c:v>0.04</c:v>
                </c:pt>
                <c:pt idx="259">
                  <c:v>0.08</c:v>
                </c:pt>
                <c:pt idx="260">
                  <c:v>0.33</c:v>
                </c:pt>
                <c:pt idx="261">
                  <c:v>0.49</c:v>
                </c:pt>
                <c:pt idx="262">
                  <c:v>0.38</c:v>
                </c:pt>
                <c:pt idx="263">
                  <c:v>0.45</c:v>
                </c:pt>
                <c:pt idx="264">
                  <c:v>-0.91</c:v>
                </c:pt>
                <c:pt idx="265">
                  <c:v>1.49</c:v>
                </c:pt>
                <c:pt idx="266">
                  <c:v>0.11</c:v>
                </c:pt>
                <c:pt idx="267">
                  <c:v>0.68</c:v>
                </c:pt>
                <c:pt idx="268">
                  <c:v>0.61</c:v>
                </c:pt>
                <c:pt idx="269">
                  <c:v>0.49</c:v>
                </c:pt>
                <c:pt idx="270">
                  <c:v>0.32</c:v>
                </c:pt>
                <c:pt idx="271">
                  <c:v>0.25</c:v>
                </c:pt>
                <c:pt idx="272">
                  <c:v>0.21</c:v>
                </c:pt>
                <c:pt idx="273">
                  <c:v>0.21</c:v>
                </c:pt>
                <c:pt idx="274">
                  <c:v>0.59</c:v>
                </c:pt>
                <c:pt idx="275">
                  <c:v>0.52</c:v>
                </c:pt>
                <c:pt idx="276">
                  <c:v>0.54</c:v>
                </c:pt>
                <c:pt idx="277">
                  <c:v>0.77</c:v>
                </c:pt>
                <c:pt idx="278">
                  <c:v>0.56000000000000005</c:v>
                </c:pt>
                <c:pt idx="279">
                  <c:v>0.28999999999999998</c:v>
                </c:pt>
                <c:pt idx="280">
                  <c:v>0.34</c:v>
                </c:pt>
                <c:pt idx="281">
                  <c:v>0.81</c:v>
                </c:pt>
                <c:pt idx="282">
                  <c:v>0.94</c:v>
                </c:pt>
                <c:pt idx="283">
                  <c:v>0.92</c:v>
                </c:pt>
                <c:pt idx="284">
                  <c:v>0.61</c:v>
                </c:pt>
                <c:pt idx="285">
                  <c:v>0.85</c:v>
                </c:pt>
                <c:pt idx="286">
                  <c:v>0.35</c:v>
                </c:pt>
                <c:pt idx="287">
                  <c:v>0.56999999999999995</c:v>
                </c:pt>
                <c:pt idx="288">
                  <c:v>1.03</c:v>
                </c:pt>
                <c:pt idx="289">
                  <c:v>1.62</c:v>
                </c:pt>
                <c:pt idx="290">
                  <c:v>1.1200000000000001</c:v>
                </c:pt>
                <c:pt idx="291">
                  <c:v>1.07</c:v>
                </c:pt>
                <c:pt idx="292">
                  <c:v>0.69</c:v>
                </c:pt>
                <c:pt idx="293">
                  <c:v>0.66</c:v>
                </c:pt>
                <c:pt idx="294">
                  <c:v>0.63</c:v>
                </c:pt>
                <c:pt idx="295">
                  <c:v>0.95</c:v>
                </c:pt>
                <c:pt idx="296">
                  <c:v>1.52</c:v>
                </c:pt>
                <c:pt idx="297">
                  <c:v>1.6</c:v>
                </c:pt>
                <c:pt idx="298">
                  <c:v>1.49</c:v>
                </c:pt>
                <c:pt idx="299">
                  <c:v>0</c:v>
                </c:pt>
                <c:pt idx="300">
                  <c:v>0.47</c:v>
                </c:pt>
                <c:pt idx="301">
                  <c:v>0.77</c:v>
                </c:pt>
                <c:pt idx="302">
                  <c:v>2.38</c:v>
                </c:pt>
                <c:pt idx="303">
                  <c:v>2.8</c:v>
                </c:pt>
                <c:pt idx="304">
                  <c:v>2.87</c:v>
                </c:pt>
                <c:pt idx="305">
                  <c:v>2</c:v>
                </c:pt>
              </c:numCache>
            </c:numRef>
          </c:val>
          <c:smooth val="0"/>
          <c:extLst>
            <c:ext xmlns:c16="http://schemas.microsoft.com/office/drawing/2014/chart" uri="{C3380CC4-5D6E-409C-BE32-E72D297353CC}">
              <c16:uniqueId val="{00000000-7FA9-437F-B43C-01AE42DF6269}"/>
            </c:ext>
          </c:extLst>
        </c:ser>
        <c:dLbls>
          <c:showLegendKey val="0"/>
          <c:showVal val="0"/>
          <c:showCatName val="0"/>
          <c:showSerName val="0"/>
          <c:showPercent val="0"/>
          <c:showBubbleSize val="0"/>
        </c:dLbls>
        <c:smooth val="0"/>
        <c:axId val="1420784143"/>
        <c:axId val="1418735535"/>
      </c:lineChart>
      <c:dateAx>
        <c:axId val="1420784143"/>
        <c:scaling>
          <c:orientation val="minMax"/>
          <c:max val="44196"/>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735535"/>
        <c:crosses val="autoZero"/>
        <c:auto val="0"/>
        <c:lblOffset val="100"/>
        <c:baseTimeUnit val="days"/>
        <c:majorUnit val="14"/>
        <c:majorTimeUnit val="days"/>
      </c:dateAx>
      <c:valAx>
        <c:axId val="1418735535"/>
        <c:scaling>
          <c:logBase val="10"/>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7841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133350</xdr:colOff>
      <xdr:row>16</xdr:row>
      <xdr:rowOff>4761</xdr:rowOff>
    </xdr:from>
    <xdr:to>
      <xdr:col>21</xdr:col>
      <xdr:colOff>133350</xdr:colOff>
      <xdr:row>52</xdr:row>
      <xdr:rowOff>0</xdr:rowOff>
    </xdr:to>
    <xdr:graphicFrame macro="">
      <xdr:nvGraphicFramePr>
        <xdr:cNvPr id="2" name="Chart 1">
          <a:extLst>
            <a:ext uri="{FF2B5EF4-FFF2-40B4-BE49-F238E27FC236}">
              <a16:creationId xmlns:a16="http://schemas.microsoft.com/office/drawing/2014/main" id="{3064C913-54BC-484B-978E-7E5DD8884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600074</xdr:colOff>
      <xdr:row>0</xdr:row>
      <xdr:rowOff>180975</xdr:rowOff>
    </xdr:from>
    <xdr:to>
      <xdr:col>25</xdr:col>
      <xdr:colOff>609599</xdr:colOff>
      <xdr:row>35</xdr:row>
      <xdr:rowOff>0</xdr:rowOff>
    </xdr:to>
    <xdr:graphicFrame macro="">
      <xdr:nvGraphicFramePr>
        <xdr:cNvPr id="8" name="Chart 7">
          <a:extLst>
            <a:ext uri="{FF2B5EF4-FFF2-40B4-BE49-F238E27FC236}">
              <a16:creationId xmlns:a16="http://schemas.microsoft.com/office/drawing/2014/main" id="{EC9F3842-E332-4725-98DA-B9CD672FB7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0.05934</cdr:x>
      <cdr:y>0.36711</cdr:y>
    </cdr:from>
    <cdr:to>
      <cdr:x>0.98626</cdr:x>
      <cdr:y>0.36711</cdr:y>
    </cdr:to>
    <cdr:cxnSp macro="">
      <cdr:nvCxnSpPr>
        <cdr:cNvPr id="4" name="Straight Connector 3">
          <a:extLst xmlns:a="http://schemas.openxmlformats.org/drawingml/2006/main">
            <a:ext uri="{FF2B5EF4-FFF2-40B4-BE49-F238E27FC236}">
              <a16:creationId xmlns:a16="http://schemas.microsoft.com/office/drawing/2014/main" id="{3B5FDDF1-BC23-4E65-9E63-5D3985C6BFAC}"/>
            </a:ext>
          </a:extLst>
        </cdr:cNvPr>
        <cdr:cNvCxnSpPr/>
      </cdr:nvCxnSpPr>
      <cdr:spPr>
        <a:xfrm xmlns:a="http://schemas.openxmlformats.org/drawingml/2006/main">
          <a:off x="904907" y="2381276"/>
          <a:ext cx="14135090" cy="0"/>
        </a:xfrm>
        <a:prstGeom xmlns:a="http://schemas.openxmlformats.org/drawingml/2006/main" prst="line">
          <a:avLst/>
        </a:prstGeom>
        <a:ln xmlns:a="http://schemas.openxmlformats.org/drawingml/2006/main" w="25400">
          <a:solidFill>
            <a:schemeClr val="tx1"/>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0.06559</cdr:x>
      <cdr:y>0.32745</cdr:y>
    </cdr:from>
    <cdr:to>
      <cdr:x>0.17115</cdr:x>
      <cdr:y>0.37738</cdr:y>
    </cdr:to>
    <cdr:sp macro="" textlink="">
      <cdr:nvSpPr>
        <cdr:cNvPr id="5" name="TextBox 4">
          <a:extLst xmlns:a="http://schemas.openxmlformats.org/drawingml/2006/main">
            <a:ext uri="{FF2B5EF4-FFF2-40B4-BE49-F238E27FC236}">
              <a16:creationId xmlns:a16="http://schemas.microsoft.com/office/drawing/2014/main" id="{DD580542-2441-43DF-9A25-D12BA331EA78}"/>
            </a:ext>
          </a:extLst>
        </cdr:cNvPr>
        <cdr:cNvSpPr txBox="1"/>
      </cdr:nvSpPr>
      <cdr:spPr>
        <a:xfrm xmlns:a="http://schemas.openxmlformats.org/drawingml/2006/main">
          <a:off x="1000206" y="2124034"/>
          <a:ext cx="1609739" cy="3238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1% LAC Total Population</a:t>
          </a:r>
        </a:p>
      </cdr:txBody>
    </cdr:sp>
  </cdr:relSizeAnchor>
  <cdr:relSizeAnchor xmlns:cdr="http://schemas.openxmlformats.org/drawingml/2006/chartDrawing">
    <cdr:from>
      <cdr:x>0.06016</cdr:x>
      <cdr:y>0.18258</cdr:y>
    </cdr:from>
    <cdr:to>
      <cdr:x>0.98708</cdr:x>
      <cdr:y>0.18258</cdr:y>
    </cdr:to>
    <cdr:cxnSp macro="">
      <cdr:nvCxnSpPr>
        <cdr:cNvPr id="7" name="Straight Connector 6">
          <a:extLst xmlns:a="http://schemas.openxmlformats.org/drawingml/2006/main">
            <a:ext uri="{FF2B5EF4-FFF2-40B4-BE49-F238E27FC236}">
              <a16:creationId xmlns:a16="http://schemas.microsoft.com/office/drawing/2014/main" id="{E1CADAB9-B429-4BC9-958B-BB43DA9DB44E}"/>
            </a:ext>
          </a:extLst>
        </cdr:cNvPr>
        <cdr:cNvCxnSpPr/>
      </cdr:nvCxnSpPr>
      <cdr:spPr>
        <a:xfrm xmlns:a="http://schemas.openxmlformats.org/drawingml/2006/main">
          <a:off x="917411" y="1184287"/>
          <a:ext cx="14135090" cy="0"/>
        </a:xfrm>
        <a:prstGeom xmlns:a="http://schemas.openxmlformats.org/drawingml/2006/main" prst="line">
          <a:avLst/>
        </a:prstGeom>
        <a:ln xmlns:a="http://schemas.openxmlformats.org/drawingml/2006/main" w="25400">
          <a:solidFill>
            <a:schemeClr val="tx1"/>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0.06371</cdr:x>
      <cdr:y>0.14096</cdr:y>
    </cdr:from>
    <cdr:to>
      <cdr:x>0.198</cdr:x>
      <cdr:y>0.20557</cdr:y>
    </cdr:to>
    <cdr:sp macro="" textlink="">
      <cdr:nvSpPr>
        <cdr:cNvPr id="2" name="TextBox 1">
          <a:extLst xmlns:a="http://schemas.openxmlformats.org/drawingml/2006/main">
            <a:ext uri="{FF2B5EF4-FFF2-40B4-BE49-F238E27FC236}">
              <a16:creationId xmlns:a16="http://schemas.microsoft.com/office/drawing/2014/main" id="{4EF8AD26-27FA-467D-A584-F893A4027753}"/>
            </a:ext>
          </a:extLst>
        </cdr:cNvPr>
        <cdr:cNvSpPr txBox="1"/>
      </cdr:nvSpPr>
      <cdr:spPr>
        <a:xfrm xmlns:a="http://schemas.openxmlformats.org/drawingml/2006/main">
          <a:off x="971619" y="914362"/>
          <a:ext cx="2047858" cy="4190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Herd</a:t>
          </a:r>
          <a:r>
            <a:rPr lang="en-US" sz="1100" b="1" baseline="0"/>
            <a:t> Immunity (for R</a:t>
          </a:r>
          <a:r>
            <a:rPr lang="en-US" sz="1100" b="1" baseline="-25000"/>
            <a:t>0</a:t>
          </a:r>
          <a:r>
            <a:rPr lang="en-US" sz="1100" b="1" baseline="0"/>
            <a:t> = 2)</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609599</xdr:colOff>
      <xdr:row>0</xdr:row>
      <xdr:rowOff>190499</xdr:rowOff>
    </xdr:from>
    <xdr:to>
      <xdr:col>25</xdr:col>
      <xdr:colOff>600074</xdr:colOff>
      <xdr:row>35</xdr:row>
      <xdr:rowOff>9524</xdr:rowOff>
    </xdr:to>
    <xdr:graphicFrame macro="">
      <xdr:nvGraphicFramePr>
        <xdr:cNvPr id="2" name="Chart 1">
          <a:extLst>
            <a:ext uri="{FF2B5EF4-FFF2-40B4-BE49-F238E27FC236}">
              <a16:creationId xmlns:a16="http://schemas.microsoft.com/office/drawing/2014/main" id="{9B2B6F98-0AF5-44B0-9F52-965B68618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600075</xdr:colOff>
      <xdr:row>1</xdr:row>
      <xdr:rowOff>0</xdr:rowOff>
    </xdr:from>
    <xdr:to>
      <xdr:col>26</xdr:col>
      <xdr:colOff>9525</xdr:colOff>
      <xdr:row>34</xdr:row>
      <xdr:rowOff>180975</xdr:rowOff>
    </xdr:to>
    <xdr:graphicFrame macro="">
      <xdr:nvGraphicFramePr>
        <xdr:cNvPr id="2" name="Chart 1">
          <a:extLst>
            <a:ext uri="{FF2B5EF4-FFF2-40B4-BE49-F238E27FC236}">
              <a16:creationId xmlns:a16="http://schemas.microsoft.com/office/drawing/2014/main" id="{287A2B22-7297-4E16-844E-5286C7E0CB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609599</xdr:colOff>
      <xdr:row>1</xdr:row>
      <xdr:rowOff>4761</xdr:rowOff>
    </xdr:from>
    <xdr:to>
      <xdr:col>25</xdr:col>
      <xdr:colOff>600074</xdr:colOff>
      <xdr:row>34</xdr:row>
      <xdr:rowOff>180974</xdr:rowOff>
    </xdr:to>
    <xdr:graphicFrame macro="">
      <xdr:nvGraphicFramePr>
        <xdr:cNvPr id="2" name="Chart 1">
          <a:extLst>
            <a:ext uri="{FF2B5EF4-FFF2-40B4-BE49-F238E27FC236}">
              <a16:creationId xmlns:a16="http://schemas.microsoft.com/office/drawing/2014/main" id="{08F64939-0869-4AFB-AF9F-E8F0CCD645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9525</xdr:colOff>
      <xdr:row>1</xdr:row>
      <xdr:rowOff>1</xdr:rowOff>
    </xdr:from>
    <xdr:to>
      <xdr:col>26</xdr:col>
      <xdr:colOff>0</xdr:colOff>
      <xdr:row>35</xdr:row>
      <xdr:rowOff>19051</xdr:rowOff>
    </xdr:to>
    <xdr:graphicFrame macro="">
      <xdr:nvGraphicFramePr>
        <xdr:cNvPr id="4" name="Chart 3">
          <a:extLst>
            <a:ext uri="{FF2B5EF4-FFF2-40B4-BE49-F238E27FC236}">
              <a16:creationId xmlns:a16="http://schemas.microsoft.com/office/drawing/2014/main" id="{FBD92E40-CFE8-427A-B83D-A28CF026F6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9524</xdr:colOff>
      <xdr:row>1</xdr:row>
      <xdr:rowOff>4761</xdr:rowOff>
    </xdr:from>
    <xdr:to>
      <xdr:col>26</xdr:col>
      <xdr:colOff>0</xdr:colOff>
      <xdr:row>35</xdr:row>
      <xdr:rowOff>28575</xdr:rowOff>
    </xdr:to>
    <xdr:graphicFrame macro="">
      <xdr:nvGraphicFramePr>
        <xdr:cNvPr id="2" name="Chart 1">
          <a:extLst>
            <a:ext uri="{FF2B5EF4-FFF2-40B4-BE49-F238E27FC236}">
              <a16:creationId xmlns:a16="http://schemas.microsoft.com/office/drawing/2014/main" id="{7B8F5466-9209-44F4-B262-2040A00CB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547BF-A3A8-472E-972B-8365F8CBD330}">
  <sheetPr>
    <tabColor theme="9" tint="-0.249977111117893"/>
  </sheetPr>
  <dimension ref="A1:L35"/>
  <sheetViews>
    <sheetView workbookViewId="0">
      <pane ySplit="2" topLeftCell="A8" activePane="bottomLeft" state="frozen"/>
      <selection pane="bottomLeft" activeCell="B20" sqref="B20"/>
    </sheetView>
  </sheetViews>
  <sheetFormatPr defaultRowHeight="15" x14ac:dyDescent="0.25"/>
  <cols>
    <col min="1" max="1" width="24.140625" style="1" bestFit="1" customWidth="1"/>
    <col min="2" max="2" width="11.85546875" style="5" bestFit="1" customWidth="1"/>
    <col min="3" max="3" width="9.85546875" style="25" bestFit="1" customWidth="1"/>
    <col min="4" max="4" width="13.28515625" style="35" bestFit="1" customWidth="1"/>
    <col min="5" max="5" width="10.85546875" style="6" bestFit="1" customWidth="1"/>
    <col min="6" max="6" width="9.5703125" style="22" bestFit="1" customWidth="1"/>
    <col min="7" max="7" width="7.140625" style="6" bestFit="1" customWidth="1"/>
    <col min="8" max="8" width="8.42578125" style="35" bestFit="1" customWidth="1"/>
    <col min="9" max="9" width="8.5703125" style="9" bestFit="1" customWidth="1"/>
    <col min="10" max="10" width="14.5703125" style="43" bestFit="1" customWidth="1"/>
    <col min="11" max="11" width="9.140625" style="1"/>
    <col min="12" max="12" width="50.140625" style="49" bestFit="1" customWidth="1"/>
    <col min="13" max="16384" width="9.140625" style="1"/>
  </cols>
  <sheetData>
    <row r="1" spans="1:12" x14ac:dyDescent="0.25">
      <c r="A1" s="144" t="s">
        <v>22</v>
      </c>
      <c r="B1" s="1"/>
    </row>
    <row r="2" spans="1:12" x14ac:dyDescent="0.25">
      <c r="A2" s="146" t="s">
        <v>240</v>
      </c>
      <c r="B2" s="145"/>
    </row>
    <row r="3" spans="1:12" x14ac:dyDescent="0.25">
      <c r="A3" s="144"/>
      <c r="B3" s="145"/>
    </row>
    <row r="4" spans="1:12" s="71" customFormat="1" ht="30" x14ac:dyDescent="0.25">
      <c r="B4" s="72" t="s">
        <v>17</v>
      </c>
      <c r="C4" s="72" t="s">
        <v>18</v>
      </c>
      <c r="D4" s="18" t="s">
        <v>109</v>
      </c>
      <c r="E4" s="73"/>
      <c r="F4" s="74"/>
      <c r="G4" s="73"/>
      <c r="H4" s="75"/>
      <c r="I4" s="76"/>
      <c r="J4" s="77"/>
      <c r="L4" s="50" t="s">
        <v>8</v>
      </c>
    </row>
    <row r="5" spans="1:12" x14ac:dyDescent="0.25">
      <c r="A5" s="31" t="s">
        <v>16</v>
      </c>
      <c r="B5" s="32">
        <v>43891</v>
      </c>
      <c r="C5" s="33">
        <v>44074</v>
      </c>
      <c r="D5" s="19">
        <v>184</v>
      </c>
    </row>
    <row r="6" spans="1:12" x14ac:dyDescent="0.25">
      <c r="A6" s="31" t="s">
        <v>21</v>
      </c>
      <c r="B6" s="33">
        <v>43913</v>
      </c>
      <c r="C6" s="33">
        <v>44074</v>
      </c>
      <c r="D6" s="19">
        <v>162</v>
      </c>
    </row>
    <row r="8" spans="1:12" ht="30" x14ac:dyDescent="0.25">
      <c r="A8" s="46" t="s">
        <v>50</v>
      </c>
      <c r="B8" s="5">
        <v>10039107</v>
      </c>
      <c r="L8" s="51" t="s">
        <v>37</v>
      </c>
    </row>
    <row r="9" spans="1:12" ht="30" x14ac:dyDescent="0.25">
      <c r="A9" s="46" t="s">
        <v>298</v>
      </c>
      <c r="B9" s="5">
        <v>329996011</v>
      </c>
      <c r="L9" s="51" t="s">
        <v>297</v>
      </c>
    </row>
    <row r="10" spans="1:12" x14ac:dyDescent="0.25">
      <c r="A10" s="78"/>
      <c r="B10" s="79"/>
      <c r="C10" s="80"/>
      <c r="D10" s="81"/>
      <c r="E10" s="82"/>
      <c r="F10" s="83"/>
      <c r="G10" s="82"/>
      <c r="H10" s="81"/>
      <c r="I10" s="84"/>
      <c r="J10" s="85"/>
      <c r="K10" s="86"/>
      <c r="L10" s="87"/>
    </row>
    <row r="11" spans="1:12" s="30" customFormat="1" ht="45" x14ac:dyDescent="0.25">
      <c r="B11" s="16" t="s">
        <v>19</v>
      </c>
      <c r="C11" s="18" t="s">
        <v>36</v>
      </c>
      <c r="D11" s="34" t="s">
        <v>32</v>
      </c>
      <c r="E11" s="24" t="s">
        <v>215</v>
      </c>
      <c r="F11" s="21" t="s">
        <v>216</v>
      </c>
      <c r="G11" s="16" t="s">
        <v>20</v>
      </c>
      <c r="H11" s="34" t="s">
        <v>241</v>
      </c>
      <c r="I11" s="28" t="s">
        <v>24</v>
      </c>
      <c r="J11" s="41" t="s">
        <v>217</v>
      </c>
      <c r="L11" s="149" t="s">
        <v>242</v>
      </c>
    </row>
    <row r="12" spans="1:12" x14ac:dyDescent="0.25">
      <c r="B12" s="6"/>
      <c r="C12" s="5"/>
      <c r="E12" s="25"/>
    </row>
    <row r="13" spans="1:12" x14ac:dyDescent="0.25">
      <c r="A13" s="27" t="s">
        <v>10</v>
      </c>
      <c r="B13" s="6">
        <f>ROUND(AVERAGE(Data!C:C),0)</f>
        <v>2792</v>
      </c>
      <c r="C13" s="19">
        <f>ROUND(AVERAGE(Data!D:D),2)</f>
        <v>2.71</v>
      </c>
      <c r="D13" s="35">
        <f>ROUND(AVERAGE(Data!E:E),0)</f>
        <v>246</v>
      </c>
      <c r="E13" s="25">
        <f>ROUND(AVERAGE(Data!F:F),0)</f>
        <v>2388</v>
      </c>
      <c r="F13" s="22">
        <f>ROUND(AVERAGE(Data!G:G),0)</f>
        <v>28</v>
      </c>
      <c r="G13" s="6">
        <f>ROUND(AVERAGE(Data!I:I),0)</f>
        <v>37</v>
      </c>
      <c r="H13" s="35">
        <f>ROUND(AVERAGE(Data!J:J),2)</f>
        <v>2.8</v>
      </c>
      <c r="I13" s="9">
        <f>ROUND(AVERAGE(Data!K:K),2)</f>
        <v>2.78</v>
      </c>
      <c r="J13" s="43">
        <f>ROUND(AVERAGE(Data!L:L),0)</f>
        <v>50</v>
      </c>
    </row>
    <row r="14" spans="1:12" x14ac:dyDescent="0.25">
      <c r="A14" s="27" t="s">
        <v>11</v>
      </c>
      <c r="B14" s="6">
        <f>ROUND(MEDIAN(Data!C:C),0)</f>
        <v>1408</v>
      </c>
      <c r="C14" s="19">
        <f>ROUND(MEDIAN(Data!D:D),2)</f>
        <v>1.65</v>
      </c>
      <c r="D14" s="35">
        <f>ROUND(MEDIAN(Data!E:E),0)</f>
        <v>163</v>
      </c>
      <c r="E14" s="25">
        <f>ROUND(MEDIAN(Data!F:F),0)</f>
        <v>2223</v>
      </c>
      <c r="F14" s="22">
        <f>ROUND(MEDIAN(Data!G:G),0)</f>
        <v>14</v>
      </c>
      <c r="G14" s="6">
        <f>ROUND(MEDIAN(Data!I:I),0)</f>
        <v>31</v>
      </c>
      <c r="H14" s="35">
        <f>ROUND(MEDIAN(Data!J:J),2)</f>
        <v>0.83</v>
      </c>
      <c r="I14" s="9">
        <f>ROUND(MEDIAN(Data!K:K),2)</f>
        <v>2.42</v>
      </c>
      <c r="J14" s="43">
        <f>ROUND(MEDIAN(Data!L:L),0)</f>
        <v>53</v>
      </c>
    </row>
    <row r="15" spans="1:12" x14ac:dyDescent="0.25">
      <c r="A15" s="27" t="s">
        <v>12</v>
      </c>
      <c r="B15" s="6">
        <f>ROUND(_xlfn.MODE.SNGL(Data!C:C),0)</f>
        <v>2442</v>
      </c>
      <c r="C15" s="19">
        <f>ROUND(_xlfn.MODE.SNGL(Data!D:D),2)</f>
        <v>0.45</v>
      </c>
      <c r="D15" s="35">
        <f>ROUND(_xlfn.MODE.SNGL(Data!E:E),0)</f>
        <v>44</v>
      </c>
      <c r="E15" s="25">
        <f>ROUND(_xlfn.MODE.SNGL(Data!F:F),0)</f>
        <v>7037</v>
      </c>
      <c r="F15" s="22">
        <f>ROUND(_xlfn.MODE.SNGL(Data!G:G),0)</f>
        <v>10</v>
      </c>
      <c r="G15" s="6">
        <f>ROUND(_xlfn.MODE.SNGL(Data!I:I),0)</f>
        <v>46</v>
      </c>
      <c r="H15" s="35">
        <f>ROUND(_xlfn.MODE.SNGL(Data!J:J),2)</f>
        <v>0.32</v>
      </c>
      <c r="I15" s="9">
        <f>ROUND(_xlfn.MODE.SNGL(Data!K:K),2)</f>
        <v>2.39</v>
      </c>
      <c r="J15" s="43">
        <f>ROUND(_xlfn.MODE.SNGL(Data!L:L),2)</f>
        <v>70</v>
      </c>
    </row>
    <row r="16" spans="1:12" x14ac:dyDescent="0.25">
      <c r="A16" s="142"/>
      <c r="B16" s="6"/>
      <c r="C16" s="6"/>
      <c r="E16" s="25"/>
    </row>
    <row r="17" spans="1:12" ht="75" x14ac:dyDescent="0.25">
      <c r="A17" s="27" t="s">
        <v>14</v>
      </c>
      <c r="B17" s="47">
        <f>MAX(Data!C:C)</f>
        <v>29149</v>
      </c>
      <c r="C17" s="48">
        <f>MAX(Data!D:D)</f>
        <v>52.19</v>
      </c>
      <c r="D17" s="35">
        <f>MAX(Data!E:E)</f>
        <v>3429</v>
      </c>
      <c r="E17" s="25">
        <f>MAX(Data!F:F)</f>
        <v>11602</v>
      </c>
      <c r="F17" s="22">
        <f>MAX(Data!G:G)</f>
        <v>290</v>
      </c>
      <c r="G17" s="47">
        <f>MAX(Data!I:I)</f>
        <v>289</v>
      </c>
      <c r="H17" s="52">
        <f>MAX(Data!J:J)</f>
        <v>61.54</v>
      </c>
      <c r="I17" s="9">
        <f>MAX(Data!K:K)</f>
        <v>4.8600000000000003</v>
      </c>
      <c r="J17" s="43">
        <f>MAX(Data!L:L)</f>
        <v>189</v>
      </c>
      <c r="L17" s="129" t="s">
        <v>294</v>
      </c>
    </row>
    <row r="18" spans="1:12" x14ac:dyDescent="0.25">
      <c r="A18" s="27" t="s">
        <v>15</v>
      </c>
      <c r="B18" s="6">
        <f>MIN(Data!C:C)</f>
        <v>0</v>
      </c>
      <c r="C18" s="19">
        <f>MIN(Data!D:D)</f>
        <v>0</v>
      </c>
      <c r="D18" s="35">
        <f>MIN(Data!E:E)</f>
        <v>0</v>
      </c>
      <c r="E18" s="25">
        <f>MIN(Data!F:F)</f>
        <v>5</v>
      </c>
      <c r="F18" s="22">
        <f>MIN(Data!G:G)</f>
        <v>0</v>
      </c>
      <c r="G18" s="6">
        <f>MIN(Data!I:I)</f>
        <v>-67</v>
      </c>
      <c r="H18" s="35">
        <f>MIN(Data!J:J)</f>
        <v>-0.91</v>
      </c>
      <c r="I18" s="9">
        <f>MIN(Data!K:K)</f>
        <v>1.3</v>
      </c>
      <c r="J18" s="43">
        <f>MIN(Data!L:L)</f>
        <v>0</v>
      </c>
    </row>
    <row r="19" spans="1:12" x14ac:dyDescent="0.25">
      <c r="A19" s="89"/>
      <c r="B19" s="82"/>
      <c r="C19" s="90"/>
      <c r="D19" s="81"/>
      <c r="E19" s="80"/>
      <c r="F19" s="83"/>
      <c r="G19" s="82"/>
      <c r="H19" s="81"/>
      <c r="I19" s="84"/>
      <c r="J19" s="85"/>
      <c r="K19" s="86"/>
      <c r="L19" s="88"/>
    </row>
    <row r="20" spans="1:12" ht="90" x14ac:dyDescent="0.25">
      <c r="A20" s="143" t="s">
        <v>85</v>
      </c>
      <c r="B20" s="57">
        <v>2.2799999999999998</v>
      </c>
      <c r="L20" s="51" t="s">
        <v>290</v>
      </c>
    </row>
    <row r="21" spans="1:12" x14ac:dyDescent="0.25">
      <c r="A21" s="46" t="s">
        <v>46</v>
      </c>
      <c r="B21" s="5">
        <f>B20*B22</f>
        <v>0.32571428571428568</v>
      </c>
      <c r="L21" s="51"/>
    </row>
    <row r="22" spans="1:12" x14ac:dyDescent="0.25">
      <c r="A22" s="46" t="s">
        <v>47</v>
      </c>
      <c r="B22" s="5">
        <f>1/B23</f>
        <v>0.14285714285714285</v>
      </c>
      <c r="L22" s="51"/>
    </row>
    <row r="23" spans="1:12" ht="30" x14ac:dyDescent="0.25">
      <c r="A23" s="143" t="s">
        <v>48</v>
      </c>
      <c r="B23" s="57">
        <v>7</v>
      </c>
      <c r="L23" s="51" t="s">
        <v>288</v>
      </c>
    </row>
    <row r="24" spans="1:12" ht="60" x14ac:dyDescent="0.25">
      <c r="A24" s="46" t="s">
        <v>221</v>
      </c>
      <c r="B24" s="133">
        <f>ROUND((1-(1/B20))*100,2)</f>
        <v>56.14</v>
      </c>
      <c r="L24" s="51" t="s">
        <v>222</v>
      </c>
    </row>
    <row r="25" spans="1:12" x14ac:dyDescent="0.25">
      <c r="A25" s="89"/>
      <c r="B25" s="82"/>
      <c r="C25" s="90"/>
      <c r="D25" s="81"/>
      <c r="E25" s="80"/>
      <c r="F25" s="83"/>
      <c r="G25" s="82"/>
      <c r="H25" s="81"/>
      <c r="I25" s="84"/>
      <c r="J25" s="85"/>
      <c r="K25" s="86"/>
      <c r="L25" s="88"/>
    </row>
    <row r="26" spans="1:12" ht="30" x14ac:dyDescent="0.25">
      <c r="A26" s="249" t="s">
        <v>42</v>
      </c>
      <c r="B26" s="249"/>
      <c r="L26" s="51" t="s">
        <v>53</v>
      </c>
    </row>
    <row r="27" spans="1:12" ht="30" x14ac:dyDescent="0.25">
      <c r="A27" s="46" t="s">
        <v>82</v>
      </c>
      <c r="B27" s="5">
        <f>B8</f>
        <v>10039107</v>
      </c>
      <c r="L27" s="51" t="s">
        <v>43</v>
      </c>
    </row>
    <row r="28" spans="1:12" ht="30" x14ac:dyDescent="0.25">
      <c r="A28" s="46" t="s">
        <v>83</v>
      </c>
      <c r="B28" s="5">
        <f>Data!B25</f>
        <v>536</v>
      </c>
      <c r="L28" s="51" t="s">
        <v>44</v>
      </c>
    </row>
    <row r="29" spans="1:12" ht="30" x14ac:dyDescent="0.25">
      <c r="A29" s="46" t="s">
        <v>84</v>
      </c>
      <c r="B29" s="5">
        <v>0</v>
      </c>
      <c r="L29" s="51" t="s">
        <v>45</v>
      </c>
    </row>
    <row r="30" spans="1:12" x14ac:dyDescent="0.25">
      <c r="B30" s="1"/>
      <c r="C30" s="1"/>
      <c r="D30" s="1"/>
      <c r="E30" s="1"/>
      <c r="F30" s="1"/>
      <c r="G30" s="1"/>
      <c r="H30" s="1"/>
      <c r="I30" s="1"/>
      <c r="J30" s="1"/>
      <c r="L30" s="1"/>
    </row>
    <row r="31" spans="1:12" ht="45" x14ac:dyDescent="0.25">
      <c r="A31" s="249" t="s">
        <v>54</v>
      </c>
      <c r="B31" s="249"/>
      <c r="L31" s="51" t="s">
        <v>58</v>
      </c>
    </row>
    <row r="32" spans="1:12" x14ac:dyDescent="0.25">
      <c r="A32" s="46" t="s">
        <v>106</v>
      </c>
      <c r="B32" s="5">
        <f>B21-B22</f>
        <v>0.18285714285714283</v>
      </c>
      <c r="L32" s="51" t="s">
        <v>57</v>
      </c>
    </row>
    <row r="33" spans="1:12" ht="45" x14ac:dyDescent="0.25">
      <c r="A33" s="46" t="s">
        <v>107</v>
      </c>
      <c r="B33" s="5">
        <f>ROUND((1-(B22/B21))*B8,0)</f>
        <v>5635990</v>
      </c>
      <c r="L33" s="51" t="s">
        <v>49</v>
      </c>
    </row>
    <row r="34" spans="1:12" x14ac:dyDescent="0.25">
      <c r="A34" s="46" t="s">
        <v>108</v>
      </c>
      <c r="B34" s="5">
        <f>ROUND((B33/B28)-1,0)</f>
        <v>10514</v>
      </c>
      <c r="L34" s="51" t="s">
        <v>59</v>
      </c>
    </row>
    <row r="35" spans="1:12" x14ac:dyDescent="0.25">
      <c r="A35" s="86"/>
      <c r="B35" s="79"/>
      <c r="C35" s="80"/>
      <c r="D35" s="81"/>
      <c r="E35" s="82"/>
      <c r="F35" s="83"/>
      <c r="G35" s="82"/>
      <c r="H35" s="81"/>
      <c r="I35" s="84"/>
      <c r="J35" s="85"/>
      <c r="K35" s="86"/>
      <c r="L35" s="88"/>
    </row>
  </sheetData>
  <mergeCells count="2">
    <mergeCell ref="A31:B31"/>
    <mergeCell ref="A26:B26"/>
  </mergeCells>
  <pageMargins left="0.7" right="0.7" top="0.75" bottom="0.75" header="0.3" footer="0.3"/>
  <pageSetup orientation="portrait" horizontalDpi="4294967293" verticalDpi="0" r:id="rId1"/>
  <ignoredErrors>
    <ignoredError sqref="E15" evalError="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33D9E-5CA1-4D45-998B-A4320A071E0C}">
  <sheetPr>
    <tabColor rgb="FF7030A0"/>
  </sheetPr>
  <dimension ref="A1"/>
  <sheetViews>
    <sheetView workbookViewId="0">
      <selection activeCell="A2" sqref="A2"/>
    </sheetView>
  </sheetViews>
  <sheetFormatPr defaultRowHeight="1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95731-6875-420E-925A-2425C9F4E3E7}">
  <sheetPr>
    <tabColor theme="2" tint="-0.499984740745262"/>
    <pageSetUpPr fitToPage="1"/>
  </sheetPr>
  <dimension ref="A1:E20"/>
  <sheetViews>
    <sheetView workbookViewId="0">
      <pane ySplit="3" topLeftCell="A4" activePane="bottomLeft" state="frozen"/>
      <selection pane="bottomLeft"/>
    </sheetView>
  </sheetViews>
  <sheetFormatPr defaultColWidth="45.85546875" defaultRowHeight="15" x14ac:dyDescent="0.25"/>
  <cols>
    <col min="1" max="1" width="38.28515625" style="49" bestFit="1" customWidth="1"/>
    <col min="2" max="2" width="54.140625" style="49" bestFit="1" customWidth="1"/>
    <col min="3" max="3" width="13.85546875" style="66" bestFit="1" customWidth="1"/>
    <col min="4" max="4" width="18.28515625" style="67" bestFit="1" customWidth="1"/>
    <col min="5" max="5" width="7.28515625" style="137" bestFit="1" customWidth="1"/>
    <col min="6" max="16384" width="45.85546875" style="49"/>
  </cols>
  <sheetData>
    <row r="1" spans="1:5" s="58" customFormat="1" ht="18" x14ac:dyDescent="0.35">
      <c r="A1" s="58" t="s">
        <v>279</v>
      </c>
      <c r="B1" s="58" t="s">
        <v>81</v>
      </c>
      <c r="C1" s="59"/>
      <c r="D1" s="60"/>
      <c r="E1" s="134"/>
    </row>
    <row r="2" spans="1:5" s="61" customFormat="1" x14ac:dyDescent="0.25">
      <c r="C2" s="62"/>
      <c r="D2" s="63"/>
      <c r="E2" s="135"/>
    </row>
    <row r="3" spans="1:5" s="50" customFormat="1" x14ac:dyDescent="0.25">
      <c r="A3" s="50" t="s">
        <v>61</v>
      </c>
      <c r="B3" s="50" t="s">
        <v>62</v>
      </c>
      <c r="C3" s="64" t="s">
        <v>103</v>
      </c>
      <c r="D3" s="65" t="s">
        <v>104</v>
      </c>
      <c r="E3" s="136" t="s">
        <v>223</v>
      </c>
    </row>
    <row r="4" spans="1:5" x14ac:dyDescent="0.25">
      <c r="A4" s="49" t="s">
        <v>65</v>
      </c>
      <c r="B4" s="49" t="s">
        <v>64</v>
      </c>
      <c r="C4" s="66" t="s">
        <v>87</v>
      </c>
      <c r="D4" s="67">
        <v>11</v>
      </c>
      <c r="E4" s="137">
        <f>IF((D4 &lt; 1),"N/A",ROUND((1-(1/D4))*100,2))</f>
        <v>90.91</v>
      </c>
    </row>
    <row r="5" spans="1:5" x14ac:dyDescent="0.25">
      <c r="A5" s="49" t="s">
        <v>77</v>
      </c>
      <c r="B5" s="49" t="s">
        <v>67</v>
      </c>
      <c r="C5" s="66" t="s">
        <v>92</v>
      </c>
      <c r="D5" s="67">
        <v>2.5</v>
      </c>
      <c r="E5" s="137">
        <f t="shared" ref="E5:E20" si="0">IF((D5 &lt; 1),"N/A",ROUND((1-(1/D5))*100,2))</f>
        <v>60</v>
      </c>
    </row>
    <row r="6" spans="1:5" x14ac:dyDescent="0.25">
      <c r="A6" s="68" t="s">
        <v>73</v>
      </c>
      <c r="B6" s="49" t="s">
        <v>67</v>
      </c>
      <c r="C6" s="70" t="s">
        <v>90</v>
      </c>
      <c r="D6" s="69">
        <v>3.82</v>
      </c>
      <c r="E6" s="137">
        <f t="shared" si="0"/>
        <v>73.819999999999993</v>
      </c>
    </row>
    <row r="7" spans="1:5" x14ac:dyDescent="0.25">
      <c r="A7" s="49" t="s">
        <v>78</v>
      </c>
      <c r="B7" s="49" t="s">
        <v>79</v>
      </c>
      <c r="C7" s="66" t="s">
        <v>93</v>
      </c>
      <c r="D7" s="67">
        <v>3</v>
      </c>
      <c r="E7" s="137">
        <f t="shared" si="0"/>
        <v>66.67</v>
      </c>
    </row>
    <row r="8" spans="1:5" x14ac:dyDescent="0.25">
      <c r="A8" s="49" t="s">
        <v>101</v>
      </c>
      <c r="B8" s="49" t="s">
        <v>75</v>
      </c>
      <c r="C8" s="66" t="s">
        <v>95</v>
      </c>
      <c r="D8" s="67">
        <v>1.7</v>
      </c>
      <c r="E8" s="137">
        <f t="shared" si="0"/>
        <v>41.18</v>
      </c>
    </row>
    <row r="9" spans="1:5" x14ac:dyDescent="0.25">
      <c r="A9" s="49" t="s">
        <v>74</v>
      </c>
      <c r="B9" s="49" t="s">
        <v>75</v>
      </c>
      <c r="C9" s="66" t="s">
        <v>105</v>
      </c>
      <c r="D9" s="67">
        <v>3.5</v>
      </c>
      <c r="E9" s="137">
        <f t="shared" si="0"/>
        <v>71.430000000000007</v>
      </c>
    </row>
    <row r="10" spans="1:5" x14ac:dyDescent="0.25">
      <c r="A10" s="49" t="s">
        <v>102</v>
      </c>
      <c r="B10" s="49" t="s">
        <v>67</v>
      </c>
      <c r="C10" s="66" t="s">
        <v>94</v>
      </c>
      <c r="D10" s="67">
        <v>2.1</v>
      </c>
      <c r="E10" s="137">
        <f t="shared" si="0"/>
        <v>52.38</v>
      </c>
    </row>
    <row r="11" spans="1:5" x14ac:dyDescent="0.25">
      <c r="A11" s="49" t="s">
        <v>100</v>
      </c>
      <c r="B11" s="49" t="s">
        <v>67</v>
      </c>
      <c r="C11" s="66" t="s">
        <v>96</v>
      </c>
      <c r="D11" s="67">
        <v>1.5</v>
      </c>
      <c r="E11" s="137">
        <f t="shared" si="0"/>
        <v>33.33</v>
      </c>
    </row>
    <row r="12" spans="1:5" x14ac:dyDescent="0.25">
      <c r="A12" s="49" t="s">
        <v>99</v>
      </c>
      <c r="B12" s="49" t="s">
        <v>67</v>
      </c>
      <c r="C12" s="66" t="s">
        <v>97</v>
      </c>
      <c r="D12" s="67">
        <v>2</v>
      </c>
      <c r="E12" s="137">
        <f t="shared" si="0"/>
        <v>50</v>
      </c>
    </row>
    <row r="13" spans="1:5" x14ac:dyDescent="0.25">
      <c r="A13" s="49" t="s">
        <v>63</v>
      </c>
      <c r="B13" s="49" t="s">
        <v>64</v>
      </c>
      <c r="C13" s="66" t="s">
        <v>86</v>
      </c>
      <c r="D13" s="67">
        <v>15</v>
      </c>
      <c r="E13" s="137">
        <f t="shared" si="0"/>
        <v>93.33</v>
      </c>
    </row>
    <row r="14" spans="1:5" x14ac:dyDescent="0.25">
      <c r="A14" s="218" t="s">
        <v>80</v>
      </c>
      <c r="B14" s="49" t="s">
        <v>67</v>
      </c>
      <c r="C14" s="220" t="s">
        <v>98</v>
      </c>
      <c r="D14" s="219">
        <v>0.55000000000000004</v>
      </c>
      <c r="E14" s="218" t="str">
        <f t="shared" si="0"/>
        <v>N/A</v>
      </c>
    </row>
    <row r="15" spans="1:5" x14ac:dyDescent="0.25">
      <c r="A15" s="49" t="s">
        <v>66</v>
      </c>
      <c r="B15" s="49" t="s">
        <v>67</v>
      </c>
      <c r="C15" s="66" t="s">
        <v>87</v>
      </c>
      <c r="D15" s="67">
        <v>11</v>
      </c>
      <c r="E15" s="137">
        <f t="shared" si="0"/>
        <v>90.91</v>
      </c>
    </row>
    <row r="16" spans="1:5" x14ac:dyDescent="0.25">
      <c r="A16" s="49" t="s">
        <v>71</v>
      </c>
      <c r="B16" s="49" t="s">
        <v>67</v>
      </c>
      <c r="C16" s="66">
        <v>5.5</v>
      </c>
      <c r="D16" s="67">
        <v>5.5</v>
      </c>
      <c r="E16" s="137">
        <f t="shared" si="0"/>
        <v>81.819999999999993</v>
      </c>
    </row>
    <row r="17" spans="1:5" x14ac:dyDescent="0.25">
      <c r="A17" s="49" t="s">
        <v>68</v>
      </c>
      <c r="B17" s="49" t="s">
        <v>69</v>
      </c>
      <c r="C17" s="66" t="s">
        <v>88</v>
      </c>
      <c r="D17" s="67">
        <v>6</v>
      </c>
      <c r="E17" s="137">
        <f t="shared" si="0"/>
        <v>83.33</v>
      </c>
    </row>
    <row r="18" spans="1:5" x14ac:dyDescent="0.25">
      <c r="A18" s="49" t="s">
        <v>70</v>
      </c>
      <c r="B18" s="49" t="s">
        <v>67</v>
      </c>
      <c r="C18" s="66" t="s">
        <v>88</v>
      </c>
      <c r="D18" s="67">
        <v>6</v>
      </c>
      <c r="E18" s="137">
        <f t="shared" si="0"/>
        <v>83.33</v>
      </c>
    </row>
    <row r="19" spans="1:5" x14ac:dyDescent="0.25">
      <c r="A19" s="49" t="s">
        <v>76</v>
      </c>
      <c r="B19" s="49" t="s">
        <v>67</v>
      </c>
      <c r="C19" s="66" t="s">
        <v>91</v>
      </c>
      <c r="D19" s="67">
        <v>3.65</v>
      </c>
      <c r="E19" s="137">
        <f t="shared" si="0"/>
        <v>72.599999999999994</v>
      </c>
    </row>
    <row r="20" spans="1:5" x14ac:dyDescent="0.25">
      <c r="A20" s="49" t="s">
        <v>72</v>
      </c>
      <c r="B20" s="49" t="s">
        <v>67</v>
      </c>
      <c r="C20" s="66" t="s">
        <v>89</v>
      </c>
      <c r="D20" s="67">
        <v>4.75</v>
      </c>
      <c r="E20" s="137">
        <f t="shared" si="0"/>
        <v>78.95</v>
      </c>
    </row>
  </sheetData>
  <sortState xmlns:xlrd2="http://schemas.microsoft.com/office/spreadsheetml/2017/richdata2" ref="A4:D20">
    <sortCondition ref="A4:A20"/>
  </sortState>
  <pageMargins left="0.7" right="0.7" top="0.75" bottom="0.75" header="0.3" footer="0.3"/>
  <pageSetup scale="68" fitToHeight="0"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8D9C7-B113-41D6-9E5D-085B22CAB25C}">
  <sheetPr>
    <tabColor theme="2" tint="-0.499984740745262"/>
  </sheetPr>
  <dimension ref="A1:B68"/>
  <sheetViews>
    <sheetView workbookViewId="0">
      <pane ySplit="3" topLeftCell="A4" activePane="bottomLeft" state="frozen"/>
      <selection pane="bottomLeft"/>
    </sheetView>
  </sheetViews>
  <sheetFormatPr defaultColWidth="50.7109375" defaultRowHeight="15" x14ac:dyDescent="0.25"/>
  <cols>
    <col min="1" max="1" width="48.28515625" style="51" bestFit="1" customWidth="1"/>
    <col min="2" max="2" width="68.140625" style="51" bestFit="1" customWidth="1"/>
    <col min="3" max="16384" width="50.7109375" style="51"/>
  </cols>
  <sheetData>
    <row r="1" spans="1:2" s="126" customFormat="1" x14ac:dyDescent="0.25">
      <c r="A1" s="58" t="s">
        <v>277</v>
      </c>
      <c r="B1" s="58" t="s">
        <v>214</v>
      </c>
    </row>
    <row r="2" spans="1:2" s="127" customFormat="1" x14ac:dyDescent="0.25"/>
    <row r="3" spans="1:2" s="128" customFormat="1" x14ac:dyDescent="0.25">
      <c r="A3" s="128" t="s">
        <v>61</v>
      </c>
      <c r="B3" s="128" t="s">
        <v>113</v>
      </c>
    </row>
    <row r="4" spans="1:2" x14ac:dyDescent="0.25">
      <c r="A4" s="51" t="s">
        <v>114</v>
      </c>
      <c r="B4" s="51" t="s">
        <v>115</v>
      </c>
    </row>
    <row r="5" spans="1:2" x14ac:dyDescent="0.25">
      <c r="A5" s="51" t="s">
        <v>117</v>
      </c>
      <c r="B5" s="51" t="s">
        <v>118</v>
      </c>
    </row>
    <row r="6" spans="1:2" x14ac:dyDescent="0.25">
      <c r="A6" s="51" t="s">
        <v>119</v>
      </c>
      <c r="B6" s="130">
        <v>0.16</v>
      </c>
    </row>
    <row r="7" spans="1:2" x14ac:dyDescent="0.25">
      <c r="A7" s="51" t="s">
        <v>120</v>
      </c>
      <c r="B7" s="51" t="s">
        <v>121</v>
      </c>
    </row>
    <row r="8" spans="1:2" x14ac:dyDescent="0.25">
      <c r="A8" s="51" t="s">
        <v>122</v>
      </c>
      <c r="B8" s="51" t="s">
        <v>123</v>
      </c>
    </row>
    <row r="9" spans="1:2" x14ac:dyDescent="0.25">
      <c r="A9" s="51" t="s">
        <v>124</v>
      </c>
      <c r="B9" s="51" t="s">
        <v>125</v>
      </c>
    </row>
    <row r="10" spans="1:2" x14ac:dyDescent="0.25">
      <c r="A10" s="51" t="s">
        <v>126</v>
      </c>
      <c r="B10" s="51" t="s">
        <v>127</v>
      </c>
    </row>
    <row r="11" spans="1:2" x14ac:dyDescent="0.25">
      <c r="A11" s="51" t="s">
        <v>128</v>
      </c>
      <c r="B11" s="51" t="s">
        <v>129</v>
      </c>
    </row>
    <row r="12" spans="1:2" x14ac:dyDescent="0.25">
      <c r="A12" s="51" t="s">
        <v>130</v>
      </c>
      <c r="B12" s="51" t="s">
        <v>131</v>
      </c>
    </row>
    <row r="13" spans="1:2" x14ac:dyDescent="0.25">
      <c r="A13" s="51" t="s">
        <v>132</v>
      </c>
      <c r="B13" s="51" t="s">
        <v>116</v>
      </c>
    </row>
    <row r="14" spans="1:2" x14ac:dyDescent="0.25">
      <c r="A14" s="51" t="s">
        <v>133</v>
      </c>
      <c r="B14" s="51" t="s">
        <v>134</v>
      </c>
    </row>
    <row r="15" spans="1:2" x14ac:dyDescent="0.25">
      <c r="A15" s="51" t="s">
        <v>135</v>
      </c>
      <c r="B15" s="51" t="s">
        <v>136</v>
      </c>
    </row>
    <row r="16" spans="1:2" x14ac:dyDescent="0.25">
      <c r="A16" s="51" t="s">
        <v>137</v>
      </c>
      <c r="B16" s="51" t="s">
        <v>138</v>
      </c>
    </row>
    <row r="17" spans="1:2" x14ac:dyDescent="0.25">
      <c r="A17" s="51" t="s">
        <v>139</v>
      </c>
      <c r="B17" s="130">
        <v>0.3</v>
      </c>
    </row>
    <row r="18" spans="1:2" x14ac:dyDescent="0.25">
      <c r="A18" s="51" t="s">
        <v>140</v>
      </c>
      <c r="B18" s="51" t="s">
        <v>141</v>
      </c>
    </row>
    <row r="19" spans="1:2" x14ac:dyDescent="0.25">
      <c r="A19" s="129" t="s">
        <v>142</v>
      </c>
      <c r="B19" s="129" t="s">
        <v>143</v>
      </c>
    </row>
    <row r="20" spans="1:2" x14ac:dyDescent="0.25">
      <c r="A20" s="51" t="s">
        <v>144</v>
      </c>
      <c r="B20" s="51" t="s">
        <v>145</v>
      </c>
    </row>
    <row r="21" spans="1:2" x14ac:dyDescent="0.25">
      <c r="A21" s="51" t="s">
        <v>146</v>
      </c>
      <c r="B21" s="130">
        <v>0.26</v>
      </c>
    </row>
    <row r="22" spans="1:2" x14ac:dyDescent="0.25">
      <c r="A22" s="51" t="s">
        <v>147</v>
      </c>
      <c r="B22" s="51" t="s">
        <v>148</v>
      </c>
    </row>
    <row r="23" spans="1:2" x14ac:dyDescent="0.25">
      <c r="A23" s="51" t="s">
        <v>149</v>
      </c>
      <c r="B23" s="51" t="s">
        <v>150</v>
      </c>
    </row>
    <row r="24" spans="1:2" x14ac:dyDescent="0.25">
      <c r="A24" s="51" t="s">
        <v>151</v>
      </c>
      <c r="B24" s="51" t="s">
        <v>116</v>
      </c>
    </row>
    <row r="25" spans="1:2" x14ac:dyDescent="0.25">
      <c r="A25" s="51" t="s">
        <v>152</v>
      </c>
      <c r="B25" s="130">
        <v>0.95</v>
      </c>
    </row>
    <row r="26" spans="1:2" x14ac:dyDescent="0.25">
      <c r="A26" s="51" t="s">
        <v>153</v>
      </c>
      <c r="B26" s="131">
        <v>1E-4</v>
      </c>
    </row>
    <row r="27" spans="1:2" x14ac:dyDescent="0.25">
      <c r="A27" s="51" t="s">
        <v>154</v>
      </c>
      <c r="B27" s="130">
        <v>0.36</v>
      </c>
    </row>
    <row r="28" spans="1:2" x14ac:dyDescent="0.25">
      <c r="A28" s="51" t="s">
        <v>155</v>
      </c>
      <c r="B28" s="51" t="s">
        <v>156</v>
      </c>
    </row>
    <row r="29" spans="1:2" x14ac:dyDescent="0.25">
      <c r="A29" s="51" t="s">
        <v>157</v>
      </c>
      <c r="B29" s="51" t="s">
        <v>158</v>
      </c>
    </row>
    <row r="30" spans="1:2" x14ac:dyDescent="0.25">
      <c r="A30" s="51" t="s">
        <v>159</v>
      </c>
      <c r="B30" s="51" t="s">
        <v>160</v>
      </c>
    </row>
    <row r="31" spans="1:2" x14ac:dyDescent="0.25">
      <c r="A31" s="51" t="s">
        <v>161</v>
      </c>
      <c r="B31" s="51" t="s">
        <v>129</v>
      </c>
    </row>
    <row r="32" spans="1:2" x14ac:dyDescent="0.25">
      <c r="A32" s="51" t="s">
        <v>162</v>
      </c>
      <c r="B32" s="51" t="s">
        <v>163</v>
      </c>
    </row>
    <row r="33" spans="1:2" x14ac:dyDescent="0.25">
      <c r="A33" s="51" t="s">
        <v>164</v>
      </c>
      <c r="B33" s="51" t="s">
        <v>165</v>
      </c>
    </row>
    <row r="34" spans="1:2" x14ac:dyDescent="0.25">
      <c r="A34" s="51" t="s">
        <v>168</v>
      </c>
      <c r="B34" s="51" t="s">
        <v>169</v>
      </c>
    </row>
    <row r="35" spans="1:2" x14ac:dyDescent="0.25">
      <c r="A35" s="51" t="s">
        <v>170</v>
      </c>
      <c r="B35" s="51" t="s">
        <v>171</v>
      </c>
    </row>
    <row r="36" spans="1:2" x14ac:dyDescent="0.25">
      <c r="A36" s="51" t="s">
        <v>172</v>
      </c>
      <c r="B36" s="51" t="s">
        <v>173</v>
      </c>
    </row>
    <row r="37" spans="1:2" x14ac:dyDescent="0.25">
      <c r="A37" s="51" t="s">
        <v>174</v>
      </c>
      <c r="B37" s="51" t="s">
        <v>175</v>
      </c>
    </row>
    <row r="38" spans="1:2" x14ac:dyDescent="0.25">
      <c r="A38" s="51" t="s">
        <v>176</v>
      </c>
      <c r="B38" s="51" t="s">
        <v>177</v>
      </c>
    </row>
    <row r="39" spans="1:2" x14ac:dyDescent="0.25">
      <c r="A39" s="51" t="s">
        <v>178</v>
      </c>
      <c r="B39" s="51" t="s">
        <v>179</v>
      </c>
    </row>
    <row r="40" spans="1:2" x14ac:dyDescent="0.25">
      <c r="A40" s="51" t="s">
        <v>180</v>
      </c>
      <c r="B40" s="130">
        <v>0.35</v>
      </c>
    </row>
    <row r="41" spans="1:2" x14ac:dyDescent="0.25">
      <c r="A41" s="51" t="s">
        <v>181</v>
      </c>
      <c r="B41" s="51" t="s">
        <v>167</v>
      </c>
    </row>
    <row r="42" spans="1:2" ht="30" x14ac:dyDescent="0.25">
      <c r="A42" s="51" t="s">
        <v>182</v>
      </c>
      <c r="B42" s="51" t="s">
        <v>167</v>
      </c>
    </row>
    <row r="43" spans="1:2" ht="30" x14ac:dyDescent="0.25">
      <c r="A43" s="51" t="s">
        <v>183</v>
      </c>
      <c r="B43" s="51" t="s">
        <v>184</v>
      </c>
    </row>
    <row r="44" spans="1:2" x14ac:dyDescent="0.25">
      <c r="A44" s="51" t="s">
        <v>185</v>
      </c>
      <c r="B44" s="130">
        <v>0.5</v>
      </c>
    </row>
    <row r="45" spans="1:2" x14ac:dyDescent="0.25">
      <c r="A45" s="51" t="s">
        <v>186</v>
      </c>
      <c r="B45" s="51" t="s">
        <v>187</v>
      </c>
    </row>
    <row r="46" spans="1:2" x14ac:dyDescent="0.25">
      <c r="A46" s="51" t="s">
        <v>68</v>
      </c>
      <c r="B46" s="51" t="s">
        <v>129</v>
      </c>
    </row>
    <row r="47" spans="1:2" ht="30" x14ac:dyDescent="0.25">
      <c r="A47" s="51" t="s">
        <v>210</v>
      </c>
      <c r="B47" s="51" t="s">
        <v>116</v>
      </c>
    </row>
    <row r="48" spans="1:2" x14ac:dyDescent="0.25">
      <c r="A48" s="51" t="s">
        <v>188</v>
      </c>
      <c r="B48" s="51" t="s">
        <v>116</v>
      </c>
    </row>
    <row r="49" spans="1:2" x14ac:dyDescent="0.25">
      <c r="A49" s="51" t="s">
        <v>189</v>
      </c>
      <c r="B49" s="51" t="s">
        <v>190</v>
      </c>
    </row>
    <row r="50" spans="1:2" x14ac:dyDescent="0.25">
      <c r="A50" s="51" t="s">
        <v>191</v>
      </c>
      <c r="B50" s="130">
        <v>0.11</v>
      </c>
    </row>
    <row r="51" spans="1:2" ht="30" x14ac:dyDescent="0.25">
      <c r="A51" s="51" t="s">
        <v>211</v>
      </c>
      <c r="B51" s="51" t="s">
        <v>192</v>
      </c>
    </row>
    <row r="52" spans="1:2" x14ac:dyDescent="0.25">
      <c r="A52" s="51" t="s">
        <v>212</v>
      </c>
      <c r="B52" s="130">
        <v>0.3</v>
      </c>
    </row>
    <row r="53" spans="1:2" x14ac:dyDescent="0.25">
      <c r="A53" s="51" t="s">
        <v>212</v>
      </c>
      <c r="B53" s="130">
        <v>0.03</v>
      </c>
    </row>
    <row r="54" spans="1:2" x14ac:dyDescent="0.25">
      <c r="A54" s="51" t="s">
        <v>193</v>
      </c>
      <c r="B54" s="51" t="s">
        <v>194</v>
      </c>
    </row>
    <row r="55" spans="1:2" x14ac:dyDescent="0.25">
      <c r="A55" s="51" t="s">
        <v>213</v>
      </c>
      <c r="B55" s="130">
        <v>0.01</v>
      </c>
    </row>
    <row r="56" spans="1:2" x14ac:dyDescent="0.25">
      <c r="A56" s="51" t="s">
        <v>195</v>
      </c>
      <c r="B56" s="51" t="s">
        <v>116</v>
      </c>
    </row>
    <row r="57" spans="1:2" x14ac:dyDescent="0.25">
      <c r="A57" s="51" t="s">
        <v>196</v>
      </c>
      <c r="B57" s="130">
        <v>0.5</v>
      </c>
    </row>
    <row r="58" spans="1:2" x14ac:dyDescent="0.25">
      <c r="A58" s="51" t="s">
        <v>197</v>
      </c>
      <c r="B58" s="130">
        <v>1</v>
      </c>
    </row>
    <row r="59" spans="1:2" x14ac:dyDescent="0.25">
      <c r="A59" s="51" t="s">
        <v>198</v>
      </c>
      <c r="B59" s="130">
        <v>0.43</v>
      </c>
    </row>
    <row r="60" spans="1:2" x14ac:dyDescent="0.25">
      <c r="A60" s="51" t="s">
        <v>199</v>
      </c>
      <c r="B60" s="51" t="s">
        <v>200</v>
      </c>
    </row>
    <row r="61" spans="1:2" x14ac:dyDescent="0.25">
      <c r="A61" s="51" t="s">
        <v>201</v>
      </c>
      <c r="B61" s="51" t="s">
        <v>202</v>
      </c>
    </row>
    <row r="62" spans="1:2" x14ac:dyDescent="0.25">
      <c r="A62" s="51" t="s">
        <v>203</v>
      </c>
      <c r="B62" s="51" t="s">
        <v>179</v>
      </c>
    </row>
    <row r="63" spans="1:2" x14ac:dyDescent="0.25">
      <c r="A63" s="51" t="s">
        <v>204</v>
      </c>
      <c r="B63" s="131">
        <v>2.0000000000000001E-4</v>
      </c>
    </row>
    <row r="64" spans="1:2" x14ac:dyDescent="0.25">
      <c r="A64" s="51" t="s">
        <v>205</v>
      </c>
      <c r="B64" s="131">
        <v>1.0000000000000001E-5</v>
      </c>
    </row>
    <row r="65" spans="1:2" x14ac:dyDescent="0.25">
      <c r="A65" s="51" t="s">
        <v>206</v>
      </c>
      <c r="B65" s="51" t="s">
        <v>207</v>
      </c>
    </row>
    <row r="66" spans="1:2" x14ac:dyDescent="0.25">
      <c r="A66" s="51" t="s">
        <v>208</v>
      </c>
      <c r="B66" s="51" t="s">
        <v>116</v>
      </c>
    </row>
    <row r="67" spans="1:2" x14ac:dyDescent="0.25">
      <c r="A67" s="51" t="s">
        <v>208</v>
      </c>
      <c r="B67" s="51" t="s">
        <v>166</v>
      </c>
    </row>
    <row r="68" spans="1:2" x14ac:dyDescent="0.25">
      <c r="A68" s="51" t="s">
        <v>209</v>
      </c>
      <c r="B68" s="131">
        <v>7.4999999999999997E-2</v>
      </c>
    </row>
  </sheetData>
  <sortState xmlns:xlrd2="http://schemas.microsoft.com/office/spreadsheetml/2017/richdata2" ref="A4:B68">
    <sortCondition ref="A4:A68"/>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9D619-0343-4E4A-8CD5-EEDDDB2C52DA}">
  <sheetPr>
    <tabColor theme="2" tint="-0.499984740745262"/>
  </sheetPr>
  <dimension ref="A1:D34"/>
  <sheetViews>
    <sheetView workbookViewId="0">
      <pane ySplit="3" topLeftCell="A4" activePane="bottomLeft" state="frozen"/>
      <selection pane="bottomLeft"/>
    </sheetView>
  </sheetViews>
  <sheetFormatPr defaultColWidth="50.7109375" defaultRowHeight="15" x14ac:dyDescent="0.25"/>
  <cols>
    <col min="1" max="1" width="40" style="51" bestFit="1" customWidth="1"/>
    <col min="2" max="2" width="45.28515625" style="156" bestFit="1" customWidth="1"/>
    <col min="3" max="3" width="12.140625" style="156" bestFit="1" customWidth="1"/>
    <col min="4" max="4" width="41.28515625" style="156" bestFit="1" customWidth="1"/>
    <col min="5" max="16384" width="50.7109375" style="51"/>
  </cols>
  <sheetData>
    <row r="1" spans="1:4" s="126" customFormat="1" x14ac:dyDescent="0.25">
      <c r="A1" s="58" t="s">
        <v>278</v>
      </c>
      <c r="B1" s="158" t="s">
        <v>243</v>
      </c>
      <c r="C1" s="153"/>
      <c r="D1" s="153"/>
    </row>
    <row r="2" spans="1:4" s="127" customFormat="1" x14ac:dyDescent="0.25">
      <c r="B2" s="154"/>
      <c r="C2" s="154"/>
      <c r="D2" s="154"/>
    </row>
    <row r="3" spans="1:4" s="128" customFormat="1" x14ac:dyDescent="0.25">
      <c r="A3" s="128" t="s">
        <v>61</v>
      </c>
      <c r="B3" s="155" t="s">
        <v>245</v>
      </c>
      <c r="C3" s="155" t="s">
        <v>244</v>
      </c>
      <c r="D3" s="155" t="s">
        <v>246</v>
      </c>
    </row>
    <row r="4" spans="1:4" x14ac:dyDescent="0.25">
      <c r="A4" s="51" t="s">
        <v>247</v>
      </c>
      <c r="B4" s="156">
        <v>0</v>
      </c>
      <c r="C4" s="156">
        <v>1</v>
      </c>
      <c r="D4" s="156" t="s">
        <v>254</v>
      </c>
    </row>
    <row r="5" spans="1:4" x14ac:dyDescent="0.25">
      <c r="A5" s="51" t="s">
        <v>248</v>
      </c>
      <c r="B5" s="156">
        <v>9</v>
      </c>
      <c r="C5" s="156">
        <v>21</v>
      </c>
      <c r="D5" s="156" t="s">
        <v>254</v>
      </c>
    </row>
    <row r="6" spans="1:4" x14ac:dyDescent="0.25">
      <c r="A6" s="51" t="s">
        <v>249</v>
      </c>
      <c r="B6" s="156">
        <v>0.5</v>
      </c>
      <c r="C6" s="156">
        <v>4.5</v>
      </c>
      <c r="D6" s="156" t="s">
        <v>254</v>
      </c>
    </row>
    <row r="7" spans="1:4" x14ac:dyDescent="0.25">
      <c r="A7" s="51" t="s">
        <v>77</v>
      </c>
      <c r="B7" s="156">
        <v>1</v>
      </c>
      <c r="C7" s="156">
        <v>3</v>
      </c>
      <c r="D7" s="156" t="s">
        <v>254</v>
      </c>
    </row>
    <row r="8" spans="1:4" x14ac:dyDescent="0.25">
      <c r="A8" s="129" t="s">
        <v>73</v>
      </c>
      <c r="B8" s="157">
        <v>2</v>
      </c>
      <c r="C8" s="157" t="s">
        <v>270</v>
      </c>
      <c r="D8" s="157" t="s">
        <v>254</v>
      </c>
    </row>
    <row r="9" spans="1:4" x14ac:dyDescent="0.25">
      <c r="A9" s="51" t="s">
        <v>250</v>
      </c>
      <c r="B9" s="156">
        <v>3</v>
      </c>
      <c r="C9" s="156">
        <v>14</v>
      </c>
      <c r="D9" s="156" t="s">
        <v>254</v>
      </c>
    </row>
    <row r="10" spans="1:4" x14ac:dyDescent="0.25">
      <c r="A10" s="51" t="s">
        <v>251</v>
      </c>
      <c r="B10" s="156">
        <v>1</v>
      </c>
      <c r="C10" s="156" t="s">
        <v>271</v>
      </c>
      <c r="D10" s="156" t="s">
        <v>254</v>
      </c>
    </row>
    <row r="11" spans="1:4" x14ac:dyDescent="0.25">
      <c r="A11" s="51" t="s">
        <v>252</v>
      </c>
      <c r="B11" s="156">
        <v>13</v>
      </c>
      <c r="C11" s="156">
        <v>18</v>
      </c>
      <c r="D11" s="156" t="s">
        <v>254</v>
      </c>
    </row>
    <row r="12" spans="1:4" x14ac:dyDescent="0.25">
      <c r="A12" s="51" t="s">
        <v>253</v>
      </c>
      <c r="B12" s="156">
        <v>3</v>
      </c>
      <c r="C12" s="156">
        <v>21</v>
      </c>
      <c r="D12" s="156" t="s">
        <v>254</v>
      </c>
    </row>
    <row r="13" spans="1:4" x14ac:dyDescent="0.25">
      <c r="A13" s="51" t="s">
        <v>255</v>
      </c>
      <c r="B13" s="156">
        <v>2</v>
      </c>
      <c r="C13" s="156">
        <v>3</v>
      </c>
      <c r="D13" s="156" t="s">
        <v>272</v>
      </c>
    </row>
    <row r="14" spans="1:4" x14ac:dyDescent="0.25">
      <c r="A14" s="51" t="s">
        <v>256</v>
      </c>
      <c r="B14" s="156">
        <v>28</v>
      </c>
      <c r="C14" s="156">
        <v>42</v>
      </c>
      <c r="D14" s="156" t="s">
        <v>254</v>
      </c>
    </row>
    <row r="15" spans="1:4" x14ac:dyDescent="0.25">
      <c r="A15" s="51" t="s">
        <v>257</v>
      </c>
      <c r="B15" s="156">
        <v>1</v>
      </c>
      <c r="C15" s="156">
        <v>3</v>
      </c>
      <c r="D15" s="156" t="s">
        <v>254</v>
      </c>
    </row>
    <row r="16" spans="1:4" x14ac:dyDescent="0.25">
      <c r="A16" s="51" t="s">
        <v>258</v>
      </c>
      <c r="B16" s="156">
        <v>10.3</v>
      </c>
      <c r="C16" s="156">
        <v>13.2</v>
      </c>
      <c r="D16" s="156" t="s">
        <v>273</v>
      </c>
    </row>
    <row r="17" spans="1:4" x14ac:dyDescent="0.25">
      <c r="A17" s="51" t="s">
        <v>259</v>
      </c>
      <c r="B17" s="156">
        <v>5</v>
      </c>
      <c r="C17" s="156">
        <v>10</v>
      </c>
      <c r="D17" s="156" t="s">
        <v>254</v>
      </c>
    </row>
    <row r="18" spans="1:4" x14ac:dyDescent="0.25">
      <c r="A18" s="51" t="s">
        <v>63</v>
      </c>
      <c r="B18" s="156">
        <v>9</v>
      </c>
      <c r="C18" s="156">
        <v>12</v>
      </c>
      <c r="D18" s="156" t="s">
        <v>254</v>
      </c>
    </row>
    <row r="19" spans="1:4" x14ac:dyDescent="0.25">
      <c r="A19" s="51" t="s">
        <v>80</v>
      </c>
      <c r="B19" s="156">
        <v>2</v>
      </c>
      <c r="C19" s="156">
        <v>14</v>
      </c>
      <c r="D19" s="156" t="s">
        <v>254</v>
      </c>
    </row>
    <row r="20" spans="1:4" x14ac:dyDescent="0.25">
      <c r="A20" s="51" t="s">
        <v>66</v>
      </c>
      <c r="B20" s="156">
        <v>14</v>
      </c>
      <c r="C20" s="156">
        <v>18</v>
      </c>
      <c r="D20" s="156" t="s">
        <v>254</v>
      </c>
    </row>
    <row r="21" spans="1:4" x14ac:dyDescent="0.25">
      <c r="A21" s="51" t="s">
        <v>260</v>
      </c>
      <c r="B21" s="156">
        <v>1</v>
      </c>
      <c r="C21" s="156">
        <v>2</v>
      </c>
      <c r="D21" s="156" t="s">
        <v>254</v>
      </c>
    </row>
    <row r="22" spans="1:4" x14ac:dyDescent="0.25">
      <c r="A22" s="51" t="s">
        <v>261</v>
      </c>
      <c r="B22" s="156">
        <v>7</v>
      </c>
      <c r="C22" s="156">
        <v>14</v>
      </c>
      <c r="D22" s="156" t="s">
        <v>254</v>
      </c>
    </row>
    <row r="23" spans="1:4" x14ac:dyDescent="0.25">
      <c r="A23" s="51" t="s">
        <v>68</v>
      </c>
      <c r="B23" s="156">
        <v>7</v>
      </c>
      <c r="C23" s="156">
        <v>14</v>
      </c>
      <c r="D23" s="156" t="s">
        <v>254</v>
      </c>
    </row>
    <row r="24" spans="1:4" x14ac:dyDescent="0.25">
      <c r="A24" s="51" t="s">
        <v>188</v>
      </c>
      <c r="B24" s="156">
        <v>1</v>
      </c>
      <c r="C24" s="156">
        <v>3</v>
      </c>
      <c r="D24" s="156" t="s">
        <v>276</v>
      </c>
    </row>
    <row r="25" spans="1:4" x14ac:dyDescent="0.25">
      <c r="A25" s="51" t="s">
        <v>262</v>
      </c>
      <c r="B25" s="156">
        <v>2</v>
      </c>
      <c r="C25" s="156">
        <v>14</v>
      </c>
      <c r="D25" s="156" t="s">
        <v>254</v>
      </c>
    </row>
    <row r="26" spans="1:4" x14ac:dyDescent="0.25">
      <c r="A26" s="51" t="s">
        <v>263</v>
      </c>
      <c r="B26" s="156">
        <v>5</v>
      </c>
      <c r="C26" s="156">
        <v>15</v>
      </c>
      <c r="D26" s="156" t="s">
        <v>254</v>
      </c>
    </row>
    <row r="27" spans="1:4" x14ac:dyDescent="0.25">
      <c r="A27" s="51" t="s">
        <v>264</v>
      </c>
      <c r="B27" s="156">
        <v>14</v>
      </c>
      <c r="C27" s="156">
        <v>21</v>
      </c>
      <c r="D27" s="156" t="s">
        <v>254</v>
      </c>
    </row>
    <row r="28" spans="1:4" x14ac:dyDescent="0.25">
      <c r="A28" s="51" t="s">
        <v>265</v>
      </c>
      <c r="B28" s="156">
        <v>12</v>
      </c>
      <c r="C28" s="156">
        <v>24</v>
      </c>
      <c r="D28" s="156" t="s">
        <v>274</v>
      </c>
    </row>
    <row r="29" spans="1:4" x14ac:dyDescent="0.25">
      <c r="A29" s="51" t="s">
        <v>76</v>
      </c>
      <c r="B29" s="156">
        <v>1</v>
      </c>
      <c r="C29" s="156">
        <v>10</v>
      </c>
      <c r="D29" s="156" t="s">
        <v>254</v>
      </c>
    </row>
    <row r="30" spans="1:4" x14ac:dyDescent="0.25">
      <c r="A30" s="51" t="s">
        <v>266</v>
      </c>
      <c r="B30" s="156">
        <v>1</v>
      </c>
      <c r="C30" s="156">
        <v>4</v>
      </c>
      <c r="D30" s="156" t="s">
        <v>254</v>
      </c>
    </row>
    <row r="31" spans="1:4" x14ac:dyDescent="0.25">
      <c r="A31" s="51" t="s">
        <v>72</v>
      </c>
      <c r="B31" s="156">
        <v>7</v>
      </c>
      <c r="C31" s="156">
        <v>17</v>
      </c>
      <c r="D31" s="156" t="s">
        <v>254</v>
      </c>
    </row>
    <row r="32" spans="1:4" x14ac:dyDescent="0.25">
      <c r="A32" s="51" t="s">
        <v>267</v>
      </c>
      <c r="B32" s="156">
        <v>7</v>
      </c>
      <c r="C32" s="156">
        <v>21</v>
      </c>
      <c r="D32" s="156" t="s">
        <v>254</v>
      </c>
    </row>
    <row r="33" spans="1:4" x14ac:dyDescent="0.25">
      <c r="A33" s="51" t="s">
        <v>268</v>
      </c>
      <c r="B33" s="156">
        <v>2</v>
      </c>
      <c r="C33" s="156">
        <v>12</v>
      </c>
      <c r="D33" s="156" t="s">
        <v>275</v>
      </c>
    </row>
    <row r="34" spans="1:4" x14ac:dyDescent="0.25">
      <c r="A34" s="51" t="s">
        <v>269</v>
      </c>
      <c r="B34" s="156">
        <v>7</v>
      </c>
      <c r="C34" s="156">
        <v>21</v>
      </c>
      <c r="D34" s="156" t="s">
        <v>254</v>
      </c>
    </row>
  </sheetData>
  <sortState xmlns:xlrd2="http://schemas.microsoft.com/office/spreadsheetml/2017/richdata2" ref="A4:D34">
    <sortCondition ref="A4:A34"/>
  </sortState>
  <pageMargins left="0.7" right="0.7" top="0.75" bottom="0.75" header="0.3" footer="0.3"/>
  <pageSetup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37427-39FF-4B73-B428-70D63C598053}">
  <sheetPr filterMode="1">
    <tabColor theme="2" tint="-0.499984740745262"/>
  </sheetPr>
  <dimension ref="A1:F123"/>
  <sheetViews>
    <sheetView workbookViewId="0">
      <pane ySplit="1" topLeftCell="A2" activePane="bottomLeft" state="frozen"/>
      <selection pane="bottomLeft" activeCell="B1" sqref="B1"/>
    </sheetView>
  </sheetViews>
  <sheetFormatPr defaultRowHeight="15" x14ac:dyDescent="0.25"/>
  <cols>
    <col min="1" max="1" width="4" style="5" bestFit="1" customWidth="1"/>
    <col min="2" max="2" width="62.85546875" style="1" bestFit="1" customWidth="1"/>
    <col min="3" max="3" width="35.140625" style="1" bestFit="1" customWidth="1"/>
    <col min="4" max="4" width="14.7109375" style="5" bestFit="1" customWidth="1"/>
    <col min="5" max="5" width="36.28515625" style="1" bestFit="1" customWidth="1"/>
    <col min="6" max="6" width="22.42578125" style="5" bestFit="1" customWidth="1"/>
    <col min="7" max="16384" width="9.140625" style="1"/>
  </cols>
  <sheetData>
    <row r="1" spans="1:6" s="224" customFormat="1" x14ac:dyDescent="0.25">
      <c r="A1" s="3">
        <v>119</v>
      </c>
      <c r="B1" s="224" t="s">
        <v>519</v>
      </c>
      <c r="C1" s="224" t="s">
        <v>518</v>
      </c>
      <c r="D1" s="3" t="s">
        <v>517</v>
      </c>
      <c r="E1" s="224" t="s">
        <v>516</v>
      </c>
      <c r="F1" s="3" t="s">
        <v>515</v>
      </c>
    </row>
    <row r="2" spans="1:6" x14ac:dyDescent="0.25">
      <c r="A2" s="5">
        <v>1</v>
      </c>
      <c r="B2" s="1" t="s">
        <v>514</v>
      </c>
      <c r="C2" s="1" t="s">
        <v>383</v>
      </c>
      <c r="D2" s="5">
        <v>515</v>
      </c>
      <c r="E2" s="1" t="s">
        <v>382</v>
      </c>
      <c r="F2" s="5">
        <v>1946</v>
      </c>
    </row>
    <row r="3" spans="1:6" x14ac:dyDescent="0.25">
      <c r="A3" s="5">
        <v>2</v>
      </c>
      <c r="B3" s="1" t="s">
        <v>513</v>
      </c>
      <c r="C3" s="1" t="s">
        <v>383</v>
      </c>
      <c r="D3" s="5">
        <v>353</v>
      </c>
      <c r="E3" s="1" t="s">
        <v>382</v>
      </c>
      <c r="F3" s="5">
        <v>1946</v>
      </c>
    </row>
    <row r="4" spans="1:6" x14ac:dyDescent="0.25">
      <c r="A4" s="5">
        <v>3</v>
      </c>
      <c r="B4" s="1" t="s">
        <v>512</v>
      </c>
      <c r="C4" s="1" t="s">
        <v>383</v>
      </c>
      <c r="D4" s="5">
        <v>144</v>
      </c>
      <c r="E4" s="1" t="s">
        <v>382</v>
      </c>
      <c r="F4" s="5">
        <v>1946</v>
      </c>
    </row>
    <row r="5" spans="1:6" hidden="1" x14ac:dyDescent="0.25">
      <c r="A5" s="5">
        <v>4</v>
      </c>
      <c r="B5" s="1" t="s">
        <v>511</v>
      </c>
      <c r="C5" s="1" t="s">
        <v>394</v>
      </c>
      <c r="D5" s="5">
        <v>40</v>
      </c>
      <c r="E5" s="1" t="s">
        <v>393</v>
      </c>
      <c r="F5" s="5">
        <v>1987</v>
      </c>
    </row>
    <row r="6" spans="1:6" x14ac:dyDescent="0.25">
      <c r="A6" s="5">
        <v>5</v>
      </c>
      <c r="B6" s="1" t="s">
        <v>510</v>
      </c>
      <c r="C6" s="1" t="s">
        <v>383</v>
      </c>
      <c r="D6" s="5">
        <v>420</v>
      </c>
      <c r="E6" s="1" t="s">
        <v>382</v>
      </c>
      <c r="F6" s="5">
        <v>1955</v>
      </c>
    </row>
    <row r="7" spans="1:6" hidden="1" x14ac:dyDescent="0.25">
      <c r="A7" s="5">
        <v>6</v>
      </c>
      <c r="B7" s="1" t="s">
        <v>509</v>
      </c>
      <c r="C7" s="1" t="s">
        <v>396</v>
      </c>
      <c r="D7" s="5">
        <v>134</v>
      </c>
      <c r="E7" s="1" t="s">
        <v>393</v>
      </c>
      <c r="F7" s="5">
        <v>1946</v>
      </c>
    </row>
    <row r="8" spans="1:6" hidden="1" x14ac:dyDescent="0.25">
      <c r="A8" s="5">
        <v>7</v>
      </c>
      <c r="B8" s="1" t="s">
        <v>508</v>
      </c>
      <c r="C8" s="1" t="s">
        <v>396</v>
      </c>
      <c r="D8" s="5">
        <v>118</v>
      </c>
      <c r="E8" s="1" t="s">
        <v>393</v>
      </c>
      <c r="F8" s="5">
        <v>1946</v>
      </c>
    </row>
    <row r="9" spans="1:6" hidden="1" x14ac:dyDescent="0.25">
      <c r="A9" s="5">
        <v>8</v>
      </c>
      <c r="B9" s="1" t="s">
        <v>507</v>
      </c>
      <c r="C9" s="1" t="s">
        <v>396</v>
      </c>
      <c r="D9" s="5">
        <v>97</v>
      </c>
      <c r="E9" s="1" t="s">
        <v>393</v>
      </c>
      <c r="F9" s="5">
        <v>1946</v>
      </c>
    </row>
    <row r="10" spans="1:6" x14ac:dyDescent="0.25">
      <c r="A10" s="5">
        <v>9</v>
      </c>
      <c r="B10" s="1" t="s">
        <v>506</v>
      </c>
      <c r="C10" s="1" t="s">
        <v>383</v>
      </c>
      <c r="D10" s="5">
        <v>105</v>
      </c>
      <c r="E10" s="1" t="s">
        <v>386</v>
      </c>
      <c r="F10" s="5">
        <v>1946</v>
      </c>
    </row>
    <row r="11" spans="1:6" hidden="1" x14ac:dyDescent="0.25">
      <c r="A11" s="5">
        <v>10</v>
      </c>
      <c r="B11" s="1" t="s">
        <v>505</v>
      </c>
      <c r="C11" s="1" t="s">
        <v>396</v>
      </c>
      <c r="D11" s="5">
        <v>32</v>
      </c>
      <c r="E11" s="1" t="s">
        <v>393</v>
      </c>
      <c r="F11" s="5">
        <v>2015</v>
      </c>
    </row>
    <row r="12" spans="1:6" x14ac:dyDescent="0.25">
      <c r="A12" s="5">
        <v>11</v>
      </c>
      <c r="B12" s="1" t="s">
        <v>504</v>
      </c>
      <c r="C12" s="1" t="s">
        <v>383</v>
      </c>
      <c r="D12" s="5">
        <v>202</v>
      </c>
      <c r="E12" s="1" t="s">
        <v>382</v>
      </c>
      <c r="F12" s="5">
        <v>1946</v>
      </c>
    </row>
    <row r="13" spans="1:6" x14ac:dyDescent="0.25">
      <c r="A13" s="5">
        <v>12</v>
      </c>
      <c r="B13" s="1" t="s">
        <v>503</v>
      </c>
      <c r="C13" s="1" t="s">
        <v>383</v>
      </c>
      <c r="D13" s="5">
        <v>318</v>
      </c>
      <c r="E13" s="1" t="s">
        <v>382</v>
      </c>
      <c r="F13" s="5">
        <v>1946</v>
      </c>
    </row>
    <row r="14" spans="1:6" hidden="1" x14ac:dyDescent="0.25">
      <c r="A14" s="5">
        <v>13</v>
      </c>
      <c r="B14" s="1" t="s">
        <v>502</v>
      </c>
      <c r="C14" s="1" t="s">
        <v>442</v>
      </c>
      <c r="D14" s="5">
        <v>138</v>
      </c>
      <c r="E14" s="1" t="s">
        <v>382</v>
      </c>
      <c r="F14" s="5">
        <v>2016</v>
      </c>
    </row>
    <row r="15" spans="1:6" hidden="1" x14ac:dyDescent="0.25">
      <c r="A15" s="5">
        <v>14</v>
      </c>
      <c r="B15" s="1" t="s">
        <v>501</v>
      </c>
      <c r="C15" s="1" t="s">
        <v>442</v>
      </c>
      <c r="D15" s="5">
        <v>99</v>
      </c>
      <c r="E15" s="1" t="s">
        <v>386</v>
      </c>
      <c r="F15" s="5">
        <v>1961</v>
      </c>
    </row>
    <row r="16" spans="1:6" x14ac:dyDescent="0.25">
      <c r="A16" s="5">
        <v>15</v>
      </c>
      <c r="B16" s="1" t="s">
        <v>500</v>
      </c>
      <c r="C16" s="1" t="s">
        <v>383</v>
      </c>
      <c r="D16" s="5">
        <v>12</v>
      </c>
      <c r="E16" s="1" t="s">
        <v>488</v>
      </c>
      <c r="F16" s="5">
        <v>1946</v>
      </c>
    </row>
    <row r="17" spans="1:6" x14ac:dyDescent="0.25">
      <c r="A17" s="5">
        <v>16</v>
      </c>
      <c r="B17" s="1" t="s">
        <v>499</v>
      </c>
      <c r="C17" s="1" t="s">
        <v>383</v>
      </c>
      <c r="D17" s="5">
        <v>889</v>
      </c>
      <c r="E17" s="1" t="s">
        <v>382</v>
      </c>
      <c r="F17" s="5">
        <v>1955</v>
      </c>
    </row>
    <row r="18" spans="1:6" x14ac:dyDescent="0.25">
      <c r="A18" s="5">
        <v>17</v>
      </c>
      <c r="B18" s="1" t="s">
        <v>498</v>
      </c>
      <c r="C18" s="1" t="s">
        <v>383</v>
      </c>
      <c r="D18" s="5">
        <v>133</v>
      </c>
      <c r="E18" s="1" t="s">
        <v>382</v>
      </c>
      <c r="F18" s="5">
        <v>1970</v>
      </c>
    </row>
    <row r="19" spans="1:6" x14ac:dyDescent="0.25">
      <c r="A19" s="5">
        <v>18</v>
      </c>
      <c r="B19" s="1" t="s">
        <v>497</v>
      </c>
      <c r="C19" s="1" t="s">
        <v>383</v>
      </c>
      <c r="D19" s="5">
        <v>362</v>
      </c>
      <c r="E19" s="1" t="s">
        <v>382</v>
      </c>
      <c r="F19" s="5">
        <v>1946</v>
      </c>
    </row>
    <row r="20" spans="1:6" hidden="1" x14ac:dyDescent="0.25">
      <c r="A20" s="5">
        <v>19</v>
      </c>
      <c r="B20" s="1" t="s">
        <v>496</v>
      </c>
      <c r="C20" s="1" t="s">
        <v>436</v>
      </c>
      <c r="D20" s="5">
        <v>495</v>
      </c>
      <c r="E20" s="1" t="s">
        <v>382</v>
      </c>
      <c r="F20" s="5">
        <v>1946</v>
      </c>
    </row>
    <row r="21" spans="1:6" hidden="1" x14ac:dyDescent="0.25">
      <c r="A21" s="5">
        <v>20</v>
      </c>
      <c r="B21" s="1" t="s">
        <v>495</v>
      </c>
      <c r="C21" s="1" t="s">
        <v>390</v>
      </c>
      <c r="D21" s="5">
        <v>217</v>
      </c>
      <c r="E21" s="1" t="s">
        <v>386</v>
      </c>
      <c r="F21" s="5">
        <v>1946</v>
      </c>
    </row>
    <row r="22" spans="1:6" x14ac:dyDescent="0.25">
      <c r="A22" s="5">
        <v>21</v>
      </c>
      <c r="B22" s="1" t="s">
        <v>494</v>
      </c>
      <c r="C22" s="1" t="s">
        <v>383</v>
      </c>
      <c r="D22" s="5">
        <v>117</v>
      </c>
      <c r="E22" s="1" t="s">
        <v>382</v>
      </c>
      <c r="F22" s="5">
        <v>1958</v>
      </c>
    </row>
    <row r="23" spans="1:6" hidden="1" x14ac:dyDescent="0.25">
      <c r="A23" s="5">
        <v>22</v>
      </c>
      <c r="B23" s="1" t="s">
        <v>493</v>
      </c>
      <c r="C23" s="1" t="s">
        <v>396</v>
      </c>
      <c r="D23" s="5">
        <v>187</v>
      </c>
      <c r="E23" s="1" t="s">
        <v>393</v>
      </c>
      <c r="F23" s="5">
        <v>1974</v>
      </c>
    </row>
    <row r="24" spans="1:6" x14ac:dyDescent="0.25">
      <c r="A24" s="5">
        <v>23</v>
      </c>
      <c r="B24" s="1" t="s">
        <v>492</v>
      </c>
      <c r="C24" s="1" t="s">
        <v>383</v>
      </c>
      <c r="D24" s="5">
        <v>121</v>
      </c>
      <c r="E24" s="1" t="s">
        <v>382</v>
      </c>
      <c r="F24" s="5">
        <v>1956</v>
      </c>
    </row>
    <row r="25" spans="1:6" x14ac:dyDescent="0.25">
      <c r="A25" s="5">
        <v>24</v>
      </c>
      <c r="B25" s="1" t="s">
        <v>491</v>
      </c>
      <c r="C25" s="1" t="s">
        <v>383</v>
      </c>
      <c r="D25" s="5">
        <v>64</v>
      </c>
      <c r="E25" s="1" t="s">
        <v>386</v>
      </c>
      <c r="F25" s="5">
        <v>2014</v>
      </c>
    </row>
    <row r="26" spans="1:6" x14ac:dyDescent="0.25">
      <c r="A26" s="5">
        <v>25</v>
      </c>
      <c r="B26" s="1" t="s">
        <v>490</v>
      </c>
      <c r="C26" s="1" t="s">
        <v>383</v>
      </c>
      <c r="D26" s="5">
        <v>36</v>
      </c>
      <c r="E26" s="1" t="s">
        <v>386</v>
      </c>
      <c r="F26" s="5">
        <v>2002</v>
      </c>
    </row>
    <row r="27" spans="1:6" x14ac:dyDescent="0.25">
      <c r="A27" s="5">
        <v>26</v>
      </c>
      <c r="B27" s="1" t="s">
        <v>489</v>
      </c>
      <c r="C27" s="1" t="s">
        <v>383</v>
      </c>
      <c r="D27" s="5">
        <v>81</v>
      </c>
      <c r="E27" s="1" t="s">
        <v>488</v>
      </c>
      <c r="F27" s="5">
        <v>1957</v>
      </c>
    </row>
    <row r="28" spans="1:6" x14ac:dyDescent="0.25">
      <c r="A28" s="5">
        <v>27</v>
      </c>
      <c r="B28" s="1" t="s">
        <v>487</v>
      </c>
      <c r="C28" s="1" t="s">
        <v>383</v>
      </c>
      <c r="D28" s="5">
        <v>158</v>
      </c>
      <c r="E28" s="1" t="s">
        <v>382</v>
      </c>
      <c r="F28" s="5">
        <v>1957</v>
      </c>
    </row>
    <row r="29" spans="1:6" hidden="1" x14ac:dyDescent="0.25">
      <c r="A29" s="5">
        <v>28</v>
      </c>
      <c r="B29" s="1" t="s">
        <v>486</v>
      </c>
      <c r="C29" s="1" t="s">
        <v>396</v>
      </c>
      <c r="D29" s="5">
        <v>166</v>
      </c>
      <c r="E29" s="1" t="s">
        <v>393</v>
      </c>
      <c r="F29" s="5">
        <v>1972</v>
      </c>
    </row>
    <row r="30" spans="1:6" hidden="1" x14ac:dyDescent="0.25">
      <c r="A30" s="5">
        <v>29</v>
      </c>
      <c r="B30" s="1" t="s">
        <v>485</v>
      </c>
      <c r="C30" s="1" t="s">
        <v>396</v>
      </c>
      <c r="D30" s="5">
        <v>1106</v>
      </c>
      <c r="E30" s="1" t="s">
        <v>393</v>
      </c>
      <c r="F30" s="5">
        <v>1916</v>
      </c>
    </row>
    <row r="31" spans="1:6" x14ac:dyDescent="0.25">
      <c r="A31" s="5">
        <v>30</v>
      </c>
      <c r="B31" s="1" t="s">
        <v>484</v>
      </c>
      <c r="C31" s="1" t="s">
        <v>383</v>
      </c>
      <c r="D31" s="5">
        <v>17</v>
      </c>
      <c r="E31" s="1" t="s">
        <v>386</v>
      </c>
      <c r="F31" s="5">
        <v>1954</v>
      </c>
    </row>
    <row r="32" spans="1:6" x14ac:dyDescent="0.25">
      <c r="A32" s="5">
        <v>31</v>
      </c>
      <c r="B32" s="1" t="s">
        <v>483</v>
      </c>
      <c r="C32" s="1" t="s">
        <v>383</v>
      </c>
      <c r="D32" s="5">
        <v>127</v>
      </c>
      <c r="E32" s="1" t="s">
        <v>382</v>
      </c>
      <c r="F32" s="5">
        <v>1949</v>
      </c>
    </row>
    <row r="33" spans="1:6" x14ac:dyDescent="0.25">
      <c r="A33" s="5">
        <v>32</v>
      </c>
      <c r="B33" s="1" t="s">
        <v>482</v>
      </c>
      <c r="C33" s="1" t="s">
        <v>383</v>
      </c>
      <c r="D33" s="5">
        <v>105</v>
      </c>
      <c r="E33" s="1" t="s">
        <v>382</v>
      </c>
      <c r="F33" s="5">
        <v>1973</v>
      </c>
    </row>
    <row r="34" spans="1:6" x14ac:dyDescent="0.25">
      <c r="A34" s="5">
        <v>33</v>
      </c>
      <c r="B34" s="1" t="s">
        <v>481</v>
      </c>
      <c r="C34" s="1" t="s">
        <v>383</v>
      </c>
      <c r="D34" s="5">
        <v>191</v>
      </c>
      <c r="E34" s="1" t="s">
        <v>382</v>
      </c>
      <c r="F34" s="5">
        <v>1946</v>
      </c>
    </row>
    <row r="35" spans="1:6" x14ac:dyDescent="0.25">
      <c r="A35" s="5">
        <v>34</v>
      </c>
      <c r="B35" s="1" t="s">
        <v>480</v>
      </c>
      <c r="C35" s="1" t="s">
        <v>383</v>
      </c>
      <c r="D35" s="5">
        <v>325</v>
      </c>
      <c r="E35" s="1" t="s">
        <v>382</v>
      </c>
      <c r="F35" s="5">
        <v>1962</v>
      </c>
    </row>
    <row r="36" spans="1:6" x14ac:dyDescent="0.25">
      <c r="A36" s="5">
        <v>35</v>
      </c>
      <c r="B36" s="1" t="s">
        <v>479</v>
      </c>
      <c r="C36" s="1" t="s">
        <v>383</v>
      </c>
      <c r="D36" s="5">
        <v>148</v>
      </c>
      <c r="E36" s="1" t="s">
        <v>382</v>
      </c>
      <c r="F36" s="5">
        <v>1954</v>
      </c>
    </row>
    <row r="37" spans="1:6" hidden="1" x14ac:dyDescent="0.25">
      <c r="A37" s="5">
        <v>36</v>
      </c>
      <c r="B37" s="1" t="s">
        <v>478</v>
      </c>
      <c r="C37" s="1" t="s">
        <v>396</v>
      </c>
      <c r="D37" s="5">
        <v>16</v>
      </c>
      <c r="E37" s="1" t="s">
        <v>393</v>
      </c>
      <c r="F37" s="5">
        <v>2013</v>
      </c>
    </row>
    <row r="38" spans="1:6" x14ac:dyDescent="0.25">
      <c r="A38" s="5">
        <v>37</v>
      </c>
      <c r="B38" s="1" t="s">
        <v>477</v>
      </c>
      <c r="C38" s="1" t="s">
        <v>383</v>
      </c>
      <c r="D38" s="5">
        <v>210</v>
      </c>
      <c r="E38" s="1" t="s">
        <v>382</v>
      </c>
      <c r="F38" s="5">
        <v>1946</v>
      </c>
    </row>
    <row r="39" spans="1:6" hidden="1" x14ac:dyDescent="0.25">
      <c r="A39" s="5">
        <v>38</v>
      </c>
      <c r="B39" s="1" t="s">
        <v>476</v>
      </c>
      <c r="C39" s="1" t="s">
        <v>396</v>
      </c>
      <c r="D39" s="5">
        <v>55</v>
      </c>
      <c r="E39" s="1" t="s">
        <v>393</v>
      </c>
      <c r="F39" s="5">
        <v>1974</v>
      </c>
    </row>
    <row r="40" spans="1:6" x14ac:dyDescent="0.25">
      <c r="A40" s="5">
        <v>39</v>
      </c>
      <c r="B40" s="1" t="s">
        <v>475</v>
      </c>
      <c r="C40" s="1" t="s">
        <v>383</v>
      </c>
      <c r="D40" s="5">
        <v>334</v>
      </c>
      <c r="E40" s="1" t="s">
        <v>382</v>
      </c>
      <c r="F40" s="5">
        <v>1946</v>
      </c>
    </row>
    <row r="41" spans="1:6" hidden="1" x14ac:dyDescent="0.25">
      <c r="A41" s="5">
        <v>40</v>
      </c>
      <c r="B41" s="1" t="s">
        <v>474</v>
      </c>
      <c r="C41" s="1" t="s">
        <v>396</v>
      </c>
      <c r="D41" s="5">
        <v>44</v>
      </c>
      <c r="E41" s="1" t="s">
        <v>393</v>
      </c>
      <c r="F41" s="5">
        <v>1958</v>
      </c>
    </row>
    <row r="42" spans="1:6" x14ac:dyDescent="0.25">
      <c r="A42" s="5">
        <v>41</v>
      </c>
      <c r="B42" s="1" t="s">
        <v>473</v>
      </c>
      <c r="C42" s="1" t="s">
        <v>383</v>
      </c>
      <c r="D42" s="5">
        <v>408</v>
      </c>
      <c r="E42" s="1" t="s">
        <v>382</v>
      </c>
      <c r="F42" s="5">
        <v>1946</v>
      </c>
    </row>
    <row r="43" spans="1:6" x14ac:dyDescent="0.25">
      <c r="A43" s="5">
        <v>42</v>
      </c>
      <c r="B43" s="1" t="s">
        <v>472</v>
      </c>
      <c r="C43" s="1" t="s">
        <v>383</v>
      </c>
      <c r="D43" s="5">
        <v>117</v>
      </c>
      <c r="E43" s="1" t="s">
        <v>382</v>
      </c>
      <c r="F43" s="5">
        <v>1974</v>
      </c>
    </row>
    <row r="44" spans="1:6" x14ac:dyDescent="0.25">
      <c r="A44" s="5">
        <v>43</v>
      </c>
      <c r="B44" s="1" t="s">
        <v>471</v>
      </c>
      <c r="C44" s="1" t="s">
        <v>383</v>
      </c>
      <c r="D44" s="5">
        <v>357</v>
      </c>
      <c r="E44" s="1" t="s">
        <v>382</v>
      </c>
      <c r="F44" s="5">
        <v>1975</v>
      </c>
    </row>
    <row r="45" spans="1:6" x14ac:dyDescent="0.25">
      <c r="A45" s="5">
        <v>44</v>
      </c>
      <c r="B45" s="1" t="s">
        <v>470</v>
      </c>
      <c r="C45" s="1" t="s">
        <v>383</v>
      </c>
      <c r="D45" s="5">
        <v>434</v>
      </c>
      <c r="E45" s="1" t="s">
        <v>382</v>
      </c>
      <c r="F45" s="5">
        <v>1946</v>
      </c>
    </row>
    <row r="46" spans="1:6" x14ac:dyDescent="0.25">
      <c r="A46" s="5">
        <v>45</v>
      </c>
      <c r="B46" s="1" t="s">
        <v>469</v>
      </c>
      <c r="C46" s="1" t="s">
        <v>383</v>
      </c>
      <c r="D46" s="5">
        <v>619</v>
      </c>
      <c r="E46" s="1" t="s">
        <v>382</v>
      </c>
      <c r="F46" s="5">
        <v>1946</v>
      </c>
    </row>
    <row r="47" spans="1:6" hidden="1" x14ac:dyDescent="0.25">
      <c r="A47" s="5">
        <v>46</v>
      </c>
      <c r="B47" s="1" t="s">
        <v>468</v>
      </c>
      <c r="C47" s="1" t="s">
        <v>396</v>
      </c>
      <c r="D47" s="5">
        <v>249</v>
      </c>
      <c r="E47" s="1" t="s">
        <v>393</v>
      </c>
      <c r="F47" s="5">
        <v>2007</v>
      </c>
    </row>
    <row r="48" spans="1:6" x14ac:dyDescent="0.25">
      <c r="A48" s="5">
        <v>47</v>
      </c>
      <c r="B48" s="1" t="s">
        <v>467</v>
      </c>
      <c r="C48" s="1" t="s">
        <v>383</v>
      </c>
      <c r="D48" s="5">
        <v>272</v>
      </c>
      <c r="E48" s="1" t="s">
        <v>382</v>
      </c>
      <c r="F48" s="5">
        <v>1998</v>
      </c>
    </row>
    <row r="49" spans="1:6" x14ac:dyDescent="0.25">
      <c r="A49" s="5">
        <v>48</v>
      </c>
      <c r="B49" s="1" t="s">
        <v>466</v>
      </c>
      <c r="C49" s="1" t="s">
        <v>383</v>
      </c>
      <c r="D49" s="5">
        <v>352</v>
      </c>
      <c r="E49" s="1" t="s">
        <v>382</v>
      </c>
      <c r="F49" s="5">
        <v>2009</v>
      </c>
    </row>
    <row r="50" spans="1:6" x14ac:dyDescent="0.25">
      <c r="A50" s="5">
        <v>49</v>
      </c>
      <c r="B50" s="1" t="s">
        <v>465</v>
      </c>
      <c r="C50" s="1" t="s">
        <v>383</v>
      </c>
      <c r="D50" s="5">
        <v>460</v>
      </c>
      <c r="E50" s="1" t="s">
        <v>382</v>
      </c>
      <c r="F50" s="5">
        <v>1953</v>
      </c>
    </row>
    <row r="51" spans="1:6" hidden="1" x14ac:dyDescent="0.25">
      <c r="A51" s="5">
        <v>50</v>
      </c>
      <c r="B51" s="1" t="s">
        <v>464</v>
      </c>
      <c r="C51" s="1" t="s">
        <v>396</v>
      </c>
      <c r="D51" s="5">
        <v>68</v>
      </c>
      <c r="E51" s="1" t="s">
        <v>386</v>
      </c>
      <c r="F51" s="5">
        <v>1946</v>
      </c>
    </row>
    <row r="52" spans="1:6" x14ac:dyDescent="0.25">
      <c r="A52" s="5">
        <v>51</v>
      </c>
      <c r="B52" s="1" t="s">
        <v>463</v>
      </c>
      <c r="C52" s="1" t="s">
        <v>383</v>
      </c>
      <c r="D52" s="5">
        <v>218</v>
      </c>
      <c r="E52" s="1" t="s">
        <v>382</v>
      </c>
      <c r="F52" s="5">
        <v>1963</v>
      </c>
    </row>
    <row r="53" spans="1:6" x14ac:dyDescent="0.25">
      <c r="A53" s="5">
        <v>52</v>
      </c>
      <c r="B53" s="1" t="s">
        <v>462</v>
      </c>
      <c r="C53" s="1" t="s">
        <v>383</v>
      </c>
      <c r="D53" s="5">
        <v>257</v>
      </c>
      <c r="E53" s="1" t="s">
        <v>382</v>
      </c>
      <c r="F53" s="5">
        <v>1959</v>
      </c>
    </row>
    <row r="54" spans="1:6" x14ac:dyDescent="0.25">
      <c r="A54" s="5">
        <v>53</v>
      </c>
      <c r="B54" s="1" t="s">
        <v>461</v>
      </c>
      <c r="C54" s="1" t="s">
        <v>383</v>
      </c>
      <c r="D54" s="5">
        <v>265</v>
      </c>
      <c r="E54" s="1" t="s">
        <v>382</v>
      </c>
      <c r="F54" s="5">
        <v>1974</v>
      </c>
    </row>
    <row r="55" spans="1:6" x14ac:dyDescent="0.25">
      <c r="A55" s="5">
        <v>54</v>
      </c>
      <c r="B55" s="1" t="s">
        <v>460</v>
      </c>
      <c r="C55" s="1" t="s">
        <v>383</v>
      </c>
      <c r="D55" s="5">
        <v>274</v>
      </c>
      <c r="E55" s="1" t="s">
        <v>382</v>
      </c>
      <c r="F55" s="5">
        <v>1986</v>
      </c>
    </row>
    <row r="56" spans="1:6" x14ac:dyDescent="0.25">
      <c r="A56" s="5">
        <v>55</v>
      </c>
      <c r="B56" s="1" t="s">
        <v>459</v>
      </c>
      <c r="C56" s="1" t="s">
        <v>383</v>
      </c>
      <c r="D56" s="5">
        <v>401</v>
      </c>
      <c r="E56" s="1" t="s">
        <v>386</v>
      </c>
      <c r="F56" s="5">
        <v>1991</v>
      </c>
    </row>
    <row r="57" spans="1:6" hidden="1" x14ac:dyDescent="0.25">
      <c r="A57" s="5">
        <v>56</v>
      </c>
      <c r="B57" s="1" t="s">
        <v>458</v>
      </c>
      <c r="C57" s="1" t="s">
        <v>396</v>
      </c>
      <c r="D57" s="5">
        <v>72</v>
      </c>
      <c r="E57" s="1" t="s">
        <v>393</v>
      </c>
      <c r="F57" s="5">
        <v>1973</v>
      </c>
    </row>
    <row r="58" spans="1:6" x14ac:dyDescent="0.25">
      <c r="A58" s="5">
        <v>57</v>
      </c>
      <c r="B58" s="1" t="s">
        <v>457</v>
      </c>
      <c r="C58" s="1" t="s">
        <v>383</v>
      </c>
      <c r="D58" s="5">
        <v>95</v>
      </c>
      <c r="E58" s="1" t="s">
        <v>386</v>
      </c>
      <c r="F58" s="5">
        <v>2003</v>
      </c>
    </row>
    <row r="59" spans="1:6" x14ac:dyDescent="0.25">
      <c r="A59" s="5">
        <v>58</v>
      </c>
      <c r="B59" s="1" t="s">
        <v>456</v>
      </c>
      <c r="C59" s="1" t="s">
        <v>383</v>
      </c>
      <c r="D59" s="5">
        <v>118</v>
      </c>
      <c r="E59" s="1" t="s">
        <v>386</v>
      </c>
      <c r="F59" s="5">
        <v>1961</v>
      </c>
    </row>
    <row r="60" spans="1:6" x14ac:dyDescent="0.25">
      <c r="A60" s="5">
        <v>59</v>
      </c>
      <c r="B60" s="1" t="s">
        <v>455</v>
      </c>
      <c r="C60" s="1" t="s">
        <v>383</v>
      </c>
      <c r="D60" s="5">
        <v>81</v>
      </c>
      <c r="E60" s="1" t="s">
        <v>386</v>
      </c>
      <c r="F60" s="5">
        <v>1958</v>
      </c>
    </row>
    <row r="61" spans="1:6" x14ac:dyDescent="0.25">
      <c r="A61" s="5">
        <v>60</v>
      </c>
      <c r="B61" s="1" t="s">
        <v>454</v>
      </c>
      <c r="C61" s="1" t="s">
        <v>451</v>
      </c>
      <c r="D61" s="5">
        <v>177</v>
      </c>
      <c r="E61" s="1" t="s">
        <v>386</v>
      </c>
      <c r="F61" s="5">
        <v>2005</v>
      </c>
    </row>
    <row r="62" spans="1:6" x14ac:dyDescent="0.25">
      <c r="A62" s="5">
        <v>61</v>
      </c>
      <c r="B62" s="1" t="s">
        <v>453</v>
      </c>
      <c r="C62" s="1" t="s">
        <v>383</v>
      </c>
      <c r="D62" s="5">
        <v>76</v>
      </c>
      <c r="E62" s="1" t="s">
        <v>386</v>
      </c>
      <c r="F62" s="5">
        <v>1956</v>
      </c>
    </row>
    <row r="63" spans="1:6" x14ac:dyDescent="0.25">
      <c r="A63" s="5">
        <v>62</v>
      </c>
      <c r="B63" s="1" t="s">
        <v>452</v>
      </c>
      <c r="C63" s="1" t="s">
        <v>451</v>
      </c>
      <c r="D63" s="5">
        <v>54</v>
      </c>
      <c r="E63" s="1" t="s">
        <v>386</v>
      </c>
      <c r="F63" s="5">
        <v>1957</v>
      </c>
    </row>
    <row r="64" spans="1:6" x14ac:dyDescent="0.25">
      <c r="A64" s="5">
        <v>63</v>
      </c>
      <c r="B64" s="1" t="s">
        <v>450</v>
      </c>
      <c r="C64" s="1" t="s">
        <v>383</v>
      </c>
      <c r="D64" s="5">
        <v>116</v>
      </c>
      <c r="E64" s="1" t="s">
        <v>386</v>
      </c>
      <c r="F64" s="5">
        <v>1999</v>
      </c>
    </row>
    <row r="65" spans="1:6" x14ac:dyDescent="0.25">
      <c r="A65" s="5">
        <v>64</v>
      </c>
      <c r="B65" s="1" t="s">
        <v>449</v>
      </c>
      <c r="C65" s="1" t="s">
        <v>383</v>
      </c>
      <c r="D65" s="5">
        <v>118</v>
      </c>
      <c r="E65" s="1" t="s">
        <v>386</v>
      </c>
      <c r="F65" s="5">
        <v>1996</v>
      </c>
    </row>
    <row r="66" spans="1:6" hidden="1" x14ac:dyDescent="0.25">
      <c r="A66" s="5">
        <v>65</v>
      </c>
      <c r="B66" s="1" t="s">
        <v>448</v>
      </c>
      <c r="C66" s="1" t="s">
        <v>396</v>
      </c>
      <c r="D66" s="5">
        <v>16</v>
      </c>
      <c r="E66" s="1" t="s">
        <v>393</v>
      </c>
      <c r="F66" s="5">
        <v>1997</v>
      </c>
    </row>
    <row r="67" spans="1:6" x14ac:dyDescent="0.25">
      <c r="A67" s="5">
        <v>66</v>
      </c>
      <c r="B67" s="1" t="s">
        <v>447</v>
      </c>
      <c r="C67" s="1" t="s">
        <v>383</v>
      </c>
      <c r="D67" s="5">
        <v>172</v>
      </c>
      <c r="E67" s="1" t="s">
        <v>382</v>
      </c>
      <c r="F67" s="5">
        <v>1972</v>
      </c>
    </row>
    <row r="68" spans="1:6" hidden="1" x14ac:dyDescent="0.25">
      <c r="A68" s="5">
        <v>67</v>
      </c>
      <c r="B68" s="1" t="s">
        <v>446</v>
      </c>
      <c r="C68" s="1" t="s">
        <v>396</v>
      </c>
      <c r="D68" s="5">
        <v>130</v>
      </c>
      <c r="E68" s="1" t="s">
        <v>393</v>
      </c>
      <c r="F68" s="5">
        <v>1957</v>
      </c>
    </row>
    <row r="69" spans="1:6" x14ac:dyDescent="0.25">
      <c r="A69" s="5">
        <v>68</v>
      </c>
      <c r="B69" s="1" t="s">
        <v>445</v>
      </c>
      <c r="C69" s="1" t="s">
        <v>383</v>
      </c>
      <c r="D69" s="5">
        <v>676</v>
      </c>
      <c r="E69" s="1" t="s">
        <v>409</v>
      </c>
      <c r="F69" s="5">
        <v>1953</v>
      </c>
    </row>
    <row r="70" spans="1:6" x14ac:dyDescent="0.25">
      <c r="A70" s="5">
        <v>69</v>
      </c>
      <c r="B70" s="1" t="s">
        <v>444</v>
      </c>
      <c r="C70" s="1" t="s">
        <v>383</v>
      </c>
      <c r="D70" s="5">
        <v>453</v>
      </c>
      <c r="E70" s="1" t="s">
        <v>382</v>
      </c>
      <c r="F70" s="5">
        <v>1953</v>
      </c>
    </row>
    <row r="71" spans="1:6" hidden="1" x14ac:dyDescent="0.25">
      <c r="A71" s="5">
        <v>70</v>
      </c>
      <c r="B71" s="1" t="s">
        <v>443</v>
      </c>
      <c r="C71" s="1" t="s">
        <v>442</v>
      </c>
      <c r="D71" s="5">
        <v>158</v>
      </c>
      <c r="E71" s="1" t="s">
        <v>386</v>
      </c>
      <c r="F71" s="5">
        <v>1966</v>
      </c>
    </row>
    <row r="72" spans="1:6" x14ac:dyDescent="0.25">
      <c r="A72" s="5">
        <v>71</v>
      </c>
      <c r="B72" s="1" t="s">
        <v>441</v>
      </c>
      <c r="C72" s="1" t="s">
        <v>383</v>
      </c>
      <c r="D72" s="5">
        <v>355</v>
      </c>
      <c r="E72" s="1" t="s">
        <v>382</v>
      </c>
      <c r="F72" s="5">
        <v>1959</v>
      </c>
    </row>
    <row r="73" spans="1:6" x14ac:dyDescent="0.25">
      <c r="A73" s="5">
        <v>72</v>
      </c>
      <c r="B73" s="1" t="s">
        <v>440</v>
      </c>
      <c r="C73" s="1" t="s">
        <v>383</v>
      </c>
      <c r="D73" s="5">
        <v>131</v>
      </c>
      <c r="E73" s="1" t="s">
        <v>382</v>
      </c>
      <c r="F73" s="5">
        <v>2015</v>
      </c>
    </row>
    <row r="74" spans="1:6" x14ac:dyDescent="0.25">
      <c r="A74" s="5">
        <v>73</v>
      </c>
      <c r="B74" s="1" t="s">
        <v>439</v>
      </c>
      <c r="C74" s="1" t="s">
        <v>383</v>
      </c>
      <c r="D74" s="5">
        <v>172</v>
      </c>
      <c r="E74" s="1" t="s">
        <v>382</v>
      </c>
      <c r="F74" s="5">
        <v>1949</v>
      </c>
    </row>
    <row r="75" spans="1:6" x14ac:dyDescent="0.25">
      <c r="A75" s="5">
        <v>74</v>
      </c>
      <c r="B75" s="1" t="s">
        <v>438</v>
      </c>
      <c r="C75" s="1" t="s">
        <v>383</v>
      </c>
      <c r="D75" s="5">
        <v>453</v>
      </c>
      <c r="E75" s="1" t="s">
        <v>382</v>
      </c>
      <c r="F75" s="5">
        <v>1960</v>
      </c>
    </row>
    <row r="76" spans="1:6" hidden="1" x14ac:dyDescent="0.25">
      <c r="A76" s="5">
        <v>75</v>
      </c>
      <c r="B76" s="1" t="s">
        <v>437</v>
      </c>
      <c r="C76" s="1" t="s">
        <v>436</v>
      </c>
      <c r="D76" s="5">
        <v>357</v>
      </c>
      <c r="E76" s="1" t="s">
        <v>386</v>
      </c>
      <c r="F76" s="5">
        <v>2000</v>
      </c>
    </row>
    <row r="77" spans="1:6" x14ac:dyDescent="0.25">
      <c r="A77" s="5">
        <v>76</v>
      </c>
      <c r="B77" s="1" t="s">
        <v>435</v>
      </c>
      <c r="C77" s="1" t="s">
        <v>383</v>
      </c>
      <c r="D77" s="5">
        <v>348</v>
      </c>
      <c r="E77" s="1" t="s">
        <v>382</v>
      </c>
      <c r="F77" s="5">
        <v>1957</v>
      </c>
    </row>
    <row r="78" spans="1:6" x14ac:dyDescent="0.25">
      <c r="A78" s="5">
        <v>77</v>
      </c>
      <c r="B78" s="1" t="s">
        <v>434</v>
      </c>
      <c r="C78" s="1" t="s">
        <v>383</v>
      </c>
      <c r="D78" s="5">
        <v>145</v>
      </c>
      <c r="E78" s="1" t="s">
        <v>382</v>
      </c>
      <c r="F78" s="5">
        <v>1965</v>
      </c>
    </row>
    <row r="79" spans="1:6" x14ac:dyDescent="0.25">
      <c r="A79" s="5">
        <v>78</v>
      </c>
      <c r="B79" s="1" t="s">
        <v>433</v>
      </c>
      <c r="C79" s="1" t="s">
        <v>383</v>
      </c>
      <c r="D79" s="5">
        <v>49</v>
      </c>
      <c r="E79" s="1" t="s">
        <v>386</v>
      </c>
      <c r="F79" s="5">
        <v>2008</v>
      </c>
    </row>
    <row r="80" spans="1:6" x14ac:dyDescent="0.25">
      <c r="A80" s="5">
        <v>79</v>
      </c>
      <c r="B80" s="1" t="s">
        <v>432</v>
      </c>
      <c r="C80" s="1" t="s">
        <v>383</v>
      </c>
      <c r="D80" s="5">
        <v>101</v>
      </c>
      <c r="E80" s="1" t="s">
        <v>382</v>
      </c>
      <c r="F80" s="5">
        <v>1972</v>
      </c>
    </row>
    <row r="81" spans="1:6" x14ac:dyDescent="0.25">
      <c r="A81" s="5">
        <v>80</v>
      </c>
      <c r="B81" s="1" t="s">
        <v>431</v>
      </c>
      <c r="C81" s="1" t="s">
        <v>430</v>
      </c>
      <c r="D81" s="5">
        <v>122</v>
      </c>
      <c r="E81" s="1" t="s">
        <v>393</v>
      </c>
      <c r="F81" s="5">
        <v>1946</v>
      </c>
    </row>
    <row r="82" spans="1:6" x14ac:dyDescent="0.25">
      <c r="A82" s="5">
        <v>81</v>
      </c>
      <c r="B82" s="1" t="s">
        <v>429</v>
      </c>
      <c r="C82" s="1" t="s">
        <v>383</v>
      </c>
      <c r="D82" s="5">
        <v>394</v>
      </c>
      <c r="E82" s="1" t="s">
        <v>382</v>
      </c>
      <c r="F82" s="5">
        <v>1955</v>
      </c>
    </row>
    <row r="83" spans="1:6" x14ac:dyDescent="0.25">
      <c r="A83" s="5">
        <v>82</v>
      </c>
      <c r="B83" s="1" t="s">
        <v>428</v>
      </c>
      <c r="C83" s="1" t="s">
        <v>383</v>
      </c>
      <c r="D83" s="5">
        <v>50</v>
      </c>
      <c r="E83" s="1" t="s">
        <v>382</v>
      </c>
      <c r="F83" s="5">
        <v>1955</v>
      </c>
    </row>
    <row r="84" spans="1:6" hidden="1" x14ac:dyDescent="0.25">
      <c r="A84" s="5">
        <v>83</v>
      </c>
      <c r="B84" s="1" t="s">
        <v>427</v>
      </c>
      <c r="C84" s="1" t="s">
        <v>396</v>
      </c>
      <c r="D84" s="5">
        <v>36</v>
      </c>
      <c r="E84" s="1" t="s">
        <v>393</v>
      </c>
      <c r="F84" s="5">
        <v>2017</v>
      </c>
    </row>
    <row r="85" spans="1:6" x14ac:dyDescent="0.25">
      <c r="A85" s="5">
        <v>84</v>
      </c>
      <c r="B85" s="1" t="s">
        <v>426</v>
      </c>
      <c r="C85" s="1" t="s">
        <v>383</v>
      </c>
      <c r="D85" s="5">
        <v>204</v>
      </c>
      <c r="E85" s="1" t="s">
        <v>382</v>
      </c>
      <c r="F85" s="5">
        <v>1947</v>
      </c>
    </row>
    <row r="86" spans="1:6" x14ac:dyDescent="0.25">
      <c r="A86" s="5">
        <v>85</v>
      </c>
      <c r="B86" s="1" t="s">
        <v>425</v>
      </c>
      <c r="C86" s="1" t="s">
        <v>383</v>
      </c>
      <c r="D86" s="5">
        <v>231</v>
      </c>
      <c r="E86" s="1" t="s">
        <v>382</v>
      </c>
      <c r="F86" s="5">
        <v>1946</v>
      </c>
    </row>
    <row r="87" spans="1:6" x14ac:dyDescent="0.25">
      <c r="A87" s="5">
        <v>86</v>
      </c>
      <c r="B87" s="1" t="s">
        <v>424</v>
      </c>
      <c r="C87" s="1" t="s">
        <v>383</v>
      </c>
      <c r="D87" s="5">
        <v>184</v>
      </c>
      <c r="E87" s="1" t="s">
        <v>382</v>
      </c>
      <c r="F87" s="5">
        <v>2010</v>
      </c>
    </row>
    <row r="88" spans="1:6" x14ac:dyDescent="0.25">
      <c r="A88" s="5">
        <v>87</v>
      </c>
      <c r="B88" s="1" t="s">
        <v>423</v>
      </c>
      <c r="C88" s="1" t="s">
        <v>383</v>
      </c>
      <c r="D88" s="5">
        <v>523</v>
      </c>
      <c r="E88" s="1" t="s">
        <v>382</v>
      </c>
      <c r="F88" s="5">
        <v>1959</v>
      </c>
    </row>
    <row r="89" spans="1:6" x14ac:dyDescent="0.25">
      <c r="A89" s="5">
        <v>88</v>
      </c>
      <c r="B89" s="1" t="s">
        <v>422</v>
      </c>
      <c r="C89" s="1" t="s">
        <v>383</v>
      </c>
      <c r="D89" s="5">
        <v>199</v>
      </c>
      <c r="E89" s="1" t="s">
        <v>382</v>
      </c>
      <c r="F89" s="5">
        <v>1969</v>
      </c>
    </row>
    <row r="90" spans="1:6" x14ac:dyDescent="0.25">
      <c r="A90" s="5">
        <v>89</v>
      </c>
      <c r="B90" s="1" t="s">
        <v>421</v>
      </c>
      <c r="C90" s="1" t="s">
        <v>383</v>
      </c>
      <c r="D90" s="5">
        <v>412</v>
      </c>
      <c r="E90" s="1" t="s">
        <v>382</v>
      </c>
      <c r="F90" s="5">
        <v>1946</v>
      </c>
    </row>
    <row r="91" spans="1:6" x14ac:dyDescent="0.25">
      <c r="A91" s="5">
        <v>90</v>
      </c>
      <c r="B91" s="1" t="s">
        <v>420</v>
      </c>
      <c r="C91" s="1" t="s">
        <v>383</v>
      </c>
      <c r="D91" s="5">
        <v>249</v>
      </c>
      <c r="E91" s="1" t="s">
        <v>382</v>
      </c>
      <c r="F91" s="5">
        <v>1973</v>
      </c>
    </row>
    <row r="92" spans="1:6" x14ac:dyDescent="0.25">
      <c r="A92" s="5">
        <v>91</v>
      </c>
      <c r="B92" s="1" t="s">
        <v>419</v>
      </c>
      <c r="C92" s="1" t="s">
        <v>383</v>
      </c>
      <c r="D92" s="5">
        <v>377</v>
      </c>
      <c r="E92" s="1" t="s">
        <v>382</v>
      </c>
      <c r="F92" s="5">
        <v>1961</v>
      </c>
    </row>
    <row r="93" spans="1:6" x14ac:dyDescent="0.25">
      <c r="A93" s="5">
        <v>92</v>
      </c>
      <c r="B93" s="1" t="s">
        <v>418</v>
      </c>
      <c r="C93" s="1" t="s">
        <v>383</v>
      </c>
      <c r="D93" s="5">
        <v>231</v>
      </c>
      <c r="E93" s="1" t="s">
        <v>382</v>
      </c>
      <c r="F93" s="5">
        <v>1946</v>
      </c>
    </row>
    <row r="94" spans="1:6" x14ac:dyDescent="0.25">
      <c r="A94" s="5">
        <v>93</v>
      </c>
      <c r="B94" s="1" t="s">
        <v>417</v>
      </c>
      <c r="C94" s="1" t="s">
        <v>383</v>
      </c>
      <c r="D94" s="5">
        <v>327</v>
      </c>
      <c r="E94" s="1" t="s">
        <v>382</v>
      </c>
      <c r="F94" s="5">
        <v>1959</v>
      </c>
    </row>
    <row r="95" spans="1:6" x14ac:dyDescent="0.25">
      <c r="A95" s="5">
        <v>94</v>
      </c>
      <c r="B95" s="1" t="s">
        <v>416</v>
      </c>
      <c r="C95" s="1" t="s">
        <v>383</v>
      </c>
      <c r="D95" s="5">
        <v>125</v>
      </c>
      <c r="E95" s="1" t="s">
        <v>386</v>
      </c>
      <c r="F95" s="5">
        <v>2010</v>
      </c>
    </row>
    <row r="96" spans="1:6" hidden="1" x14ac:dyDescent="0.25">
      <c r="A96" s="5">
        <v>95</v>
      </c>
      <c r="B96" s="1" t="s">
        <v>415</v>
      </c>
      <c r="C96" s="1" t="s">
        <v>414</v>
      </c>
      <c r="D96" s="5">
        <v>115</v>
      </c>
      <c r="E96" s="1" t="s">
        <v>386</v>
      </c>
      <c r="F96" s="5">
        <v>1969</v>
      </c>
    </row>
    <row r="97" spans="1:6" x14ac:dyDescent="0.25">
      <c r="A97" s="5">
        <v>96</v>
      </c>
      <c r="B97" s="1" t="s">
        <v>413</v>
      </c>
      <c r="C97" s="1" t="s">
        <v>383</v>
      </c>
      <c r="D97" s="5">
        <v>266</v>
      </c>
      <c r="E97" s="1" t="s">
        <v>382</v>
      </c>
      <c r="F97" s="5">
        <v>1949</v>
      </c>
    </row>
    <row r="98" spans="1:6" x14ac:dyDescent="0.25">
      <c r="A98" s="5">
        <v>97</v>
      </c>
      <c r="B98" s="1" t="s">
        <v>412</v>
      </c>
      <c r="C98" s="1" t="s">
        <v>383</v>
      </c>
      <c r="D98" s="5">
        <v>392</v>
      </c>
      <c r="E98" s="1" t="s">
        <v>382</v>
      </c>
      <c r="F98" s="5">
        <v>1946</v>
      </c>
    </row>
    <row r="99" spans="1:6" hidden="1" x14ac:dyDescent="0.25">
      <c r="A99" s="5">
        <v>98</v>
      </c>
      <c r="B99" s="1" t="s">
        <v>411</v>
      </c>
      <c r="C99" s="1" t="s">
        <v>396</v>
      </c>
      <c r="D99" s="5">
        <v>74</v>
      </c>
      <c r="E99" s="1" t="s">
        <v>393</v>
      </c>
      <c r="F99" s="5">
        <v>1957</v>
      </c>
    </row>
    <row r="100" spans="1:6" x14ac:dyDescent="0.25">
      <c r="A100" s="5">
        <v>99</v>
      </c>
      <c r="B100" s="1" t="s">
        <v>410</v>
      </c>
      <c r="C100" s="1" t="s">
        <v>383</v>
      </c>
      <c r="D100" s="5">
        <v>445</v>
      </c>
      <c r="E100" s="1" t="s">
        <v>409</v>
      </c>
      <c r="F100" s="5">
        <v>1955</v>
      </c>
    </row>
    <row r="101" spans="1:6" x14ac:dyDescent="0.25">
      <c r="A101" s="5">
        <v>100</v>
      </c>
      <c r="B101" s="1" t="s">
        <v>408</v>
      </c>
      <c r="C101" s="1" t="s">
        <v>383</v>
      </c>
      <c r="D101" s="5">
        <v>101</v>
      </c>
      <c r="E101" s="1" t="s">
        <v>382</v>
      </c>
      <c r="F101" s="5">
        <v>1972</v>
      </c>
    </row>
    <row r="102" spans="1:6" x14ac:dyDescent="0.25">
      <c r="A102" s="5">
        <v>101</v>
      </c>
      <c r="B102" s="1" t="s">
        <v>407</v>
      </c>
      <c r="C102" s="1" t="s">
        <v>383</v>
      </c>
      <c r="D102" s="5">
        <v>273</v>
      </c>
      <c r="E102" s="1" t="s">
        <v>382</v>
      </c>
      <c r="F102" s="5">
        <v>1960</v>
      </c>
    </row>
    <row r="103" spans="1:6" x14ac:dyDescent="0.25">
      <c r="A103" s="5">
        <v>102</v>
      </c>
      <c r="B103" s="1" t="s">
        <v>406</v>
      </c>
      <c r="C103" s="1" t="s">
        <v>383</v>
      </c>
      <c r="D103" s="5">
        <v>281</v>
      </c>
      <c r="E103" s="1" t="s">
        <v>382</v>
      </c>
      <c r="F103" s="5">
        <v>1946</v>
      </c>
    </row>
    <row r="104" spans="1:6" x14ac:dyDescent="0.25">
      <c r="A104" s="5">
        <v>103</v>
      </c>
      <c r="B104" s="1" t="s">
        <v>405</v>
      </c>
      <c r="C104" s="1" t="s">
        <v>383</v>
      </c>
      <c r="D104" s="5">
        <v>153</v>
      </c>
      <c r="E104" s="1" t="s">
        <v>382</v>
      </c>
      <c r="F104" s="5">
        <v>1958</v>
      </c>
    </row>
    <row r="105" spans="1:6" x14ac:dyDescent="0.25">
      <c r="A105" s="5">
        <v>104</v>
      </c>
      <c r="B105" s="1" t="s">
        <v>404</v>
      </c>
      <c r="C105" s="1" t="s">
        <v>383</v>
      </c>
      <c r="D105" s="5">
        <v>453</v>
      </c>
      <c r="E105" s="1" t="s">
        <v>382</v>
      </c>
      <c r="F105" s="5">
        <v>2013</v>
      </c>
    </row>
    <row r="106" spans="1:6" x14ac:dyDescent="0.25">
      <c r="A106" s="5">
        <v>105</v>
      </c>
      <c r="B106" s="1" t="s">
        <v>403</v>
      </c>
      <c r="C106" s="1" t="s">
        <v>383</v>
      </c>
      <c r="D106" s="5">
        <v>100</v>
      </c>
      <c r="E106" s="1" t="s">
        <v>386</v>
      </c>
      <c r="F106" s="5">
        <v>1963</v>
      </c>
    </row>
    <row r="107" spans="1:6" hidden="1" x14ac:dyDescent="0.25">
      <c r="A107" s="5">
        <v>106</v>
      </c>
      <c r="B107" s="1" t="s">
        <v>402</v>
      </c>
      <c r="C107" s="1" t="s">
        <v>396</v>
      </c>
      <c r="D107" s="5">
        <v>59</v>
      </c>
      <c r="E107" s="1" t="s">
        <v>386</v>
      </c>
      <c r="F107" s="5">
        <v>1964</v>
      </c>
    </row>
    <row r="108" spans="1:6" x14ac:dyDescent="0.25">
      <c r="A108" s="5">
        <v>107</v>
      </c>
      <c r="B108" s="1" t="s">
        <v>401</v>
      </c>
      <c r="C108" s="1" t="s">
        <v>383</v>
      </c>
      <c r="D108" s="5">
        <v>384</v>
      </c>
      <c r="E108" s="1" t="s">
        <v>382</v>
      </c>
      <c r="F108" s="5">
        <v>1946</v>
      </c>
    </row>
    <row r="109" spans="1:6" x14ac:dyDescent="0.25">
      <c r="A109" s="5">
        <v>108</v>
      </c>
      <c r="B109" s="1" t="s">
        <v>400</v>
      </c>
      <c r="C109" s="1" t="s">
        <v>383</v>
      </c>
      <c r="D109" s="5">
        <v>360</v>
      </c>
      <c r="E109" s="1" t="s">
        <v>382</v>
      </c>
      <c r="F109" s="5">
        <v>1946</v>
      </c>
    </row>
    <row r="110" spans="1:6" x14ac:dyDescent="0.25">
      <c r="A110" s="5">
        <v>109</v>
      </c>
      <c r="B110" s="1" t="s">
        <v>399</v>
      </c>
      <c r="C110" s="1" t="s">
        <v>383</v>
      </c>
      <c r="D110" s="5">
        <v>366</v>
      </c>
      <c r="E110" s="1" t="s">
        <v>393</v>
      </c>
      <c r="F110" s="5">
        <v>1946</v>
      </c>
    </row>
    <row r="111" spans="1:6" hidden="1" x14ac:dyDescent="0.25">
      <c r="A111" s="5">
        <v>110</v>
      </c>
      <c r="B111" s="1" t="s">
        <v>398</v>
      </c>
      <c r="C111" s="1" t="s">
        <v>396</v>
      </c>
      <c r="D111" s="5">
        <v>16</v>
      </c>
      <c r="E111" s="1" t="s">
        <v>393</v>
      </c>
      <c r="F111" s="5">
        <v>1996</v>
      </c>
    </row>
    <row r="112" spans="1:6" hidden="1" x14ac:dyDescent="0.25">
      <c r="A112" s="5">
        <v>111</v>
      </c>
      <c r="B112" s="1" t="s">
        <v>397</v>
      </c>
      <c r="C112" s="1" t="s">
        <v>396</v>
      </c>
      <c r="D112" s="5">
        <v>60</v>
      </c>
      <c r="E112" s="1" t="s">
        <v>393</v>
      </c>
      <c r="F112" s="5">
        <v>1970</v>
      </c>
    </row>
    <row r="113" spans="1:6" hidden="1" x14ac:dyDescent="0.25">
      <c r="A113" s="5">
        <v>112</v>
      </c>
      <c r="B113" s="1" t="s">
        <v>395</v>
      </c>
      <c r="C113" s="1" t="s">
        <v>394</v>
      </c>
      <c r="D113" s="5">
        <v>63</v>
      </c>
      <c r="E113" s="1" t="s">
        <v>393</v>
      </c>
      <c r="F113" s="5">
        <v>1983</v>
      </c>
    </row>
    <row r="114" spans="1:6" x14ac:dyDescent="0.25">
      <c r="A114" s="5">
        <v>113</v>
      </c>
      <c r="B114" s="1" t="s">
        <v>392</v>
      </c>
      <c r="C114" s="1" t="s">
        <v>383</v>
      </c>
      <c r="D114" s="5">
        <v>610</v>
      </c>
      <c r="E114" s="1" t="s">
        <v>382</v>
      </c>
      <c r="F114" s="5">
        <v>1971</v>
      </c>
    </row>
    <row r="115" spans="1:6" hidden="1" x14ac:dyDescent="0.25">
      <c r="A115" s="5">
        <v>114</v>
      </c>
      <c r="B115" s="1" t="s">
        <v>391</v>
      </c>
      <c r="C115" s="1" t="s">
        <v>390</v>
      </c>
      <c r="D115" s="5">
        <v>60</v>
      </c>
      <c r="E115" s="1" t="s">
        <v>386</v>
      </c>
      <c r="F115" s="5">
        <v>1983</v>
      </c>
    </row>
    <row r="116" spans="1:6" x14ac:dyDescent="0.25">
      <c r="A116" s="5">
        <v>115</v>
      </c>
      <c r="B116" s="1" t="s">
        <v>389</v>
      </c>
      <c r="C116" s="1" t="s">
        <v>383</v>
      </c>
      <c r="D116" s="5">
        <v>158</v>
      </c>
      <c r="E116" s="1" t="s">
        <v>382</v>
      </c>
      <c r="F116" s="5">
        <v>1972</v>
      </c>
    </row>
    <row r="117" spans="1:6" x14ac:dyDescent="0.25">
      <c r="A117" s="5">
        <v>116</v>
      </c>
      <c r="B117" s="1" t="s">
        <v>388</v>
      </c>
      <c r="C117" s="1" t="s">
        <v>383</v>
      </c>
      <c r="D117" s="5">
        <v>350</v>
      </c>
      <c r="E117" s="1" t="s">
        <v>382</v>
      </c>
      <c r="F117" s="5">
        <v>1958</v>
      </c>
    </row>
    <row r="118" spans="1:6" x14ac:dyDescent="0.25">
      <c r="A118" s="5">
        <v>117</v>
      </c>
      <c r="B118" s="1" t="s">
        <v>387</v>
      </c>
      <c r="C118" s="1" t="s">
        <v>383</v>
      </c>
      <c r="D118" s="5">
        <v>46</v>
      </c>
      <c r="E118" s="1" t="s">
        <v>386</v>
      </c>
      <c r="F118" s="5">
        <v>1958</v>
      </c>
    </row>
    <row r="119" spans="1:6" x14ac:dyDescent="0.25">
      <c r="A119" s="5">
        <v>118</v>
      </c>
      <c r="B119" s="1" t="s">
        <v>385</v>
      </c>
      <c r="C119" s="1" t="s">
        <v>383</v>
      </c>
      <c r="D119" s="5">
        <v>260</v>
      </c>
      <c r="E119" s="1" t="s">
        <v>382</v>
      </c>
      <c r="F119" s="5">
        <v>1962</v>
      </c>
    </row>
    <row r="120" spans="1:6" x14ac:dyDescent="0.25">
      <c r="A120" s="5">
        <v>119</v>
      </c>
      <c r="B120" s="1" t="s">
        <v>384</v>
      </c>
      <c r="C120" s="1" t="s">
        <v>383</v>
      </c>
      <c r="D120" s="5">
        <v>178</v>
      </c>
      <c r="E120" s="1" t="s">
        <v>382</v>
      </c>
      <c r="F120" s="5">
        <v>1957</v>
      </c>
    </row>
    <row r="122" spans="1:6" x14ac:dyDescent="0.25">
      <c r="B122" s="223" t="s">
        <v>381</v>
      </c>
    </row>
    <row r="123" spans="1:6" x14ac:dyDescent="0.25">
      <c r="B123" s="223" t="s">
        <v>380</v>
      </c>
    </row>
  </sheetData>
  <autoFilter ref="B1:F120" xr:uid="{178B45F2-9F4B-4AF6-8F16-59F34BCD8204}">
    <filterColumn colId="1">
      <filters>
        <filter val="Acute Care"/>
        <filter val="Long-Term Acute Care"/>
        <filter val="Long-Term Care (Skilled Nursing)"/>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7FF0B-B46B-4C23-9E40-60827D721453}">
  <sheetPr>
    <tabColor theme="2" tint="-0.499984740745262"/>
  </sheetPr>
  <dimension ref="A1:AO324"/>
  <sheetViews>
    <sheetView tabSelected="1" zoomScaleNormal="100" workbookViewId="0">
      <pane xSplit="1" ySplit="2" topLeftCell="B303" activePane="bottomRight" state="frozen"/>
      <selection pane="topRight" activeCell="B1" sqref="B1"/>
      <selection pane="bottomLeft" activeCell="A3" sqref="A3"/>
      <selection pane="bottomRight" activeCell="A309" sqref="A309"/>
    </sheetView>
  </sheetViews>
  <sheetFormatPr defaultRowHeight="15" outlineLevelCol="1" x14ac:dyDescent="0.25"/>
  <cols>
    <col min="1" max="1" width="9.7109375" style="5" bestFit="1" customWidth="1"/>
    <col min="2" max="2" width="8" style="5" bestFit="1" customWidth="1"/>
    <col min="3" max="3" width="9.7109375" style="6" bestFit="1" customWidth="1"/>
    <col min="4" max="4" width="8.42578125" style="6" bestFit="1" customWidth="1"/>
    <col min="5" max="5" width="9.5703125" style="35" bestFit="1" customWidth="1"/>
    <col min="6" max="6" width="10.85546875" style="25" customWidth="1"/>
    <col min="7" max="7" width="9.5703125" style="22" bestFit="1" customWidth="1"/>
    <col min="8" max="8" width="6.28515625" style="9" bestFit="1" customWidth="1"/>
    <col min="9" max="9" width="9" style="6" bestFit="1" customWidth="1"/>
    <col min="10" max="10" width="8.42578125" style="35" bestFit="1" customWidth="1"/>
    <col min="11" max="11" width="8.42578125" style="9" bestFit="1" customWidth="1"/>
    <col min="12" max="12" width="13.85546875" style="43" bestFit="1" customWidth="1"/>
    <col min="13" max="13" width="9" style="53" hidden="1" customWidth="1" outlineLevel="1"/>
    <col min="14" max="14" width="8" style="53" hidden="1" customWidth="1" outlineLevel="1"/>
    <col min="15" max="15" width="7.28515625" style="6" hidden="1" customWidth="1" outlineLevel="1"/>
    <col min="16" max="16" width="7" style="53" hidden="1" customWidth="1" outlineLevel="1"/>
    <col min="17" max="17" width="7.28515625" style="6" hidden="1" customWidth="1" outlineLevel="1"/>
    <col min="18" max="18" width="9" style="55" hidden="1" customWidth="1" outlineLevel="1"/>
    <col min="19" max="19" width="8" style="55" hidden="1" customWidth="1" outlineLevel="1"/>
    <col min="20" max="20" width="10.5703125" style="6" hidden="1" customWidth="1" outlineLevel="1"/>
    <col min="21" max="21" width="8" style="55" hidden="1" customWidth="1" outlineLevel="1"/>
    <col min="22" max="22" width="6.28515625" style="55" hidden="1" customWidth="1" outlineLevel="1"/>
    <col min="23" max="23" width="9.5703125" style="6" hidden="1" customWidth="1" outlineLevel="1"/>
    <col min="24" max="24" width="5.140625" style="45" bestFit="1" customWidth="1" collapsed="1"/>
    <col min="25" max="25" width="18.28515625" style="14" hidden="1" customWidth="1" outlineLevel="1"/>
    <col min="26" max="26" width="7.28515625" style="7" hidden="1" customWidth="1" outlineLevel="1"/>
    <col min="27" max="27" width="14.140625" style="14" hidden="1" customWidth="1" outlineLevel="1"/>
    <col min="28" max="28" width="7.28515625" style="7" hidden="1" customWidth="1" outlineLevel="1"/>
    <col min="29" max="29" width="13.42578125" style="14" hidden="1" customWidth="1" outlineLevel="1"/>
    <col min="30" max="30" width="7.28515625" style="7" hidden="1" customWidth="1" outlineLevel="1"/>
    <col min="31" max="31" width="44" style="49" bestFit="1" customWidth="1" collapsed="1"/>
    <col min="32" max="32" width="13.42578125" style="140" bestFit="1" customWidth="1"/>
    <col min="33" max="33" width="8.28515625" style="138" bestFit="1" customWidth="1"/>
    <col min="34" max="34" width="6.7109375" style="138" bestFit="1" customWidth="1"/>
    <col min="35" max="35" width="13.42578125" style="140" bestFit="1" customWidth="1"/>
    <col min="36" max="36" width="6.140625" style="138" bestFit="1" customWidth="1"/>
    <col min="37" max="37" width="7" style="5" bestFit="1" customWidth="1"/>
    <col min="38" max="38" width="14.42578125" style="5" bestFit="1" customWidth="1"/>
    <col min="39" max="39" width="15.5703125" style="5" customWidth="1"/>
    <col min="40" max="40" width="14.42578125" style="5" bestFit="1" customWidth="1"/>
    <col min="41" max="41" width="15.5703125" style="5" bestFit="1" customWidth="1"/>
    <col min="42" max="16384" width="9.140625" style="1"/>
  </cols>
  <sheetData>
    <row r="1" spans="1:41" s="152" customFormat="1" x14ac:dyDescent="0.25">
      <c r="A1" s="148"/>
      <c r="B1" s="250" t="s">
        <v>110</v>
      </c>
      <c r="C1" s="250"/>
      <c r="D1" s="250"/>
      <c r="E1" s="250"/>
      <c r="F1" s="250"/>
      <c r="G1" s="250"/>
      <c r="H1" s="251" t="s">
        <v>111</v>
      </c>
      <c r="I1" s="251"/>
      <c r="J1" s="251"/>
      <c r="K1" s="251"/>
      <c r="L1" s="251"/>
      <c r="M1" s="254" t="s">
        <v>52</v>
      </c>
      <c r="N1" s="254"/>
      <c r="O1" s="254"/>
      <c r="P1" s="254"/>
      <c r="Q1" s="254"/>
      <c r="R1" s="253" t="s">
        <v>51</v>
      </c>
      <c r="S1" s="253"/>
      <c r="T1" s="253"/>
      <c r="U1" s="253"/>
      <c r="V1" s="253"/>
      <c r="W1" s="253"/>
      <c r="X1" s="150"/>
      <c r="Y1" s="252" t="s">
        <v>112</v>
      </c>
      <c r="Z1" s="252"/>
      <c r="AA1" s="252"/>
      <c r="AB1" s="252"/>
      <c r="AC1" s="252"/>
      <c r="AD1" s="252"/>
      <c r="AE1" s="147"/>
      <c r="AF1" s="151"/>
      <c r="AG1" s="139"/>
      <c r="AH1" s="139"/>
      <c r="AI1" s="151"/>
      <c r="AJ1" s="139"/>
      <c r="AK1" s="148"/>
      <c r="AL1" s="225"/>
      <c r="AM1" s="225"/>
      <c r="AN1" s="225"/>
      <c r="AO1" s="225"/>
    </row>
    <row r="2" spans="1:41" s="2" customFormat="1" ht="45" x14ac:dyDescent="0.25">
      <c r="A2" s="3" t="s">
        <v>0</v>
      </c>
      <c r="B2" s="120" t="s">
        <v>1</v>
      </c>
      <c r="C2" s="16" t="s">
        <v>13</v>
      </c>
      <c r="D2" s="18" t="s">
        <v>26</v>
      </c>
      <c r="E2" s="34" t="s">
        <v>25</v>
      </c>
      <c r="F2" s="24" t="s">
        <v>215</v>
      </c>
      <c r="G2" s="21" t="s">
        <v>216</v>
      </c>
      <c r="H2" s="212" t="s">
        <v>2</v>
      </c>
      <c r="I2" s="16" t="s">
        <v>9</v>
      </c>
      <c r="J2" s="34" t="s">
        <v>27</v>
      </c>
      <c r="K2" s="28" t="s">
        <v>23</v>
      </c>
      <c r="L2" s="41" t="s">
        <v>218</v>
      </c>
      <c r="M2" s="91" t="s">
        <v>39</v>
      </c>
      <c r="N2" s="92" t="s">
        <v>40</v>
      </c>
      <c r="O2" s="93" t="s">
        <v>4</v>
      </c>
      <c r="P2" s="92" t="s">
        <v>55</v>
      </c>
      <c r="Q2" s="93" t="s">
        <v>4</v>
      </c>
      <c r="R2" s="108" t="s">
        <v>39</v>
      </c>
      <c r="S2" s="94" t="s">
        <v>40</v>
      </c>
      <c r="T2" s="93" t="s">
        <v>4</v>
      </c>
      <c r="U2" s="94" t="s">
        <v>41</v>
      </c>
      <c r="V2" s="94" t="s">
        <v>56</v>
      </c>
      <c r="W2" s="95" t="s">
        <v>4</v>
      </c>
      <c r="X2" s="117" t="s">
        <v>3</v>
      </c>
      <c r="Y2" s="112" t="s">
        <v>5</v>
      </c>
      <c r="Z2" s="132" t="s">
        <v>4</v>
      </c>
      <c r="AA2" s="38" t="s">
        <v>6</v>
      </c>
      <c r="AB2" s="132" t="s">
        <v>4</v>
      </c>
      <c r="AC2" s="38" t="s">
        <v>7</v>
      </c>
      <c r="AD2" s="132" t="s">
        <v>4</v>
      </c>
      <c r="AE2" s="123" t="s">
        <v>8</v>
      </c>
      <c r="AF2" s="141" t="s">
        <v>234</v>
      </c>
      <c r="AG2" s="139" t="s">
        <v>233</v>
      </c>
      <c r="AH2" s="139" t="s">
        <v>239</v>
      </c>
      <c r="AI2" s="141" t="s">
        <v>235</v>
      </c>
      <c r="AJ2" s="139" t="s">
        <v>233</v>
      </c>
      <c r="AK2" s="139" t="s">
        <v>239</v>
      </c>
      <c r="AL2" s="240" t="s">
        <v>548</v>
      </c>
      <c r="AM2" s="240" t="s">
        <v>549</v>
      </c>
      <c r="AN2" s="240" t="s">
        <v>550</v>
      </c>
      <c r="AO2" s="240" t="s">
        <v>551</v>
      </c>
    </row>
    <row r="3" spans="1:41" x14ac:dyDescent="0.25">
      <c r="A3" s="4">
        <v>43891</v>
      </c>
      <c r="B3" s="121"/>
      <c r="D3" s="19"/>
      <c r="H3" s="213"/>
      <c r="K3" s="29"/>
      <c r="L3" s="42"/>
      <c r="M3" s="96"/>
      <c r="N3" s="97"/>
      <c r="O3" s="98"/>
      <c r="P3" s="97"/>
      <c r="Q3" s="98"/>
      <c r="R3" s="109"/>
      <c r="S3" s="99"/>
      <c r="T3" s="98"/>
      <c r="U3" s="99"/>
      <c r="V3" s="99"/>
      <c r="W3" s="100"/>
      <c r="X3" s="118">
        <v>1</v>
      </c>
      <c r="Y3" s="113"/>
      <c r="AE3" s="124"/>
    </row>
    <row r="4" spans="1:41" x14ac:dyDescent="0.25">
      <c r="A4" s="4">
        <v>43892</v>
      </c>
      <c r="B4" s="121"/>
      <c r="D4" s="19"/>
      <c r="H4" s="213"/>
      <c r="K4" s="29"/>
      <c r="L4" s="42"/>
      <c r="M4" s="96"/>
      <c r="N4" s="97"/>
      <c r="O4" s="98"/>
      <c r="P4" s="97"/>
      <c r="Q4" s="98"/>
      <c r="R4" s="109"/>
      <c r="S4" s="99"/>
      <c r="T4" s="98"/>
      <c r="U4" s="99"/>
      <c r="V4" s="99"/>
      <c r="W4" s="100"/>
      <c r="X4" s="118">
        <v>2</v>
      </c>
      <c r="Y4" s="113"/>
      <c r="AE4" s="124"/>
    </row>
    <row r="5" spans="1:41" x14ac:dyDescent="0.25">
      <c r="A5" s="4">
        <v>43893</v>
      </c>
      <c r="B5" s="121"/>
      <c r="D5" s="19"/>
      <c r="H5" s="213"/>
      <c r="K5" s="29"/>
      <c r="L5" s="42"/>
      <c r="M5" s="96"/>
      <c r="N5" s="97"/>
      <c r="O5" s="98"/>
      <c r="P5" s="97"/>
      <c r="Q5" s="98"/>
      <c r="R5" s="109"/>
      <c r="S5" s="99"/>
      <c r="T5" s="98"/>
      <c r="U5" s="99"/>
      <c r="V5" s="99"/>
      <c r="W5" s="100"/>
      <c r="X5" s="118">
        <v>3</v>
      </c>
      <c r="Y5" s="113"/>
      <c r="AE5" s="124"/>
    </row>
    <row r="6" spans="1:41" x14ac:dyDescent="0.25">
      <c r="A6" s="4">
        <v>43894</v>
      </c>
      <c r="B6" s="121"/>
      <c r="D6" s="19"/>
      <c r="H6" s="213"/>
      <c r="K6" s="29"/>
      <c r="L6" s="42"/>
      <c r="M6" s="96"/>
      <c r="N6" s="97"/>
      <c r="O6" s="98"/>
      <c r="P6" s="97"/>
      <c r="Q6" s="98"/>
      <c r="R6" s="109"/>
      <c r="S6" s="99"/>
      <c r="T6" s="98"/>
      <c r="U6" s="99"/>
      <c r="V6" s="99"/>
      <c r="W6" s="100"/>
      <c r="X6" s="118">
        <v>4</v>
      </c>
      <c r="Y6" s="113"/>
      <c r="AE6" s="124"/>
    </row>
    <row r="7" spans="1:41" x14ac:dyDescent="0.25">
      <c r="A7" s="4">
        <v>43895</v>
      </c>
      <c r="B7" s="121"/>
      <c r="D7" s="19"/>
      <c r="H7" s="213"/>
      <c r="K7" s="29"/>
      <c r="L7" s="42"/>
      <c r="M7" s="96"/>
      <c r="N7" s="97"/>
      <c r="O7" s="98"/>
      <c r="P7" s="97"/>
      <c r="Q7" s="98"/>
      <c r="R7" s="109"/>
      <c r="S7" s="99"/>
      <c r="T7" s="98"/>
      <c r="U7" s="99"/>
      <c r="V7" s="99"/>
      <c r="W7" s="100"/>
      <c r="X7" s="118">
        <v>5</v>
      </c>
      <c r="Y7" s="113"/>
      <c r="AE7" s="124"/>
    </row>
    <row r="8" spans="1:41" x14ac:dyDescent="0.25">
      <c r="A8" s="4">
        <v>43896</v>
      </c>
      <c r="B8" s="121"/>
      <c r="D8" s="19"/>
      <c r="H8" s="213"/>
      <c r="K8" s="29"/>
      <c r="L8" s="42"/>
      <c r="M8" s="96"/>
      <c r="N8" s="97"/>
      <c r="O8" s="98"/>
      <c r="P8" s="97"/>
      <c r="Q8" s="98"/>
      <c r="R8" s="109"/>
      <c r="S8" s="99"/>
      <c r="T8" s="98"/>
      <c r="U8" s="99"/>
      <c r="V8" s="99"/>
      <c r="W8" s="100"/>
      <c r="X8" s="118">
        <v>6</v>
      </c>
      <c r="Y8" s="113"/>
      <c r="AE8" s="124"/>
    </row>
    <row r="9" spans="1:41" x14ac:dyDescent="0.25">
      <c r="A9" s="4">
        <v>43897</v>
      </c>
      <c r="B9" s="121"/>
      <c r="D9" s="19"/>
      <c r="H9" s="213"/>
      <c r="K9" s="29"/>
      <c r="L9" s="42"/>
      <c r="M9" s="96"/>
      <c r="N9" s="97"/>
      <c r="O9" s="98"/>
      <c r="P9" s="97"/>
      <c r="Q9" s="98"/>
      <c r="R9" s="109"/>
      <c r="S9" s="99"/>
      <c r="T9" s="98"/>
      <c r="U9" s="99"/>
      <c r="V9" s="99"/>
      <c r="W9" s="100"/>
      <c r="X9" s="118">
        <v>7</v>
      </c>
      <c r="Y9" s="113"/>
      <c r="AE9" s="124"/>
    </row>
    <row r="10" spans="1:41" x14ac:dyDescent="0.25">
      <c r="A10" s="4">
        <v>43898</v>
      </c>
      <c r="B10" s="121"/>
      <c r="D10" s="19"/>
      <c r="H10" s="213"/>
      <c r="K10" s="29"/>
      <c r="L10" s="42"/>
      <c r="M10" s="96"/>
      <c r="N10" s="97"/>
      <c r="O10" s="98"/>
      <c r="P10" s="97"/>
      <c r="Q10" s="98"/>
      <c r="R10" s="109"/>
      <c r="S10" s="99"/>
      <c r="T10" s="98"/>
      <c r="U10" s="99"/>
      <c r="V10" s="99"/>
      <c r="W10" s="100"/>
      <c r="X10" s="118">
        <v>8</v>
      </c>
      <c r="Y10" s="113"/>
      <c r="AE10" s="124"/>
    </row>
    <row r="11" spans="1:41" x14ac:dyDescent="0.25">
      <c r="A11" s="4">
        <v>43899</v>
      </c>
      <c r="B11" s="121"/>
      <c r="D11" s="19"/>
      <c r="H11" s="213"/>
      <c r="K11" s="29"/>
      <c r="L11" s="42"/>
      <c r="M11" s="96"/>
      <c r="N11" s="97"/>
      <c r="O11" s="98"/>
      <c r="P11" s="97"/>
      <c r="Q11" s="98"/>
      <c r="R11" s="109"/>
      <c r="S11" s="99"/>
      <c r="T11" s="98"/>
      <c r="U11" s="99"/>
      <c r="V11" s="99"/>
      <c r="W11" s="100"/>
      <c r="X11" s="118">
        <v>9</v>
      </c>
      <c r="Y11" s="113"/>
      <c r="AE11" s="124"/>
    </row>
    <row r="12" spans="1:41" x14ac:dyDescent="0.25">
      <c r="A12" s="4">
        <v>43900</v>
      </c>
      <c r="B12" s="121"/>
      <c r="D12" s="19"/>
      <c r="H12" s="213"/>
      <c r="K12" s="29"/>
      <c r="L12" s="42"/>
      <c r="M12" s="96"/>
      <c r="N12" s="97"/>
      <c r="O12" s="98"/>
      <c r="P12" s="97"/>
      <c r="Q12" s="98"/>
      <c r="R12" s="109"/>
      <c r="S12" s="99"/>
      <c r="T12" s="98"/>
      <c r="U12" s="99"/>
      <c r="V12" s="99"/>
      <c r="W12" s="100"/>
      <c r="X12" s="118">
        <v>10</v>
      </c>
      <c r="Y12" s="113"/>
      <c r="AE12" s="124"/>
    </row>
    <row r="13" spans="1:41" x14ac:dyDescent="0.25">
      <c r="A13" s="4">
        <v>43901</v>
      </c>
      <c r="B13" s="121"/>
      <c r="D13" s="19"/>
      <c r="H13" s="213"/>
      <c r="K13" s="29"/>
      <c r="L13" s="42"/>
      <c r="M13" s="96"/>
      <c r="N13" s="97"/>
      <c r="O13" s="98"/>
      <c r="P13" s="97"/>
      <c r="Q13" s="98"/>
      <c r="R13" s="109"/>
      <c r="S13" s="99"/>
      <c r="T13" s="98"/>
      <c r="U13" s="99"/>
      <c r="V13" s="99"/>
      <c r="W13" s="100"/>
      <c r="X13" s="118">
        <v>11</v>
      </c>
      <c r="Y13" s="113"/>
      <c r="AE13" s="124"/>
    </row>
    <row r="14" spans="1:41" x14ac:dyDescent="0.25">
      <c r="A14" s="4">
        <v>43902</v>
      </c>
      <c r="B14" s="121"/>
      <c r="D14" s="19"/>
      <c r="H14" s="213"/>
      <c r="K14" s="29"/>
      <c r="L14" s="42"/>
      <c r="M14" s="96"/>
      <c r="N14" s="97"/>
      <c r="O14" s="98"/>
      <c r="P14" s="97"/>
      <c r="Q14" s="98"/>
      <c r="R14" s="109"/>
      <c r="S14" s="99"/>
      <c r="T14" s="98"/>
      <c r="U14" s="99"/>
      <c r="V14" s="99"/>
      <c r="W14" s="100"/>
      <c r="X14" s="118">
        <v>12</v>
      </c>
      <c r="Y14" s="113"/>
      <c r="AE14" s="124"/>
    </row>
    <row r="15" spans="1:41" x14ac:dyDescent="0.25">
      <c r="A15" s="4">
        <v>43903</v>
      </c>
      <c r="B15" s="121"/>
      <c r="D15" s="19"/>
      <c r="H15" s="213"/>
      <c r="K15" s="29"/>
      <c r="L15" s="42"/>
      <c r="M15" s="96"/>
      <c r="N15" s="97"/>
      <c r="O15" s="98"/>
      <c r="P15" s="97"/>
      <c r="Q15" s="98"/>
      <c r="R15" s="109"/>
      <c r="S15" s="99"/>
      <c r="T15" s="98"/>
      <c r="U15" s="99"/>
      <c r="V15" s="99"/>
      <c r="W15" s="100"/>
      <c r="X15" s="118">
        <v>13</v>
      </c>
      <c r="Y15" s="113"/>
      <c r="AE15" s="124"/>
    </row>
    <row r="16" spans="1:41" x14ac:dyDescent="0.25">
      <c r="A16" s="4">
        <v>43904</v>
      </c>
      <c r="B16" s="121"/>
      <c r="D16" s="19"/>
      <c r="H16" s="213"/>
      <c r="K16" s="29"/>
      <c r="L16" s="42"/>
      <c r="M16" s="96"/>
      <c r="N16" s="97"/>
      <c r="O16" s="98"/>
      <c r="P16" s="97"/>
      <c r="Q16" s="98"/>
      <c r="R16" s="109"/>
      <c r="S16" s="99"/>
      <c r="T16" s="98"/>
      <c r="U16" s="99"/>
      <c r="V16" s="99"/>
      <c r="W16" s="100"/>
      <c r="X16" s="118">
        <v>14</v>
      </c>
      <c r="Y16" s="113"/>
      <c r="AE16" s="124"/>
    </row>
    <row r="17" spans="1:31" x14ac:dyDescent="0.25">
      <c r="A17" s="4">
        <v>43905</v>
      </c>
      <c r="B17" s="121"/>
      <c r="D17" s="19"/>
      <c r="H17" s="213"/>
      <c r="K17" s="29"/>
      <c r="L17" s="42"/>
      <c r="M17" s="96"/>
      <c r="N17" s="97"/>
      <c r="O17" s="98"/>
      <c r="P17" s="97"/>
      <c r="Q17" s="98"/>
      <c r="R17" s="109"/>
      <c r="S17" s="99"/>
      <c r="T17" s="98"/>
      <c r="U17" s="99"/>
      <c r="V17" s="99"/>
      <c r="W17" s="100"/>
      <c r="X17" s="118">
        <v>15</v>
      </c>
      <c r="Y17" s="113"/>
      <c r="AE17" s="124"/>
    </row>
    <row r="18" spans="1:31" x14ac:dyDescent="0.25">
      <c r="A18" s="4">
        <v>43906</v>
      </c>
      <c r="B18" s="121"/>
      <c r="D18" s="19"/>
      <c r="H18" s="213"/>
      <c r="K18" s="29"/>
      <c r="L18" s="42"/>
      <c r="M18" s="96"/>
      <c r="N18" s="97"/>
      <c r="O18" s="98"/>
      <c r="P18" s="97"/>
      <c r="Q18" s="98"/>
      <c r="R18" s="109"/>
      <c r="S18" s="99"/>
      <c r="T18" s="98"/>
      <c r="U18" s="99"/>
      <c r="V18" s="99"/>
      <c r="W18" s="100"/>
      <c r="X18" s="118">
        <v>16</v>
      </c>
      <c r="Y18" s="113"/>
      <c r="AE18" s="124"/>
    </row>
    <row r="19" spans="1:31" x14ac:dyDescent="0.25">
      <c r="A19" s="4">
        <v>43907</v>
      </c>
      <c r="B19" s="121"/>
      <c r="D19" s="19"/>
      <c r="H19" s="213"/>
      <c r="K19" s="29"/>
      <c r="L19" s="42"/>
      <c r="M19" s="96"/>
      <c r="N19" s="97"/>
      <c r="O19" s="98"/>
      <c r="P19" s="97"/>
      <c r="Q19" s="98"/>
      <c r="R19" s="109"/>
      <c r="S19" s="99"/>
      <c r="T19" s="98"/>
      <c r="U19" s="99"/>
      <c r="V19" s="99"/>
      <c r="W19" s="100"/>
      <c r="X19" s="118">
        <v>17</v>
      </c>
      <c r="Y19" s="113"/>
      <c r="AE19" s="124"/>
    </row>
    <row r="20" spans="1:31" x14ac:dyDescent="0.25">
      <c r="A20" s="4">
        <v>43908</v>
      </c>
      <c r="B20" s="121"/>
      <c r="D20" s="19"/>
      <c r="H20" s="213"/>
      <c r="K20" s="29"/>
      <c r="L20" s="42"/>
      <c r="M20" s="96"/>
      <c r="N20" s="97"/>
      <c r="O20" s="98"/>
      <c r="P20" s="97"/>
      <c r="Q20" s="98"/>
      <c r="R20" s="109"/>
      <c r="S20" s="99"/>
      <c r="T20" s="98"/>
      <c r="U20" s="99"/>
      <c r="V20" s="99"/>
      <c r="W20" s="100"/>
      <c r="X20" s="118">
        <v>18</v>
      </c>
      <c r="Y20" s="113"/>
      <c r="AE20" s="124"/>
    </row>
    <row r="21" spans="1:31" x14ac:dyDescent="0.25">
      <c r="A21" s="4">
        <v>43909</v>
      </c>
      <c r="B21" s="121"/>
      <c r="D21" s="19"/>
      <c r="H21" s="213"/>
      <c r="K21" s="29"/>
      <c r="L21" s="42"/>
      <c r="M21" s="96"/>
      <c r="N21" s="97"/>
      <c r="O21" s="98"/>
      <c r="P21" s="97"/>
      <c r="Q21" s="98"/>
      <c r="R21" s="109"/>
      <c r="S21" s="99"/>
      <c r="T21" s="98"/>
      <c r="U21" s="99"/>
      <c r="V21" s="99"/>
      <c r="W21" s="100"/>
      <c r="X21" s="118">
        <v>19</v>
      </c>
      <c r="Y21" s="113"/>
      <c r="AE21" s="124"/>
    </row>
    <row r="22" spans="1:31" x14ac:dyDescent="0.25">
      <c r="A22" s="4">
        <v>43910</v>
      </c>
      <c r="B22" s="121"/>
      <c r="D22" s="19"/>
      <c r="H22" s="213"/>
      <c r="K22" s="29"/>
      <c r="L22" s="42"/>
      <c r="M22" s="96"/>
      <c r="N22" s="97"/>
      <c r="O22" s="98"/>
      <c r="P22" s="97"/>
      <c r="Q22" s="98"/>
      <c r="R22" s="109"/>
      <c r="S22" s="99"/>
      <c r="T22" s="98"/>
      <c r="U22" s="99"/>
      <c r="V22" s="99"/>
      <c r="W22" s="100"/>
      <c r="X22" s="118">
        <v>20</v>
      </c>
      <c r="Y22" s="113"/>
      <c r="AE22" s="124"/>
    </row>
    <row r="23" spans="1:31" x14ac:dyDescent="0.25">
      <c r="A23" s="4">
        <v>43911</v>
      </c>
      <c r="B23" s="121"/>
      <c r="D23" s="19"/>
      <c r="H23" s="213"/>
      <c r="K23" s="29"/>
      <c r="L23" s="42"/>
      <c r="M23" s="96"/>
      <c r="N23" s="97"/>
      <c r="O23" s="98"/>
      <c r="P23" s="97"/>
      <c r="Q23" s="98"/>
      <c r="R23" s="109"/>
      <c r="S23" s="99"/>
      <c r="T23" s="98"/>
      <c r="U23" s="99"/>
      <c r="V23" s="99"/>
      <c r="W23" s="100"/>
      <c r="X23" s="118">
        <v>21</v>
      </c>
      <c r="Y23" s="113"/>
      <c r="AE23" s="124"/>
    </row>
    <row r="24" spans="1:31" x14ac:dyDescent="0.25">
      <c r="A24" s="4">
        <v>43912</v>
      </c>
      <c r="B24" s="121"/>
      <c r="D24" s="19"/>
      <c r="H24" s="213"/>
      <c r="K24" s="29"/>
      <c r="L24" s="42"/>
      <c r="M24" s="96"/>
      <c r="N24" s="97"/>
      <c r="O24" s="98"/>
      <c r="P24" s="97"/>
      <c r="Q24" s="98"/>
      <c r="R24" s="109"/>
      <c r="S24" s="99"/>
      <c r="T24" s="98"/>
      <c r="U24" s="99"/>
      <c r="V24" s="99"/>
      <c r="W24" s="100"/>
      <c r="X24" s="118">
        <v>22</v>
      </c>
      <c r="Y24" s="113"/>
      <c r="AE24" s="124"/>
    </row>
    <row r="25" spans="1:31" ht="30" x14ac:dyDescent="0.25">
      <c r="A25" s="4">
        <v>43913</v>
      </c>
      <c r="B25" s="121">
        <v>536</v>
      </c>
      <c r="D25" s="19"/>
      <c r="F25" s="25">
        <f>ROUND((B25/Stats!$B$8)*100000,0)</f>
        <v>5</v>
      </c>
      <c r="H25" s="213">
        <v>7</v>
      </c>
      <c r="K25" s="29">
        <f t="shared" ref="K25:K56" si="0">IFERROR(ROUND(100*(H25/B25),2),"")</f>
        <v>1.31</v>
      </c>
      <c r="L25" s="42">
        <f>ROUND(((H25/Stats!$B$8)*100000),0)</f>
        <v>0</v>
      </c>
      <c r="M25" s="96">
        <f>Stats!$B$8-N25</f>
        <v>10038571</v>
      </c>
      <c r="N25" s="97">
        <f>ROUND(Stats!$B$33/(1+(Stats!$B$34*EXP(-1*Stats!$B$32*(X25-$X$25)))),0)</f>
        <v>536</v>
      </c>
      <c r="O25" s="101">
        <f>IFERROR(ABS((($B25/N25)-1)*100),"")</f>
        <v>0</v>
      </c>
      <c r="P25" s="97">
        <f>ROUND(N25*(Stats!$I$14/100),0)</f>
        <v>13</v>
      </c>
      <c r="Q25" s="101">
        <f t="shared" ref="Q25:Q88" si="1">IFERROR(ABS((($H25/P25)-1)*100),"")</f>
        <v>46.153846153846153</v>
      </c>
      <c r="R25" s="110">
        <f>Stats!$B$27</f>
        <v>10039107</v>
      </c>
      <c r="S25" s="102">
        <f>Stats!$B$28</f>
        <v>536</v>
      </c>
      <c r="T25" s="103">
        <f>IFERROR(ABS((($B25/S25)-1)*100),"")</f>
        <v>0</v>
      </c>
      <c r="U25" s="102">
        <f>Stats!$B$29</f>
        <v>0</v>
      </c>
      <c r="V25" s="102">
        <f>ROUND(S25*(Stats!$I$14/100),0)</f>
        <v>13</v>
      </c>
      <c r="W25" s="104">
        <f t="shared" ref="W25:W88" si="2">IFERROR(ABS((($H25/V25)-1)*100),"")</f>
        <v>46.153846153846153</v>
      </c>
      <c r="X25" s="118">
        <v>23</v>
      </c>
      <c r="Y25" s="114">
        <v>536</v>
      </c>
      <c r="AA25" s="13">
        <v>536</v>
      </c>
      <c r="AC25" s="13">
        <v>536</v>
      </c>
      <c r="AE25" s="125" t="s">
        <v>287</v>
      </c>
    </row>
    <row r="26" spans="1:31" x14ac:dyDescent="0.25">
      <c r="A26" s="4">
        <v>43914</v>
      </c>
      <c r="B26" s="121">
        <v>662</v>
      </c>
      <c r="C26" s="6">
        <f t="shared" ref="C26:C57" si="3">B26-B25</f>
        <v>126</v>
      </c>
      <c r="D26" s="19">
        <f>ROUND(((B26/B25)-1)*100,2)</f>
        <v>23.51</v>
      </c>
      <c r="E26" s="35">
        <f t="shared" ref="E26:E57" si="4">IFERROR(ROUND((C26/B26)*10000,0),"")</f>
        <v>1903</v>
      </c>
      <c r="F26" s="25">
        <f>ROUND((B26/Stats!$B$8)*100000,0)</f>
        <v>7</v>
      </c>
      <c r="G26" s="22">
        <f>ROUND((C26/Stats!$B$8)*100000,0)</f>
        <v>1</v>
      </c>
      <c r="H26" s="213">
        <v>11</v>
      </c>
      <c r="I26" s="6">
        <f>H26-H25</f>
        <v>4</v>
      </c>
      <c r="J26" s="35">
        <f>IFERROR(ROUND(((H26/H25)-1)*100,2),"")</f>
        <v>57.14</v>
      </c>
      <c r="K26" s="29">
        <f t="shared" si="0"/>
        <v>1.66</v>
      </c>
      <c r="L26" s="42">
        <f>ROUND(((H26/Stats!$B$8)*100000),0)</f>
        <v>0</v>
      </c>
      <c r="M26" s="96">
        <f>Stats!$B$8-N26</f>
        <v>10038463</v>
      </c>
      <c r="N26" s="97">
        <f>ROUND(Stats!$B$33/(1+(Stats!$B$34*EXP(-1*Stats!$B$32*(X26-$X$25)))),0)</f>
        <v>644</v>
      </c>
      <c r="O26" s="101">
        <f t="shared" ref="O26:O89" si="5">IFERROR(ABS((($B26/N26)-1)*100),"")</f>
        <v>2.7950310559006208</v>
      </c>
      <c r="P26" s="97">
        <f>ROUND(N26*(Stats!$I$14/100),0)</f>
        <v>16</v>
      </c>
      <c r="Q26" s="101">
        <f t="shared" si="1"/>
        <v>31.25</v>
      </c>
      <c r="R26" s="109">
        <f xml:space="preserve"> ROUND(R25 - ((R25 / Stats!$B$27)*(Stats!$B$21*S25)),0)</f>
        <v>10038932</v>
      </c>
      <c r="S26" s="99">
        <f xml:space="preserve"> ROUND(S25 + (R25/Stats!$B$27)*(Stats!$B$21*S25)-(S25*Stats!$B$22),0)</f>
        <v>634</v>
      </c>
      <c r="T26" s="101">
        <f t="shared" ref="T26:T89" si="6">IFERROR(ABS((($B26/S26)-1)*100),"")</f>
        <v>4.4164037854889537</v>
      </c>
      <c r="U26" s="99">
        <f xml:space="preserve"> ROUND(U25 + (S25 * Stats!$B$22),0)</f>
        <v>77</v>
      </c>
      <c r="V26" s="99">
        <f>ROUND(S26*(Stats!$I$14/100),0)</f>
        <v>15</v>
      </c>
      <c r="W26" s="105">
        <f t="shared" si="2"/>
        <v>26.666666666666671</v>
      </c>
      <c r="X26" s="118">
        <v>24</v>
      </c>
      <c r="Y26" s="114">
        <v>662</v>
      </c>
      <c r="AA26" s="13">
        <v>662</v>
      </c>
      <c r="AC26" s="13">
        <v>662</v>
      </c>
      <c r="AE26" s="124"/>
    </row>
    <row r="27" spans="1:31" x14ac:dyDescent="0.25">
      <c r="A27" s="4">
        <v>43915</v>
      </c>
      <c r="B27" s="121">
        <v>799</v>
      </c>
      <c r="C27" s="6">
        <f t="shared" si="3"/>
        <v>137</v>
      </c>
      <c r="D27" s="19">
        <f t="shared" ref="D27:D77" si="7">ROUND(((B27/B26)-1)*100,2)</f>
        <v>20.69</v>
      </c>
      <c r="E27" s="35">
        <f t="shared" si="4"/>
        <v>1715</v>
      </c>
      <c r="F27" s="25">
        <f>ROUND((B27/Stats!$B$8)*100000,0)</f>
        <v>8</v>
      </c>
      <c r="G27" s="22">
        <f>ROUND((C27/Stats!$B$8)*100000,0)</f>
        <v>1</v>
      </c>
      <c r="H27" s="213">
        <v>13</v>
      </c>
      <c r="I27" s="6">
        <f>H27-H26</f>
        <v>2</v>
      </c>
      <c r="J27" s="35">
        <f t="shared" ref="J27:J76" si="8">IFERROR(ROUND(((H27/H26)-1)*100,2),"")</f>
        <v>18.18</v>
      </c>
      <c r="K27" s="29">
        <f t="shared" si="0"/>
        <v>1.63</v>
      </c>
      <c r="L27" s="42">
        <f>ROUND(((H27/Stats!$B$8)*100000),0)</f>
        <v>0</v>
      </c>
      <c r="M27" s="96">
        <f>Stats!$B$8-N27</f>
        <v>10038334</v>
      </c>
      <c r="N27" s="97">
        <f>ROUND(Stats!$B$33/(1+(Stats!$B$34*EXP(-1*Stats!$B$32*(X27-$X$25)))),0)</f>
        <v>773</v>
      </c>
      <c r="O27" s="101">
        <f t="shared" si="5"/>
        <v>3.363518758085382</v>
      </c>
      <c r="P27" s="97">
        <f>ROUND(N27*(Stats!$I$14/100),0)</f>
        <v>19</v>
      </c>
      <c r="Q27" s="101">
        <f t="shared" si="1"/>
        <v>31.578947368421051</v>
      </c>
      <c r="R27" s="109">
        <f xml:space="preserve"> ROUND(R26 - ((R26 / Stats!$B$27)*(Stats!$B$21*S26)),0)</f>
        <v>10038726</v>
      </c>
      <c r="S27" s="99">
        <f xml:space="preserve"> ROUND(S26 + (R26/Stats!$B$27)*(Stats!$B$21*S26)-(S26*Stats!$B$22),0)</f>
        <v>750</v>
      </c>
      <c r="T27" s="101">
        <f t="shared" si="6"/>
        <v>6.5333333333333243</v>
      </c>
      <c r="U27" s="99">
        <f xml:space="preserve"> ROUND(U26 + (S26 * Stats!$B$22),0)</f>
        <v>168</v>
      </c>
      <c r="V27" s="99">
        <f>ROUND(S27*(Stats!$I$14/100),0)</f>
        <v>18</v>
      </c>
      <c r="W27" s="105">
        <f t="shared" si="2"/>
        <v>27.777777777777779</v>
      </c>
      <c r="X27" s="118">
        <v>25</v>
      </c>
      <c r="Y27" s="114">
        <v>799</v>
      </c>
      <c r="AA27" s="13">
        <v>799</v>
      </c>
      <c r="AC27" s="13">
        <v>799</v>
      </c>
      <c r="AE27" s="124"/>
    </row>
    <row r="28" spans="1:31" x14ac:dyDescent="0.25">
      <c r="A28" s="4">
        <v>43916</v>
      </c>
      <c r="B28" s="121">
        <v>1216</v>
      </c>
      <c r="C28" s="6">
        <f t="shared" si="3"/>
        <v>417</v>
      </c>
      <c r="D28" s="19">
        <f t="shared" si="7"/>
        <v>52.19</v>
      </c>
      <c r="E28" s="35">
        <f t="shared" si="4"/>
        <v>3429</v>
      </c>
      <c r="F28" s="25">
        <f>ROUND((B28/Stats!$B$8)*100000,0)</f>
        <v>12</v>
      </c>
      <c r="G28" s="22">
        <f>ROUND((C28/Stats!$B$8)*100000,0)</f>
        <v>4</v>
      </c>
      <c r="H28" s="213">
        <v>21</v>
      </c>
      <c r="I28" s="6">
        <f t="shared" ref="I28:I76" si="9">H28-H27</f>
        <v>8</v>
      </c>
      <c r="J28" s="35">
        <f t="shared" si="8"/>
        <v>61.54</v>
      </c>
      <c r="K28" s="29">
        <f t="shared" si="0"/>
        <v>1.73</v>
      </c>
      <c r="L28" s="42">
        <f>ROUND(((H28/Stats!$B$8)*100000),0)</f>
        <v>0</v>
      </c>
      <c r="M28" s="96">
        <f>Stats!$B$8-N28</f>
        <v>10038179</v>
      </c>
      <c r="N28" s="97">
        <f>ROUND(Stats!$B$33/(1+(Stats!$B$34*EXP(-1*Stats!$B$32*(X28-$X$25)))),0)</f>
        <v>928</v>
      </c>
      <c r="O28" s="101">
        <f t="shared" si="5"/>
        <v>31.034482758620683</v>
      </c>
      <c r="P28" s="97">
        <f>ROUND(N28*(Stats!$I$14/100),0)</f>
        <v>22</v>
      </c>
      <c r="Q28" s="101">
        <f t="shared" si="1"/>
        <v>4.5454545454545414</v>
      </c>
      <c r="R28" s="109">
        <f xml:space="preserve"> ROUND(R27 - ((R27 / Stats!$B$27)*(Stats!$B$21*S27)),0)</f>
        <v>10038482</v>
      </c>
      <c r="S28" s="99">
        <f xml:space="preserve"> ROUND(S27 + (R27/Stats!$B$27)*(Stats!$B$21*S27)-(S27*Stats!$B$22),0)</f>
        <v>887</v>
      </c>
      <c r="T28" s="101">
        <f t="shared" si="6"/>
        <v>37.091319052987593</v>
      </c>
      <c r="U28" s="99">
        <f xml:space="preserve"> ROUND(U27 + (S27 * Stats!$B$22),0)</f>
        <v>275</v>
      </c>
      <c r="V28" s="99">
        <f>ROUND(S28*(Stats!$I$14/100),0)</f>
        <v>21</v>
      </c>
      <c r="W28" s="105">
        <f t="shared" si="2"/>
        <v>0</v>
      </c>
      <c r="X28" s="118">
        <v>26</v>
      </c>
      <c r="Y28" s="114">
        <v>1216</v>
      </c>
      <c r="AA28" s="13">
        <v>1216</v>
      </c>
      <c r="AC28" s="13">
        <v>1216</v>
      </c>
      <c r="AE28" s="124"/>
    </row>
    <row r="29" spans="1:31" x14ac:dyDescent="0.25">
      <c r="A29" s="4">
        <v>43917</v>
      </c>
      <c r="B29" s="121">
        <v>1465</v>
      </c>
      <c r="C29" s="6">
        <f t="shared" si="3"/>
        <v>249</v>
      </c>
      <c r="D29" s="19">
        <f t="shared" si="7"/>
        <v>20.48</v>
      </c>
      <c r="E29" s="35">
        <f t="shared" si="4"/>
        <v>1700</v>
      </c>
      <c r="F29" s="25">
        <f>ROUND((B29/Stats!$B$8)*100000,0)</f>
        <v>15</v>
      </c>
      <c r="G29" s="22">
        <f>ROUND((C29/Stats!$B$8)*100000,0)</f>
        <v>2</v>
      </c>
      <c r="H29" s="213">
        <v>26</v>
      </c>
      <c r="I29" s="6">
        <f t="shared" si="9"/>
        <v>5</v>
      </c>
      <c r="J29" s="35">
        <f t="shared" si="8"/>
        <v>23.81</v>
      </c>
      <c r="K29" s="29">
        <f t="shared" si="0"/>
        <v>1.77</v>
      </c>
      <c r="L29" s="42">
        <f>ROUND(((H29/Stats!$B$8)*100000),0)</f>
        <v>0</v>
      </c>
      <c r="M29" s="96">
        <f>Stats!$B$8-N29</f>
        <v>10037993</v>
      </c>
      <c r="N29" s="97">
        <f>ROUND(Stats!$B$33/(1+(Stats!$B$34*EXP(-1*Stats!$B$32*(X29-$X$25)))),0)</f>
        <v>1114</v>
      </c>
      <c r="O29" s="101">
        <f t="shared" si="5"/>
        <v>31.50807899461401</v>
      </c>
      <c r="P29" s="97">
        <f>ROUND(N29*(Stats!$I$14/100),0)</f>
        <v>27</v>
      </c>
      <c r="Q29" s="101">
        <f t="shared" si="1"/>
        <v>3.703703703703709</v>
      </c>
      <c r="R29" s="109">
        <f xml:space="preserve"> ROUND(R28 - ((R28 / Stats!$B$27)*(Stats!$B$21*S28)),0)</f>
        <v>10038193</v>
      </c>
      <c r="S29" s="99">
        <f xml:space="preserve"> ROUND(S28 + (R28/Stats!$B$27)*(Stats!$B$21*S28)-(S28*Stats!$B$22),0)</f>
        <v>1049</v>
      </c>
      <c r="T29" s="101">
        <f t="shared" si="6"/>
        <v>39.656816015252616</v>
      </c>
      <c r="U29" s="99">
        <f xml:space="preserve"> ROUND(U28 + (S28 * Stats!$B$22),0)</f>
        <v>402</v>
      </c>
      <c r="V29" s="99">
        <f>ROUND(S29*(Stats!$I$14/100),0)</f>
        <v>25</v>
      </c>
      <c r="W29" s="105">
        <f t="shared" si="2"/>
        <v>4.0000000000000036</v>
      </c>
      <c r="X29" s="118">
        <v>27</v>
      </c>
      <c r="Y29" s="114">
        <v>1465</v>
      </c>
      <c r="AA29" s="13">
        <v>1465</v>
      </c>
      <c r="AC29" s="13">
        <v>1465</v>
      </c>
      <c r="AE29" s="124"/>
    </row>
    <row r="30" spans="1:31" x14ac:dyDescent="0.25">
      <c r="A30" s="4">
        <v>43918</v>
      </c>
      <c r="B30" s="121">
        <v>1804</v>
      </c>
      <c r="C30" s="6">
        <f t="shared" si="3"/>
        <v>339</v>
      </c>
      <c r="D30" s="19">
        <f t="shared" si="7"/>
        <v>23.14</v>
      </c>
      <c r="E30" s="35">
        <f t="shared" si="4"/>
        <v>1879</v>
      </c>
      <c r="F30" s="25">
        <f>ROUND((B30/Stats!$B$8)*100000,0)</f>
        <v>18</v>
      </c>
      <c r="G30" s="22">
        <f>ROUND((C30/Stats!$B$8)*100000,0)</f>
        <v>3</v>
      </c>
      <c r="H30" s="213">
        <v>32</v>
      </c>
      <c r="I30" s="6">
        <f t="shared" si="9"/>
        <v>6</v>
      </c>
      <c r="J30" s="35">
        <f t="shared" si="8"/>
        <v>23.08</v>
      </c>
      <c r="K30" s="29">
        <f t="shared" si="0"/>
        <v>1.77</v>
      </c>
      <c r="L30" s="42">
        <f>ROUND(((H30/Stats!$B$8)*100000),0)</f>
        <v>0</v>
      </c>
      <c r="M30" s="96">
        <f>Stats!$B$8-N30</f>
        <v>10037770</v>
      </c>
      <c r="N30" s="97">
        <f>ROUND(Stats!$B$33/(1+(Stats!$B$34*EXP(-1*Stats!$B$32*(X30-$X$25)))),0)</f>
        <v>1337</v>
      </c>
      <c r="O30" s="101">
        <f t="shared" si="5"/>
        <v>34.928945400149594</v>
      </c>
      <c r="P30" s="97">
        <f>ROUND(N30*(Stats!$I$14/100),0)</f>
        <v>32</v>
      </c>
      <c r="Q30" s="101">
        <f t="shared" si="1"/>
        <v>0</v>
      </c>
      <c r="R30" s="109">
        <f xml:space="preserve"> ROUND(R29 - ((R29 / Stats!$B$27)*(Stats!$B$21*S29)),0)</f>
        <v>10037851</v>
      </c>
      <c r="S30" s="99">
        <f xml:space="preserve"> ROUND(S29 + (R29/Stats!$B$27)*(Stats!$B$21*S29)-(S29*Stats!$B$22),0)</f>
        <v>1241</v>
      </c>
      <c r="T30" s="101">
        <f t="shared" si="6"/>
        <v>45.36663980660758</v>
      </c>
      <c r="U30" s="99">
        <f xml:space="preserve"> ROUND(U29 + (S29 * Stats!$B$22),0)</f>
        <v>552</v>
      </c>
      <c r="V30" s="99">
        <f>ROUND(S30*(Stats!$I$14/100),0)</f>
        <v>30</v>
      </c>
      <c r="W30" s="105">
        <f t="shared" si="2"/>
        <v>6.6666666666666652</v>
      </c>
      <c r="X30" s="118">
        <v>28</v>
      </c>
      <c r="Y30" s="114">
        <v>1804</v>
      </c>
      <c r="AA30" s="13">
        <v>1804</v>
      </c>
      <c r="AC30" s="13">
        <v>1804</v>
      </c>
      <c r="AE30" s="124"/>
    </row>
    <row r="31" spans="1:31" x14ac:dyDescent="0.25">
      <c r="A31" s="4">
        <v>43919</v>
      </c>
      <c r="B31" s="121">
        <v>2136</v>
      </c>
      <c r="C31" s="6">
        <f t="shared" si="3"/>
        <v>332</v>
      </c>
      <c r="D31" s="19">
        <f t="shared" si="7"/>
        <v>18.399999999999999</v>
      </c>
      <c r="E31" s="35">
        <f t="shared" si="4"/>
        <v>1554</v>
      </c>
      <c r="F31" s="25">
        <f>ROUND((B31/Stats!$B$8)*100000,0)</f>
        <v>21</v>
      </c>
      <c r="G31" s="22">
        <f>ROUND((C31/Stats!$B$8)*100000,0)</f>
        <v>3</v>
      </c>
      <c r="H31" s="213">
        <v>37</v>
      </c>
      <c r="I31" s="6">
        <f t="shared" si="9"/>
        <v>5</v>
      </c>
      <c r="J31" s="35">
        <f t="shared" si="8"/>
        <v>15.63</v>
      </c>
      <c r="K31" s="29">
        <f t="shared" si="0"/>
        <v>1.73</v>
      </c>
      <c r="L31" s="42">
        <f>ROUND(((H31/Stats!$B$8)*100000),0)</f>
        <v>0</v>
      </c>
      <c r="M31" s="96">
        <f>Stats!$B$8-N31</f>
        <v>10037502</v>
      </c>
      <c r="N31" s="97">
        <f>ROUND(Stats!$B$33/(1+(Stats!$B$34*EXP(-1*Stats!$B$32*(X31-$X$25)))),0)</f>
        <v>1605</v>
      </c>
      <c r="O31" s="101">
        <f t="shared" si="5"/>
        <v>33.084112149532707</v>
      </c>
      <c r="P31" s="97">
        <f>ROUND(N31*(Stats!$I$14/100),0)</f>
        <v>39</v>
      </c>
      <c r="Q31" s="101">
        <f t="shared" si="1"/>
        <v>5.1282051282051322</v>
      </c>
      <c r="R31" s="109">
        <f xml:space="preserve"> ROUND(R30 - ((R30 / Stats!$B$27)*(Stats!$B$21*S30)),0)</f>
        <v>10037447</v>
      </c>
      <c r="S31" s="99">
        <f xml:space="preserve"> ROUND(S30 + (R30/Stats!$B$27)*(Stats!$B$21*S30)-(S30*Stats!$B$22),0)</f>
        <v>1468</v>
      </c>
      <c r="T31" s="101">
        <f t="shared" si="6"/>
        <v>45.504087193460485</v>
      </c>
      <c r="U31" s="99">
        <f xml:space="preserve"> ROUND(U30 + (S30 * Stats!$B$22),0)</f>
        <v>729</v>
      </c>
      <c r="V31" s="99">
        <f>ROUND(S31*(Stats!$I$14/100),0)</f>
        <v>36</v>
      </c>
      <c r="W31" s="105">
        <f t="shared" si="2"/>
        <v>2.7777777777777679</v>
      </c>
      <c r="X31" s="118">
        <v>29</v>
      </c>
      <c r="Y31" s="114">
        <v>2136</v>
      </c>
      <c r="AA31" s="13">
        <v>2136</v>
      </c>
      <c r="AC31" s="13">
        <v>2136</v>
      </c>
      <c r="AE31" s="124"/>
    </row>
    <row r="32" spans="1:31" x14ac:dyDescent="0.25">
      <c r="A32" s="4">
        <v>43920</v>
      </c>
      <c r="B32" s="121">
        <v>2474</v>
      </c>
      <c r="C32" s="6">
        <f t="shared" si="3"/>
        <v>338</v>
      </c>
      <c r="D32" s="19">
        <f t="shared" si="7"/>
        <v>15.82</v>
      </c>
      <c r="E32" s="35">
        <f t="shared" si="4"/>
        <v>1366</v>
      </c>
      <c r="F32" s="25">
        <f>ROUND((B32/Stats!$B$8)*100000,0)</f>
        <v>25</v>
      </c>
      <c r="G32" s="22">
        <f>ROUND((C32/Stats!$B$8)*100000,0)</f>
        <v>3</v>
      </c>
      <c r="H32" s="213">
        <v>44</v>
      </c>
      <c r="I32" s="6">
        <f t="shared" si="9"/>
        <v>7</v>
      </c>
      <c r="J32" s="35">
        <f t="shared" si="8"/>
        <v>18.920000000000002</v>
      </c>
      <c r="K32" s="29">
        <f t="shared" si="0"/>
        <v>1.78</v>
      </c>
      <c r="L32" s="42">
        <f>ROUND(((H32/Stats!$B$8)*100000),0)</f>
        <v>0</v>
      </c>
      <c r="M32" s="96">
        <f>Stats!$B$8-N32</f>
        <v>10037180</v>
      </c>
      <c r="N32" s="97">
        <f>ROUND(Stats!$B$33/(1+(Stats!$B$34*EXP(-1*Stats!$B$32*(X32-$X$25)))),0)</f>
        <v>1927</v>
      </c>
      <c r="O32" s="101">
        <f t="shared" si="5"/>
        <v>28.386092371562022</v>
      </c>
      <c r="P32" s="97">
        <f>ROUND(N32*(Stats!$I$14/100),0)</f>
        <v>47</v>
      </c>
      <c r="Q32" s="101">
        <f t="shared" si="1"/>
        <v>6.3829787234042534</v>
      </c>
      <c r="R32" s="109">
        <f xml:space="preserve"> ROUND(R31 - ((R31 / Stats!$B$27)*(Stats!$B$21*S31)),0)</f>
        <v>10036969</v>
      </c>
      <c r="S32" s="99">
        <f xml:space="preserve"> ROUND(S31 + (R31/Stats!$B$27)*(Stats!$B$21*S31)-(S31*Stats!$B$22),0)</f>
        <v>1736</v>
      </c>
      <c r="T32" s="101">
        <f t="shared" si="6"/>
        <v>42.511520737327182</v>
      </c>
      <c r="U32" s="99">
        <f xml:space="preserve"> ROUND(U31 + (S31 * Stats!$B$22),0)</f>
        <v>939</v>
      </c>
      <c r="V32" s="99">
        <f>ROUND(S32*(Stats!$I$14/100),0)</f>
        <v>42</v>
      </c>
      <c r="W32" s="105">
        <f t="shared" si="2"/>
        <v>4.7619047619047672</v>
      </c>
      <c r="X32" s="118">
        <v>30</v>
      </c>
      <c r="Y32" s="114">
        <v>2474</v>
      </c>
      <c r="AA32" s="13">
        <v>2474</v>
      </c>
      <c r="AC32" s="13">
        <v>2474</v>
      </c>
      <c r="AE32" s="124"/>
    </row>
    <row r="33" spans="1:31" x14ac:dyDescent="0.25">
      <c r="A33" s="4">
        <v>43921</v>
      </c>
      <c r="B33" s="121">
        <v>3011</v>
      </c>
      <c r="C33" s="6">
        <f t="shared" si="3"/>
        <v>537</v>
      </c>
      <c r="D33" s="19">
        <f t="shared" si="7"/>
        <v>21.71</v>
      </c>
      <c r="E33" s="35">
        <f t="shared" si="4"/>
        <v>1783</v>
      </c>
      <c r="F33" s="25">
        <f>ROUND((B33/Stats!$B$8)*100000,0)</f>
        <v>30</v>
      </c>
      <c r="G33" s="22">
        <f>ROUND((C33/Stats!$B$8)*100000,0)</f>
        <v>5</v>
      </c>
      <c r="H33" s="213">
        <v>54</v>
      </c>
      <c r="I33" s="6">
        <f t="shared" si="9"/>
        <v>10</v>
      </c>
      <c r="J33" s="35">
        <f t="shared" si="8"/>
        <v>22.73</v>
      </c>
      <c r="K33" s="29">
        <f t="shared" si="0"/>
        <v>1.79</v>
      </c>
      <c r="L33" s="42">
        <f>ROUND(((H33/Stats!$B$8)*100000),0)</f>
        <v>1</v>
      </c>
      <c r="M33" s="96">
        <f>Stats!$B$8-N33</f>
        <v>10036793</v>
      </c>
      <c r="N33" s="97">
        <f>ROUND(Stats!$B$33/(1+(Stats!$B$34*EXP(-1*Stats!$B$32*(X33-$X$25)))),0)</f>
        <v>2314</v>
      </c>
      <c r="O33" s="101">
        <f t="shared" si="5"/>
        <v>30.121002592912703</v>
      </c>
      <c r="P33" s="97">
        <f>ROUND(N33*(Stats!$I$14/100),0)</f>
        <v>56</v>
      </c>
      <c r="Q33" s="101">
        <f t="shared" si="1"/>
        <v>3.5714285714285698</v>
      </c>
      <c r="R33" s="109">
        <f xml:space="preserve"> ROUND(R32 - ((R32 / Stats!$B$27)*(Stats!$B$21*S32)),0)</f>
        <v>10036404</v>
      </c>
      <c r="S33" s="99">
        <f xml:space="preserve"> ROUND(S32 + (R32/Stats!$B$27)*(Stats!$B$21*S32)-(S32*Stats!$B$22),0)</f>
        <v>2053</v>
      </c>
      <c r="T33" s="101">
        <f t="shared" si="6"/>
        <v>46.663419386263996</v>
      </c>
      <c r="U33" s="99">
        <f xml:space="preserve"> ROUND(U32 + (S32 * Stats!$B$22),0)</f>
        <v>1187</v>
      </c>
      <c r="V33" s="99">
        <f>ROUND(S33*(Stats!$I$14/100),0)</f>
        <v>50</v>
      </c>
      <c r="W33" s="105">
        <f t="shared" si="2"/>
        <v>8.0000000000000071</v>
      </c>
      <c r="X33" s="118">
        <v>31</v>
      </c>
      <c r="Y33" s="114">
        <v>3011</v>
      </c>
      <c r="AA33" s="13">
        <v>3011</v>
      </c>
      <c r="AC33" s="13">
        <v>3011</v>
      </c>
      <c r="AE33" s="124"/>
    </row>
    <row r="34" spans="1:31" x14ac:dyDescent="0.25">
      <c r="A34" s="4">
        <v>43922</v>
      </c>
      <c r="B34" s="121">
        <v>3518</v>
      </c>
      <c r="C34" s="6">
        <f t="shared" si="3"/>
        <v>507</v>
      </c>
      <c r="D34" s="19">
        <f t="shared" si="7"/>
        <v>16.84</v>
      </c>
      <c r="E34" s="35">
        <f t="shared" si="4"/>
        <v>1441</v>
      </c>
      <c r="F34" s="25">
        <f>ROUND((B34/Stats!$B$8)*100000,0)</f>
        <v>35</v>
      </c>
      <c r="G34" s="22">
        <f>ROUND((C34/Stats!$B$8)*100000,0)</f>
        <v>5</v>
      </c>
      <c r="H34" s="213">
        <v>64</v>
      </c>
      <c r="I34" s="6">
        <f t="shared" si="9"/>
        <v>10</v>
      </c>
      <c r="J34" s="35">
        <f t="shared" si="8"/>
        <v>18.52</v>
      </c>
      <c r="K34" s="29">
        <f t="shared" si="0"/>
        <v>1.82</v>
      </c>
      <c r="L34" s="42">
        <f>ROUND(((H34/Stats!$B$8)*100000),0)</f>
        <v>1</v>
      </c>
      <c r="M34" s="96">
        <f>Stats!$B$8-N34</f>
        <v>10036329</v>
      </c>
      <c r="N34" s="97">
        <f>ROUND(Stats!$B$33/(1+(Stats!$B$34*EXP(-1*Stats!$B$32*(X34-$X$25)))),0)</f>
        <v>2778</v>
      </c>
      <c r="O34" s="101">
        <f t="shared" si="5"/>
        <v>26.637868970482369</v>
      </c>
      <c r="P34" s="97">
        <f>ROUND(N34*(Stats!$I$14/100),0)</f>
        <v>67</v>
      </c>
      <c r="Q34" s="101">
        <f t="shared" si="1"/>
        <v>4.4776119402985088</v>
      </c>
      <c r="R34" s="109">
        <f xml:space="preserve"> ROUND(R33 - ((R33 / Stats!$B$27)*(Stats!$B$21*S33)),0)</f>
        <v>10035735</v>
      </c>
      <c r="S34" s="99">
        <f xml:space="preserve"> ROUND(S33 + (R33/Stats!$B$27)*(Stats!$B$21*S33)-(S33*Stats!$B$22),0)</f>
        <v>2428</v>
      </c>
      <c r="T34" s="101">
        <f t="shared" si="6"/>
        <v>44.89291598023064</v>
      </c>
      <c r="U34" s="99">
        <f xml:space="preserve"> ROUND(U33 + (S33 * Stats!$B$22),0)</f>
        <v>1480</v>
      </c>
      <c r="V34" s="99">
        <f>ROUND(S34*(Stats!$I$14/100),0)</f>
        <v>59</v>
      </c>
      <c r="W34" s="105">
        <f t="shared" si="2"/>
        <v>8.4745762711864394</v>
      </c>
      <c r="X34" s="118">
        <v>32</v>
      </c>
      <c r="Y34" s="114">
        <v>3518</v>
      </c>
      <c r="AA34" s="13">
        <v>3518</v>
      </c>
      <c r="AC34" s="13">
        <v>3518</v>
      </c>
      <c r="AE34" s="124"/>
    </row>
    <row r="35" spans="1:31" x14ac:dyDescent="0.25">
      <c r="A35" s="4">
        <v>43923</v>
      </c>
      <c r="B35" s="121">
        <v>4045</v>
      </c>
      <c r="C35" s="6">
        <f t="shared" si="3"/>
        <v>527</v>
      </c>
      <c r="D35" s="19">
        <f t="shared" si="7"/>
        <v>14.98</v>
      </c>
      <c r="E35" s="35">
        <f t="shared" si="4"/>
        <v>1303</v>
      </c>
      <c r="F35" s="25">
        <f>ROUND((B35/Stats!$B$8)*100000,0)</f>
        <v>40</v>
      </c>
      <c r="G35" s="22">
        <f>ROUND((C35/Stats!$B$8)*100000,0)</f>
        <v>5</v>
      </c>
      <c r="H35" s="213">
        <v>78</v>
      </c>
      <c r="I35" s="6">
        <f t="shared" si="9"/>
        <v>14</v>
      </c>
      <c r="J35" s="35">
        <f t="shared" si="8"/>
        <v>21.88</v>
      </c>
      <c r="K35" s="29">
        <f t="shared" si="0"/>
        <v>1.93</v>
      </c>
      <c r="L35" s="42">
        <f>ROUND(((H35/Stats!$B$8)*100000),0)</f>
        <v>1</v>
      </c>
      <c r="M35" s="96">
        <f>Stats!$B$8-N35</f>
        <v>10035772</v>
      </c>
      <c r="N35" s="97">
        <f>ROUND(Stats!$B$33/(1+(Stats!$B$34*EXP(-1*Stats!$B$32*(X35-$X$25)))),0)</f>
        <v>3335</v>
      </c>
      <c r="O35" s="101">
        <f t="shared" si="5"/>
        <v>21.289355322338821</v>
      </c>
      <c r="P35" s="97">
        <f>ROUND(N35*(Stats!$I$14/100),0)</f>
        <v>81</v>
      </c>
      <c r="Q35" s="101">
        <f t="shared" si="1"/>
        <v>3.703703703703709</v>
      </c>
      <c r="R35" s="109">
        <f xml:space="preserve"> ROUND(R34 - ((R34 / Stats!$B$27)*(Stats!$B$21*S34)),0)</f>
        <v>10034944</v>
      </c>
      <c r="S35" s="99">
        <f xml:space="preserve"> ROUND(S34 + (R34/Stats!$B$27)*(Stats!$B$21*S34)-(S34*Stats!$B$22),0)</f>
        <v>2872</v>
      </c>
      <c r="T35" s="101">
        <f t="shared" si="6"/>
        <v>40.842618384401106</v>
      </c>
      <c r="U35" s="99">
        <f xml:space="preserve"> ROUND(U34 + (S34 * Stats!$B$22),0)</f>
        <v>1827</v>
      </c>
      <c r="V35" s="99">
        <f>ROUND(S35*(Stats!$I$14/100),0)</f>
        <v>70</v>
      </c>
      <c r="W35" s="105">
        <f t="shared" si="2"/>
        <v>11.428571428571432</v>
      </c>
      <c r="X35" s="118">
        <v>33</v>
      </c>
      <c r="Y35" s="114">
        <v>4045</v>
      </c>
      <c r="AA35" s="13">
        <v>4045</v>
      </c>
      <c r="AC35" s="13">
        <v>4045</v>
      </c>
      <c r="AE35" s="124"/>
    </row>
    <row r="36" spans="1:31" x14ac:dyDescent="0.25">
      <c r="A36" s="4">
        <v>43924</v>
      </c>
      <c r="B36" s="121">
        <v>4566</v>
      </c>
      <c r="C36" s="6">
        <f t="shared" si="3"/>
        <v>521</v>
      </c>
      <c r="D36" s="19">
        <f t="shared" si="7"/>
        <v>12.88</v>
      </c>
      <c r="E36" s="35">
        <f t="shared" si="4"/>
        <v>1141</v>
      </c>
      <c r="F36" s="25">
        <f>ROUND((B36/Stats!$B$8)*100000,0)</f>
        <v>45</v>
      </c>
      <c r="G36" s="22">
        <f>ROUND((C36/Stats!$B$8)*100000,0)</f>
        <v>5</v>
      </c>
      <c r="H36" s="213">
        <v>89</v>
      </c>
      <c r="I36" s="6">
        <f t="shared" si="9"/>
        <v>11</v>
      </c>
      <c r="J36" s="35">
        <f t="shared" si="8"/>
        <v>14.1</v>
      </c>
      <c r="K36" s="29">
        <f t="shared" si="0"/>
        <v>1.95</v>
      </c>
      <c r="L36" s="42">
        <f>ROUND(((H36/Stats!$B$8)*100000),0)</f>
        <v>1</v>
      </c>
      <c r="M36" s="96">
        <f>Stats!$B$8-N36</f>
        <v>10035103</v>
      </c>
      <c r="N36" s="97">
        <f>ROUND(Stats!$B$33/(1+(Stats!$B$34*EXP(-1*Stats!$B$32*(X36-$X$25)))),0)</f>
        <v>4004</v>
      </c>
      <c r="O36" s="101">
        <f t="shared" si="5"/>
        <v>14.035964035964032</v>
      </c>
      <c r="P36" s="97">
        <f>ROUND(N36*(Stats!$I$14/100),0)</f>
        <v>97</v>
      </c>
      <c r="Q36" s="101">
        <f t="shared" si="1"/>
        <v>8.2474226804123756</v>
      </c>
      <c r="R36" s="109">
        <f xml:space="preserve"> ROUND(R35 - ((R35 / Stats!$B$27)*(Stats!$B$21*S35)),0)</f>
        <v>10034009</v>
      </c>
      <c r="S36" s="99">
        <f xml:space="preserve"> ROUND(S35 + (R35/Stats!$B$27)*(Stats!$B$21*S35)-(S35*Stats!$B$22),0)</f>
        <v>3397</v>
      </c>
      <c r="T36" s="101">
        <f t="shared" si="6"/>
        <v>34.412717103326472</v>
      </c>
      <c r="U36" s="99">
        <f xml:space="preserve"> ROUND(U35 + (S35 * Stats!$B$22),0)</f>
        <v>2237</v>
      </c>
      <c r="V36" s="99">
        <f>ROUND(S36*(Stats!$I$14/100),0)</f>
        <v>82</v>
      </c>
      <c r="W36" s="105">
        <f t="shared" si="2"/>
        <v>8.5365853658536661</v>
      </c>
      <c r="X36" s="118">
        <v>34</v>
      </c>
      <c r="Y36" s="114">
        <v>4566</v>
      </c>
      <c r="AA36" s="13">
        <v>4566</v>
      </c>
      <c r="AC36" s="13">
        <v>4566</v>
      </c>
      <c r="AE36" s="124"/>
    </row>
    <row r="37" spans="1:31" x14ac:dyDescent="0.25">
      <c r="A37" s="4">
        <v>43925</v>
      </c>
      <c r="B37" s="121">
        <v>5277</v>
      </c>
      <c r="C37" s="6">
        <f t="shared" si="3"/>
        <v>711</v>
      </c>
      <c r="D37" s="19">
        <f t="shared" si="7"/>
        <v>15.57</v>
      </c>
      <c r="E37" s="35">
        <f t="shared" si="4"/>
        <v>1347</v>
      </c>
      <c r="F37" s="25">
        <f>ROUND((B37/Stats!$B$8)*100000,0)</f>
        <v>53</v>
      </c>
      <c r="G37" s="22">
        <f>ROUND((C37/Stats!$B$8)*100000,0)</f>
        <v>7</v>
      </c>
      <c r="H37" s="213">
        <v>117</v>
      </c>
      <c r="I37" s="6">
        <f t="shared" si="9"/>
        <v>28</v>
      </c>
      <c r="J37" s="35">
        <f t="shared" si="8"/>
        <v>31.46</v>
      </c>
      <c r="K37" s="29">
        <f t="shared" si="0"/>
        <v>2.2200000000000002</v>
      </c>
      <c r="L37" s="42">
        <f>ROUND(((H37/Stats!$B$8)*100000),0)</f>
        <v>1</v>
      </c>
      <c r="M37" s="96">
        <f>Stats!$B$8-N37</f>
        <v>10034301</v>
      </c>
      <c r="N37" s="97">
        <f>ROUND(Stats!$B$33/(1+(Stats!$B$34*EXP(-1*Stats!$B$32*(X37-$X$25)))),0)</f>
        <v>4806</v>
      </c>
      <c r="O37" s="101">
        <f t="shared" si="5"/>
        <v>9.800249687890128</v>
      </c>
      <c r="P37" s="97">
        <f>ROUND(N37*(Stats!$I$14/100),0)</f>
        <v>116</v>
      </c>
      <c r="Q37" s="101">
        <f t="shared" si="1"/>
        <v>0.86206896551723755</v>
      </c>
      <c r="R37" s="109">
        <f xml:space="preserve"> ROUND(R36 - ((R36 / Stats!$B$27)*(Stats!$B$21*S36)),0)</f>
        <v>10032903</v>
      </c>
      <c r="S37" s="99">
        <f xml:space="preserve"> ROUND(S36 + (R36/Stats!$B$27)*(Stats!$B$21*S36)-(S36*Stats!$B$22),0)</f>
        <v>4018</v>
      </c>
      <c r="T37" s="101">
        <f t="shared" si="6"/>
        <v>31.333997013439529</v>
      </c>
      <c r="U37" s="99">
        <f xml:space="preserve"> ROUND(U36 + (S36 * Stats!$B$22),0)</f>
        <v>2722</v>
      </c>
      <c r="V37" s="99">
        <f>ROUND(S37*(Stats!$I$14/100),0)</f>
        <v>97</v>
      </c>
      <c r="W37" s="105">
        <f t="shared" si="2"/>
        <v>20.618556701030922</v>
      </c>
      <c r="X37" s="118">
        <v>35</v>
      </c>
      <c r="Y37" s="113">
        <f>GROWTH($Y$25:Y36,$X$25:X36,X37:$X$78,1)</f>
        <v>6390.8628714599081</v>
      </c>
      <c r="Z37" s="7">
        <f>IFERROR(ABS((($B37/Y37)-1)*100),"")</f>
        <v>17.42899032357834</v>
      </c>
      <c r="AA37" s="13">
        <v>5277</v>
      </c>
      <c r="AC37" s="13">
        <v>5277</v>
      </c>
      <c r="AE37" s="124"/>
    </row>
    <row r="38" spans="1:31" x14ac:dyDescent="0.25">
      <c r="A38" s="4">
        <v>43926</v>
      </c>
      <c r="B38" s="121">
        <v>5940</v>
      </c>
      <c r="C38" s="6">
        <f t="shared" si="3"/>
        <v>663</v>
      </c>
      <c r="D38" s="19">
        <f t="shared" si="7"/>
        <v>12.56</v>
      </c>
      <c r="E38" s="35">
        <f t="shared" si="4"/>
        <v>1116</v>
      </c>
      <c r="F38" s="25">
        <f>ROUND((B38/Stats!$B$8)*100000,0)</f>
        <v>59</v>
      </c>
      <c r="G38" s="22">
        <f>ROUND((C38/Stats!$B$8)*100000,0)</f>
        <v>7</v>
      </c>
      <c r="H38" s="213">
        <v>132</v>
      </c>
      <c r="I38" s="6">
        <f t="shared" si="9"/>
        <v>15</v>
      </c>
      <c r="J38" s="35">
        <f t="shared" si="8"/>
        <v>12.82</v>
      </c>
      <c r="K38" s="29">
        <f t="shared" si="0"/>
        <v>2.2200000000000002</v>
      </c>
      <c r="L38" s="42">
        <f>ROUND(((H38/Stats!$B$8)*100000),0)</f>
        <v>1</v>
      </c>
      <c r="M38" s="96">
        <f>Stats!$B$8-N38</f>
        <v>10033338</v>
      </c>
      <c r="N38" s="97">
        <f>ROUND(Stats!$B$33/(1+(Stats!$B$34*EXP(-1*Stats!$B$32*(X38-$X$25)))),0)</f>
        <v>5769</v>
      </c>
      <c r="O38" s="101">
        <f t="shared" si="5"/>
        <v>2.9641185647425905</v>
      </c>
      <c r="P38" s="97">
        <f>ROUND(N38*(Stats!$I$14/100),0)</f>
        <v>140</v>
      </c>
      <c r="Q38" s="101">
        <f t="shared" si="1"/>
        <v>5.7142857142857162</v>
      </c>
      <c r="R38" s="109">
        <f xml:space="preserve"> ROUND(R37 - ((R37 / Stats!$B$27)*(Stats!$B$21*S37)),0)</f>
        <v>10031595</v>
      </c>
      <c r="S38" s="99">
        <f xml:space="preserve"> ROUND(S37 + (R37/Stats!$B$27)*(Stats!$B$21*S37)-(S37*Stats!$B$22),0)</f>
        <v>4752</v>
      </c>
      <c r="T38" s="101">
        <f t="shared" si="6"/>
        <v>25</v>
      </c>
      <c r="U38" s="99">
        <f xml:space="preserve"> ROUND(U37 + (S37 * Stats!$B$22),0)</f>
        <v>3296</v>
      </c>
      <c r="V38" s="99">
        <f>ROUND(S38*(Stats!$I$14/100),0)</f>
        <v>115</v>
      </c>
      <c r="W38" s="105">
        <f t="shared" si="2"/>
        <v>14.782608695652177</v>
      </c>
      <c r="X38" s="118">
        <v>36</v>
      </c>
      <c r="Y38" s="113">
        <f>GROWTH($Y$25:Y37,$X$25:X37,X38:$X$78,1)</f>
        <v>7786.8717368220305</v>
      </c>
      <c r="Z38" s="7">
        <f t="shared" ref="Z38:Z75" si="10">IFERROR(ABS((($B38/Y38)-1)*100),"")</f>
        <v>23.717762398585151</v>
      </c>
      <c r="AA38" s="13">
        <v>5940</v>
      </c>
      <c r="AC38" s="13">
        <v>5940</v>
      </c>
      <c r="AE38" s="124"/>
    </row>
    <row r="39" spans="1:31" x14ac:dyDescent="0.25">
      <c r="A39" s="4">
        <v>43927</v>
      </c>
      <c r="B39" s="121">
        <v>6360</v>
      </c>
      <c r="C39" s="6">
        <f t="shared" si="3"/>
        <v>420</v>
      </c>
      <c r="D39" s="19">
        <f t="shared" si="7"/>
        <v>7.07</v>
      </c>
      <c r="E39" s="35">
        <f t="shared" si="4"/>
        <v>660</v>
      </c>
      <c r="F39" s="25">
        <f>ROUND((B39/Stats!$B$8)*100000,0)</f>
        <v>63</v>
      </c>
      <c r="G39" s="22">
        <f>ROUND((C39/Stats!$B$8)*100000,0)</f>
        <v>4</v>
      </c>
      <c r="H39" s="213">
        <v>147</v>
      </c>
      <c r="I39" s="6">
        <f t="shared" si="9"/>
        <v>15</v>
      </c>
      <c r="J39" s="35">
        <f t="shared" si="8"/>
        <v>11.36</v>
      </c>
      <c r="K39" s="29">
        <f t="shared" si="0"/>
        <v>2.31</v>
      </c>
      <c r="L39" s="42">
        <f>ROUND(((H39/Stats!$B$8)*100000),0)</f>
        <v>1</v>
      </c>
      <c r="M39" s="96">
        <f>Stats!$B$8-N39</f>
        <v>10032181</v>
      </c>
      <c r="N39" s="97">
        <f>ROUND(Stats!$B$33/(1+(Stats!$B$34*EXP(-1*Stats!$B$32*(X39-$X$25)))),0)</f>
        <v>6926</v>
      </c>
      <c r="O39" s="101">
        <f t="shared" si="5"/>
        <v>8.1721051111752772</v>
      </c>
      <c r="P39" s="97">
        <f>ROUND(N39*(Stats!$I$14/100),0)</f>
        <v>168</v>
      </c>
      <c r="Q39" s="101">
        <f t="shared" si="1"/>
        <v>12.5</v>
      </c>
      <c r="R39" s="109">
        <f xml:space="preserve"> ROUND(R38 - ((R38 / Stats!$B$27)*(Stats!$B$21*S38)),0)</f>
        <v>10030048</v>
      </c>
      <c r="S39" s="99">
        <f xml:space="preserve"> ROUND(S38 + (R38/Stats!$B$27)*(Stats!$B$21*S38)-(S38*Stats!$B$22),0)</f>
        <v>5620</v>
      </c>
      <c r="T39" s="101">
        <f t="shared" si="6"/>
        <v>13.167259786476858</v>
      </c>
      <c r="U39" s="99">
        <f xml:space="preserve"> ROUND(U38 + (S38 * Stats!$B$22),0)</f>
        <v>3975</v>
      </c>
      <c r="V39" s="99">
        <f>ROUND(S39*(Stats!$I$14/100),0)</f>
        <v>136</v>
      </c>
      <c r="W39" s="105">
        <f t="shared" si="2"/>
        <v>8.0882352941176414</v>
      </c>
      <c r="X39" s="118">
        <v>37</v>
      </c>
      <c r="Y39" s="113">
        <f>GROWTH($Y$25:Y38,$X$25:X38,X39:$X$78,1)</f>
        <v>9487.8223277956749</v>
      </c>
      <c r="Z39" s="7">
        <f t="shared" si="10"/>
        <v>32.966704262919819</v>
      </c>
      <c r="AA39" s="13">
        <v>6360</v>
      </c>
      <c r="AC39" s="13">
        <v>6360</v>
      </c>
      <c r="AE39" s="124"/>
    </row>
    <row r="40" spans="1:31" x14ac:dyDescent="0.25">
      <c r="A40" s="4">
        <v>43928</v>
      </c>
      <c r="B40" s="121">
        <v>6910</v>
      </c>
      <c r="C40" s="6">
        <f t="shared" si="3"/>
        <v>550</v>
      </c>
      <c r="D40" s="19">
        <f t="shared" si="7"/>
        <v>8.65</v>
      </c>
      <c r="E40" s="35">
        <f t="shared" si="4"/>
        <v>796</v>
      </c>
      <c r="F40" s="25">
        <f>ROUND((B40/Stats!$B$8)*100000,0)</f>
        <v>69</v>
      </c>
      <c r="G40" s="22">
        <f>ROUND((C40/Stats!$B$8)*100000,0)</f>
        <v>5</v>
      </c>
      <c r="H40" s="213">
        <v>169</v>
      </c>
      <c r="I40" s="6">
        <f t="shared" si="9"/>
        <v>22</v>
      </c>
      <c r="J40" s="35">
        <f t="shared" si="8"/>
        <v>14.97</v>
      </c>
      <c r="K40" s="29">
        <f t="shared" si="0"/>
        <v>2.4500000000000002</v>
      </c>
      <c r="L40" s="42">
        <f>ROUND(((H40/Stats!$B$8)*100000),0)</f>
        <v>2</v>
      </c>
      <c r="M40" s="96">
        <f>Stats!$B$8-N40</f>
        <v>10030794</v>
      </c>
      <c r="N40" s="97">
        <f>ROUND(Stats!$B$33/(1+(Stats!$B$34*EXP(-1*Stats!$B$32*(X40-$X$25)))),0)</f>
        <v>8313</v>
      </c>
      <c r="O40" s="101">
        <f t="shared" si="5"/>
        <v>16.877180319980756</v>
      </c>
      <c r="P40" s="97">
        <f>ROUND(N40*(Stats!$I$14/100),0)</f>
        <v>201</v>
      </c>
      <c r="Q40" s="101">
        <f t="shared" si="1"/>
        <v>15.920398009950254</v>
      </c>
      <c r="R40" s="109">
        <f xml:space="preserve"> ROUND(R39 - ((R39 / Stats!$B$27)*(Stats!$B$21*S39)),0)</f>
        <v>10028219</v>
      </c>
      <c r="S40" s="99">
        <f xml:space="preserve"> ROUND(S39 + (R39/Stats!$B$27)*(Stats!$B$21*S39)-(S39*Stats!$B$22),0)</f>
        <v>6646</v>
      </c>
      <c r="T40" s="101">
        <f t="shared" si="6"/>
        <v>3.9723141739392176</v>
      </c>
      <c r="U40" s="99">
        <f xml:space="preserve"> ROUND(U39 + (S39 * Stats!$B$22),0)</f>
        <v>4778</v>
      </c>
      <c r="V40" s="99">
        <f>ROUND(S40*(Stats!$I$14/100),0)</f>
        <v>161</v>
      </c>
      <c r="W40" s="105">
        <f t="shared" si="2"/>
        <v>4.9689440993788914</v>
      </c>
      <c r="X40" s="118">
        <v>38</v>
      </c>
      <c r="Y40" s="113">
        <f>GROWTH($Y$25:Y39,$X$25:X39,X40:$X$78,1)</f>
        <v>11560.325579544808</v>
      </c>
      <c r="Z40" s="7">
        <f t="shared" si="10"/>
        <v>40.226596972089048</v>
      </c>
      <c r="AA40" s="13">
        <v>6910</v>
      </c>
      <c r="AC40" s="13">
        <v>6910</v>
      </c>
      <c r="AE40" s="124"/>
    </row>
    <row r="41" spans="1:31" x14ac:dyDescent="0.25">
      <c r="A41" s="4">
        <v>43929</v>
      </c>
      <c r="B41" s="121">
        <v>7530</v>
      </c>
      <c r="C41" s="6">
        <f t="shared" si="3"/>
        <v>620</v>
      </c>
      <c r="D41" s="19">
        <f t="shared" si="7"/>
        <v>8.9700000000000006</v>
      </c>
      <c r="E41" s="35">
        <f t="shared" si="4"/>
        <v>823</v>
      </c>
      <c r="F41" s="25">
        <f>ROUND((B41/Stats!$B$8)*100000,0)</f>
        <v>75</v>
      </c>
      <c r="G41" s="22">
        <f>ROUND((C41/Stats!$B$8)*100000,0)</f>
        <v>6</v>
      </c>
      <c r="H41" s="213">
        <v>198</v>
      </c>
      <c r="I41" s="6">
        <f t="shared" si="9"/>
        <v>29</v>
      </c>
      <c r="J41" s="35">
        <f t="shared" si="8"/>
        <v>17.16</v>
      </c>
      <c r="K41" s="29">
        <f t="shared" si="0"/>
        <v>2.63</v>
      </c>
      <c r="L41" s="42">
        <f>ROUND(((H41/Stats!$B$8)*100000),0)</f>
        <v>2</v>
      </c>
      <c r="M41" s="96">
        <f>Stats!$B$8-N41</f>
        <v>10029129</v>
      </c>
      <c r="N41" s="97">
        <f>ROUND(Stats!$B$33/(1+(Stats!$B$34*EXP(-1*Stats!$B$32*(X41-$X$25)))),0)</f>
        <v>9978</v>
      </c>
      <c r="O41" s="101">
        <f t="shared" si="5"/>
        <v>24.53397474443776</v>
      </c>
      <c r="P41" s="97">
        <f>ROUND(N41*(Stats!$I$14/100),0)</f>
        <v>241</v>
      </c>
      <c r="Q41" s="101">
        <f t="shared" si="1"/>
        <v>17.842323651452286</v>
      </c>
      <c r="R41" s="109">
        <f xml:space="preserve"> ROUND(R40 - ((R40 / Stats!$B$27)*(Stats!$B$21*S40)),0)</f>
        <v>10026057</v>
      </c>
      <c r="S41" s="99">
        <f xml:space="preserve"> ROUND(S40 + (R40/Stats!$B$27)*(Stats!$B$21*S40)-(S40*Stats!$B$22),0)</f>
        <v>7859</v>
      </c>
      <c r="T41" s="101">
        <f t="shared" si="6"/>
        <v>4.1862832421427632</v>
      </c>
      <c r="U41" s="99">
        <f xml:space="preserve"> ROUND(U40 + (S40 * Stats!$B$22),0)</f>
        <v>5727</v>
      </c>
      <c r="V41" s="99">
        <f>ROUND(S41*(Stats!$I$14/100),0)</f>
        <v>190</v>
      </c>
      <c r="W41" s="105">
        <f t="shared" si="2"/>
        <v>4.2105263157894646</v>
      </c>
      <c r="X41" s="118">
        <v>39</v>
      </c>
      <c r="Y41" s="113">
        <f>GROWTH($Y$25:Y40,$X$25:X40,X41:$X$78,1)</f>
        <v>14085.542802963406</v>
      </c>
      <c r="Z41" s="7">
        <f t="shared" si="10"/>
        <v>46.540931327007215</v>
      </c>
      <c r="AA41" s="13">
        <v>7530</v>
      </c>
      <c r="AC41" s="13">
        <v>7530</v>
      </c>
      <c r="AE41" s="124"/>
    </row>
    <row r="42" spans="1:31" x14ac:dyDescent="0.25">
      <c r="A42" s="4">
        <v>43930</v>
      </c>
      <c r="B42" s="121">
        <v>7955</v>
      </c>
      <c r="C42" s="6">
        <f t="shared" si="3"/>
        <v>425</v>
      </c>
      <c r="D42" s="19">
        <f t="shared" si="7"/>
        <v>5.64</v>
      </c>
      <c r="E42" s="35">
        <f t="shared" si="4"/>
        <v>534</v>
      </c>
      <c r="F42" s="25">
        <f>ROUND((B42/Stats!$B$8)*100000,0)</f>
        <v>79</v>
      </c>
      <c r="G42" s="22">
        <f>ROUND((C42/Stats!$B$8)*100000,0)</f>
        <v>4</v>
      </c>
      <c r="H42" s="213">
        <v>223</v>
      </c>
      <c r="I42" s="6">
        <f t="shared" si="9"/>
        <v>25</v>
      </c>
      <c r="J42" s="35">
        <f t="shared" si="8"/>
        <v>12.63</v>
      </c>
      <c r="K42" s="29">
        <f t="shared" si="0"/>
        <v>2.8</v>
      </c>
      <c r="L42" s="42">
        <f>ROUND(((H42/Stats!$B$8)*100000),0)</f>
        <v>2</v>
      </c>
      <c r="M42" s="96">
        <f>Stats!$B$8-N42</f>
        <v>10027131</v>
      </c>
      <c r="N42" s="97">
        <f>ROUND(Stats!$B$33/(1+(Stats!$B$34*EXP(-1*Stats!$B$32*(X42-$X$25)))),0)</f>
        <v>11976</v>
      </c>
      <c r="O42" s="101">
        <f t="shared" si="5"/>
        <v>33.575484301937209</v>
      </c>
      <c r="P42" s="97">
        <f>ROUND(N42*(Stats!$I$14/100),0)</f>
        <v>290</v>
      </c>
      <c r="Q42" s="101">
        <f t="shared" si="1"/>
        <v>23.103448275862071</v>
      </c>
      <c r="R42" s="109">
        <f xml:space="preserve"> ROUND(R41 - ((R41 / Stats!$B$27)*(Stats!$B$21*S41)),0)</f>
        <v>10023501</v>
      </c>
      <c r="S42" s="99">
        <f xml:space="preserve"> ROUND(S41 + (R41/Stats!$B$27)*(Stats!$B$21*S41)-(S41*Stats!$B$22),0)</f>
        <v>9293</v>
      </c>
      <c r="T42" s="101">
        <f t="shared" si="6"/>
        <v>14.397933928763585</v>
      </c>
      <c r="U42" s="99">
        <f xml:space="preserve"> ROUND(U41 + (S41 * Stats!$B$22),0)</f>
        <v>6850</v>
      </c>
      <c r="V42" s="99">
        <f>ROUND(S42*(Stats!$I$14/100),0)</f>
        <v>225</v>
      </c>
      <c r="W42" s="105">
        <f t="shared" si="2"/>
        <v>0.88888888888888351</v>
      </c>
      <c r="X42" s="118">
        <v>40</v>
      </c>
      <c r="Y42" s="113">
        <f>GROWTH($Y$25:Y41,$X$25:X41,X42:$X$78,1)</f>
        <v>17162.364043204223</v>
      </c>
      <c r="Z42" s="7">
        <f t="shared" si="10"/>
        <v>53.648576734683942</v>
      </c>
      <c r="AA42" s="13">
        <v>7955</v>
      </c>
      <c r="AC42" s="13">
        <v>7955</v>
      </c>
      <c r="AE42" s="124"/>
    </row>
    <row r="43" spans="1:31" x14ac:dyDescent="0.25">
      <c r="A43" s="4">
        <v>43931</v>
      </c>
      <c r="B43" s="121">
        <v>8430</v>
      </c>
      <c r="C43" s="6">
        <f t="shared" si="3"/>
        <v>475</v>
      </c>
      <c r="D43" s="19">
        <f t="shared" si="7"/>
        <v>5.97</v>
      </c>
      <c r="E43" s="35">
        <f t="shared" si="4"/>
        <v>563</v>
      </c>
      <c r="F43" s="25">
        <f>ROUND((B43/Stats!$B$8)*100000,0)</f>
        <v>84</v>
      </c>
      <c r="G43" s="22">
        <f>ROUND((C43/Stats!$B$8)*100000,0)</f>
        <v>5</v>
      </c>
      <c r="H43" s="213">
        <v>241</v>
      </c>
      <c r="I43" s="6">
        <f t="shared" si="9"/>
        <v>18</v>
      </c>
      <c r="J43" s="35">
        <f t="shared" si="8"/>
        <v>8.07</v>
      </c>
      <c r="K43" s="29">
        <f t="shared" si="0"/>
        <v>2.86</v>
      </c>
      <c r="L43" s="42">
        <f>ROUND(((H43/Stats!$B$8)*100000),0)</f>
        <v>2</v>
      </c>
      <c r="M43" s="96">
        <f>Stats!$B$8-N43</f>
        <v>10024734</v>
      </c>
      <c r="N43" s="97">
        <f>ROUND(Stats!$B$33/(1+(Stats!$B$34*EXP(-1*Stats!$B$32*(X43-$X$25)))),0)</f>
        <v>14373</v>
      </c>
      <c r="O43" s="101">
        <f t="shared" si="5"/>
        <v>41.348361511166779</v>
      </c>
      <c r="P43" s="97">
        <f>ROUND(N43*(Stats!$I$14/100),0)</f>
        <v>348</v>
      </c>
      <c r="Q43" s="101">
        <f t="shared" si="1"/>
        <v>30.747126436781613</v>
      </c>
      <c r="R43" s="109">
        <f xml:space="preserve"> ROUND(R42 - ((R42 / Stats!$B$27)*(Stats!$B$21*S42)),0)</f>
        <v>10020479</v>
      </c>
      <c r="S43" s="99">
        <f xml:space="preserve"> ROUND(S42 + (R42/Stats!$B$27)*(Stats!$B$21*S42)-(S42*Stats!$B$22),0)</f>
        <v>10988</v>
      </c>
      <c r="T43" s="101">
        <f t="shared" si="6"/>
        <v>23.279941754641431</v>
      </c>
      <c r="U43" s="99">
        <f xml:space="preserve"> ROUND(U42 + (S42 * Stats!$B$22),0)</f>
        <v>8178</v>
      </c>
      <c r="V43" s="99">
        <f>ROUND(S43*(Stats!$I$14/100),0)</f>
        <v>266</v>
      </c>
      <c r="W43" s="105">
        <f t="shared" si="2"/>
        <v>9.3984962406015065</v>
      </c>
      <c r="X43" s="118">
        <v>41</v>
      </c>
      <c r="Y43" s="113">
        <f>GROWTH($Y$25:Y42,$X$25:X42,X43:$X$78,1)</f>
        <v>20911.280713264521</v>
      </c>
      <c r="Z43" s="7">
        <f t="shared" si="10"/>
        <v>59.686830684393946</v>
      </c>
      <c r="AA43" s="13">
        <v>8430</v>
      </c>
      <c r="AC43" s="13">
        <v>8430</v>
      </c>
      <c r="AE43" s="124"/>
    </row>
    <row r="44" spans="1:31" x14ac:dyDescent="0.25">
      <c r="A44" s="4">
        <v>43932</v>
      </c>
      <c r="B44" s="121">
        <v>8873</v>
      </c>
      <c r="C44" s="6">
        <f t="shared" si="3"/>
        <v>443</v>
      </c>
      <c r="D44" s="19">
        <f t="shared" si="7"/>
        <v>5.26</v>
      </c>
      <c r="E44" s="35">
        <f t="shared" si="4"/>
        <v>499</v>
      </c>
      <c r="F44" s="25">
        <f>ROUND((B44/Stats!$B$8)*100000,0)</f>
        <v>88</v>
      </c>
      <c r="G44" s="22">
        <f>ROUND((C44/Stats!$B$8)*100000,0)</f>
        <v>4</v>
      </c>
      <c r="H44" s="213">
        <v>265</v>
      </c>
      <c r="I44" s="6">
        <f t="shared" si="9"/>
        <v>24</v>
      </c>
      <c r="J44" s="35">
        <f t="shared" si="8"/>
        <v>9.9600000000000009</v>
      </c>
      <c r="K44" s="29">
        <f t="shared" si="0"/>
        <v>2.99</v>
      </c>
      <c r="L44" s="42">
        <f>ROUND(((H44/Stats!$B$8)*100000),0)</f>
        <v>3</v>
      </c>
      <c r="M44" s="96">
        <f>Stats!$B$8-N44</f>
        <v>10021859</v>
      </c>
      <c r="N44" s="97">
        <f>ROUND(Stats!$B$33/(1+(Stats!$B$34*EXP(-1*Stats!$B$32*(X44-$X$25)))),0)</f>
        <v>17248</v>
      </c>
      <c r="O44" s="101">
        <f t="shared" si="5"/>
        <v>48.556354359925791</v>
      </c>
      <c r="P44" s="97">
        <f>ROUND(N44*(Stats!$I$14/100),0)</f>
        <v>417</v>
      </c>
      <c r="Q44" s="101">
        <f t="shared" si="1"/>
        <v>36.450839328537164</v>
      </c>
      <c r="R44" s="109">
        <f xml:space="preserve"> ROUND(R43 - ((R43 / Stats!$B$27)*(Stats!$B$21*S43)),0)</f>
        <v>10016907</v>
      </c>
      <c r="S44" s="99">
        <f xml:space="preserve"> ROUND(S43 + (R43/Stats!$B$27)*(Stats!$B$21*S43)-(S43*Stats!$B$22),0)</f>
        <v>12991</v>
      </c>
      <c r="T44" s="101">
        <f t="shared" si="6"/>
        <v>31.698868447386651</v>
      </c>
      <c r="U44" s="99">
        <f xml:space="preserve"> ROUND(U43 + (S43 * Stats!$B$22),0)</f>
        <v>9748</v>
      </c>
      <c r="V44" s="99">
        <f>ROUND(S44*(Stats!$I$14/100),0)</f>
        <v>314</v>
      </c>
      <c r="W44" s="105">
        <f t="shared" si="2"/>
        <v>15.605095541401271</v>
      </c>
      <c r="X44" s="118">
        <v>42</v>
      </c>
      <c r="Y44" s="113">
        <f>GROWTH($Y$25:Y43,$X$25:X43,X44:$X$78,1)</f>
        <v>25479.104158852584</v>
      </c>
      <c r="Z44" s="7">
        <f t="shared" si="10"/>
        <v>65.175384720435233</v>
      </c>
      <c r="AA44" s="13">
        <v>8873</v>
      </c>
      <c r="AC44" s="13">
        <v>8873</v>
      </c>
      <c r="AE44" s="124"/>
    </row>
    <row r="45" spans="1:31" x14ac:dyDescent="0.25">
      <c r="A45" s="4">
        <v>43933</v>
      </c>
      <c r="B45" s="121">
        <v>9192</v>
      </c>
      <c r="C45" s="6">
        <f t="shared" si="3"/>
        <v>319</v>
      </c>
      <c r="D45" s="19">
        <f t="shared" si="7"/>
        <v>3.6</v>
      </c>
      <c r="E45" s="35">
        <f t="shared" si="4"/>
        <v>347</v>
      </c>
      <c r="F45" s="25">
        <f>ROUND((B45/Stats!$B$8)*100000,0)</f>
        <v>92</v>
      </c>
      <c r="G45" s="22">
        <f>ROUND((C45/Stats!$B$8)*100000,0)</f>
        <v>3</v>
      </c>
      <c r="H45" s="213">
        <v>296</v>
      </c>
      <c r="I45" s="6">
        <f t="shared" si="9"/>
        <v>31</v>
      </c>
      <c r="J45" s="35">
        <f t="shared" si="8"/>
        <v>11.7</v>
      </c>
      <c r="K45" s="29">
        <f t="shared" si="0"/>
        <v>3.22</v>
      </c>
      <c r="L45" s="42">
        <f>ROUND(((H45/Stats!$B$8)*100000),0)</f>
        <v>3</v>
      </c>
      <c r="M45" s="96">
        <f>Stats!$B$8-N45</f>
        <v>10018411</v>
      </c>
      <c r="N45" s="97">
        <f>ROUND(Stats!$B$33/(1+(Stats!$B$34*EXP(-1*Stats!$B$32*(X45-$X$25)))),0)</f>
        <v>20696</v>
      </c>
      <c r="O45" s="101">
        <f t="shared" si="5"/>
        <v>55.585620409741011</v>
      </c>
      <c r="P45" s="97">
        <f>ROUND(N45*(Stats!$I$14/100),0)</f>
        <v>501</v>
      </c>
      <c r="Q45" s="101">
        <f t="shared" si="1"/>
        <v>40.918163672654693</v>
      </c>
      <c r="R45" s="109">
        <f xml:space="preserve"> ROUND(R44 - ((R44 / Stats!$B$27)*(Stats!$B$21*S44)),0)</f>
        <v>10012685</v>
      </c>
      <c r="S45" s="99">
        <f xml:space="preserve"> ROUND(S44 + (R44/Stats!$B$27)*(Stats!$B$21*S44)-(S44*Stats!$B$22),0)</f>
        <v>15357</v>
      </c>
      <c r="T45" s="101">
        <f t="shared" si="6"/>
        <v>40.144559484274268</v>
      </c>
      <c r="U45" s="99">
        <f xml:space="preserve"> ROUND(U44 + (S44 * Stats!$B$22),0)</f>
        <v>11604</v>
      </c>
      <c r="V45" s="99">
        <f>ROUND(S45*(Stats!$I$14/100),0)</f>
        <v>372</v>
      </c>
      <c r="W45" s="105">
        <f t="shared" si="2"/>
        <v>20.430107526881724</v>
      </c>
      <c r="X45" s="118">
        <v>43</v>
      </c>
      <c r="Y45" s="113">
        <f>GROWTH($Y$25:Y44,$X$25:X44,X45:$X$78,1)</f>
        <v>31044.714938280507</v>
      </c>
      <c r="Z45" s="7">
        <f t="shared" si="10"/>
        <v>70.391095494758233</v>
      </c>
      <c r="AA45" s="13">
        <v>9192</v>
      </c>
      <c r="AC45" s="13">
        <v>9192</v>
      </c>
      <c r="AE45" s="124"/>
    </row>
    <row r="46" spans="1:31" x14ac:dyDescent="0.25">
      <c r="A46" s="4">
        <v>43934</v>
      </c>
      <c r="B46" s="121">
        <v>9420</v>
      </c>
      <c r="C46" s="6">
        <f t="shared" si="3"/>
        <v>228</v>
      </c>
      <c r="D46" s="19">
        <f t="shared" si="7"/>
        <v>2.48</v>
      </c>
      <c r="E46" s="35">
        <f t="shared" si="4"/>
        <v>242</v>
      </c>
      <c r="F46" s="25">
        <f>ROUND((B46/Stats!$B$8)*100000,0)</f>
        <v>94</v>
      </c>
      <c r="G46" s="22">
        <f>ROUND((C46/Stats!$B$8)*100000,0)</f>
        <v>2</v>
      </c>
      <c r="H46" s="213">
        <v>320</v>
      </c>
      <c r="I46" s="6">
        <f t="shared" si="9"/>
        <v>24</v>
      </c>
      <c r="J46" s="35">
        <f t="shared" si="8"/>
        <v>8.11</v>
      </c>
      <c r="K46" s="29">
        <f t="shared" si="0"/>
        <v>3.4</v>
      </c>
      <c r="L46" s="42">
        <f>ROUND(((H46/Stats!$B$8)*100000),0)</f>
        <v>3</v>
      </c>
      <c r="M46" s="96">
        <f>Stats!$B$8-N46</f>
        <v>10014277</v>
      </c>
      <c r="N46" s="97">
        <f>ROUND(Stats!$B$33/(1+(Stats!$B$34*EXP(-1*Stats!$B$32*(X46-$X$25)))),0)</f>
        <v>24830</v>
      </c>
      <c r="O46" s="101">
        <f t="shared" si="5"/>
        <v>62.062021747885623</v>
      </c>
      <c r="P46" s="97">
        <f>ROUND(N46*(Stats!$I$14/100),0)</f>
        <v>601</v>
      </c>
      <c r="Q46" s="101">
        <f t="shared" si="1"/>
        <v>46.755407653910154</v>
      </c>
      <c r="R46" s="109">
        <f xml:space="preserve"> ROUND(R45 - ((R45 / Stats!$B$27)*(Stats!$B$21*S45)),0)</f>
        <v>10007696</v>
      </c>
      <c r="S46" s="99">
        <f xml:space="preserve"> ROUND(S45 + (R45/Stats!$B$27)*(Stats!$B$21*S45)-(S45*Stats!$B$22),0)</f>
        <v>18152</v>
      </c>
      <c r="T46" s="101">
        <f t="shared" si="6"/>
        <v>48.104892022917589</v>
      </c>
      <c r="U46" s="99">
        <f xml:space="preserve"> ROUND(U45 + (S45 * Stats!$B$22),0)</f>
        <v>13798</v>
      </c>
      <c r="V46" s="99">
        <f>ROUND(S46*(Stats!$I$14/100),0)</f>
        <v>439</v>
      </c>
      <c r="W46" s="105">
        <f t="shared" si="2"/>
        <v>27.107061503416851</v>
      </c>
      <c r="X46" s="118">
        <v>44</v>
      </c>
      <c r="Y46" s="113">
        <f>GROWTH($Y$25:Y45,$X$25:X45,X46:$X$78,1)</f>
        <v>37826.067964961803</v>
      </c>
      <c r="Z46" s="7">
        <f t="shared" si="10"/>
        <v>75.09653922071486</v>
      </c>
      <c r="AA46" s="13">
        <v>9420</v>
      </c>
      <c r="AC46" s="13">
        <v>9420</v>
      </c>
      <c r="AE46" s="124"/>
    </row>
    <row r="47" spans="1:31" ht="225" x14ac:dyDescent="0.25">
      <c r="A47" s="4">
        <v>43935</v>
      </c>
      <c r="B47" s="121">
        <v>10047</v>
      </c>
      <c r="C47" s="6">
        <f t="shared" si="3"/>
        <v>627</v>
      </c>
      <c r="D47" s="19">
        <f t="shared" si="7"/>
        <v>6.66</v>
      </c>
      <c r="E47" s="35">
        <f t="shared" si="4"/>
        <v>624</v>
      </c>
      <c r="F47" s="25">
        <f>ROUND((B47/Stats!$B$8)*100000,0)</f>
        <v>100</v>
      </c>
      <c r="G47" s="22">
        <f>ROUND((C47/Stats!$B$8)*100000,0)</f>
        <v>6</v>
      </c>
      <c r="H47" s="213">
        <v>360</v>
      </c>
      <c r="I47" s="6">
        <f t="shared" si="9"/>
        <v>40</v>
      </c>
      <c r="J47" s="35">
        <f t="shared" si="8"/>
        <v>12.5</v>
      </c>
      <c r="K47" s="29">
        <f t="shared" si="0"/>
        <v>3.58</v>
      </c>
      <c r="L47" s="42">
        <f>ROUND(((H47/Stats!$B$8)*100000),0)</f>
        <v>4</v>
      </c>
      <c r="M47" s="96">
        <f>Stats!$B$8-N47</f>
        <v>10009321</v>
      </c>
      <c r="N47" s="97">
        <f>ROUND(Stats!$B$33/(1+(Stats!$B$34*EXP(-1*Stats!$B$32*(X47-$X$25)))),0)</f>
        <v>29786</v>
      </c>
      <c r="O47" s="101">
        <f t="shared" si="5"/>
        <v>66.269388303229704</v>
      </c>
      <c r="P47" s="97">
        <f>ROUND(N47*(Stats!$I$14/100),0)</f>
        <v>721</v>
      </c>
      <c r="Q47" s="101">
        <f t="shared" si="1"/>
        <v>50.069348127600556</v>
      </c>
      <c r="R47" s="109">
        <f xml:space="preserve"> ROUND(R46 - ((R46 / Stats!$B$27)*(Stats!$B$21*S46)),0)</f>
        <v>10001802</v>
      </c>
      <c r="S47" s="99">
        <f xml:space="preserve"> ROUND(S46 + (R46/Stats!$B$27)*(Stats!$B$21*S46)-(S46*Stats!$B$22),0)</f>
        <v>21453</v>
      </c>
      <c r="T47" s="101">
        <f t="shared" si="6"/>
        <v>53.167389176338972</v>
      </c>
      <c r="U47" s="99">
        <f xml:space="preserve"> ROUND(U46 + (S46 * Stats!$B$22),0)</f>
        <v>16391</v>
      </c>
      <c r="V47" s="99">
        <f>ROUND(S47*(Stats!$I$14/100),0)</f>
        <v>519</v>
      </c>
      <c r="W47" s="105">
        <f t="shared" si="2"/>
        <v>30.635838150289018</v>
      </c>
      <c r="X47" s="118">
        <v>45</v>
      </c>
      <c r="Y47" s="113">
        <f>GROWTH($Y$25:Y46,$X$25:X46,X47:$X$78,1)</f>
        <v>46088.727840937732</v>
      </c>
      <c r="Z47" s="7">
        <f t="shared" si="10"/>
        <v>78.200743499203554</v>
      </c>
      <c r="AA47" s="14">
        <f>GROWTH($AA$25:AA46,$X$25:X46,X47:$X$78,1)</f>
        <v>16146.999803635403</v>
      </c>
      <c r="AB47" s="7">
        <f>IFERROR(ABS((($B47/AA47)-1)*100),"")</f>
        <v>37.777914645555533</v>
      </c>
      <c r="AC47" s="13">
        <f t="shared" ref="AC47:AC56" si="11">B47</f>
        <v>10047</v>
      </c>
      <c r="AE47" s="125" t="s">
        <v>371</v>
      </c>
    </row>
    <row r="48" spans="1:31" x14ac:dyDescent="0.25">
      <c r="A48" s="4">
        <v>43936</v>
      </c>
      <c r="B48" s="121">
        <v>10496</v>
      </c>
      <c r="C48" s="6">
        <f t="shared" si="3"/>
        <v>449</v>
      </c>
      <c r="D48" s="19">
        <f t="shared" si="7"/>
        <v>4.47</v>
      </c>
      <c r="E48" s="35">
        <f t="shared" si="4"/>
        <v>428</v>
      </c>
      <c r="F48" s="25">
        <f>ROUND((B48/Stats!$B$8)*100000,0)</f>
        <v>105</v>
      </c>
      <c r="G48" s="22">
        <f>ROUND((C48/Stats!$B$8)*100000,0)</f>
        <v>4</v>
      </c>
      <c r="H48" s="213">
        <v>402</v>
      </c>
      <c r="I48" s="6">
        <f t="shared" si="9"/>
        <v>42</v>
      </c>
      <c r="J48" s="35">
        <f t="shared" si="8"/>
        <v>11.67</v>
      </c>
      <c r="K48" s="29">
        <f t="shared" si="0"/>
        <v>3.83</v>
      </c>
      <c r="L48" s="42">
        <f>ROUND(((H48/Stats!$B$8)*100000),0)</f>
        <v>4</v>
      </c>
      <c r="M48" s="96">
        <f>Stats!$B$8-N48</f>
        <v>10003383</v>
      </c>
      <c r="N48" s="97">
        <f>ROUND(Stats!$B$33/(1+(Stats!$B$34*EXP(-1*Stats!$B$32*(X48-$X$25)))),0)</f>
        <v>35724</v>
      </c>
      <c r="O48" s="101">
        <f t="shared" si="5"/>
        <v>70.61919157989027</v>
      </c>
      <c r="P48" s="97">
        <f>ROUND(N48*(Stats!$I$14/100),0)</f>
        <v>865</v>
      </c>
      <c r="Q48" s="101">
        <f t="shared" si="1"/>
        <v>53.52601156069364</v>
      </c>
      <c r="R48" s="109">
        <f xml:space="preserve"> ROUND(R47 - ((R47 / Stats!$B$27)*(Stats!$B$21*S47)),0)</f>
        <v>9994840</v>
      </c>
      <c r="S48" s="99">
        <f xml:space="preserve"> ROUND(S47 + (R47/Stats!$B$27)*(Stats!$B$21*S47)-(S47*Stats!$B$22),0)</f>
        <v>25350</v>
      </c>
      <c r="T48" s="101">
        <f t="shared" si="6"/>
        <v>58.595660749506905</v>
      </c>
      <c r="U48" s="99">
        <f xml:space="preserve"> ROUND(U47 + (S47 * Stats!$B$22),0)</f>
        <v>19456</v>
      </c>
      <c r="V48" s="99">
        <f>ROUND(S48*(Stats!$I$14/100),0)</f>
        <v>613</v>
      </c>
      <c r="W48" s="105">
        <f t="shared" si="2"/>
        <v>34.42088091353996</v>
      </c>
      <c r="X48" s="118">
        <v>46</v>
      </c>
      <c r="Y48" s="113">
        <f>GROWTH($Y$25:Y47,$X$25:X47,X48:$X$78,1)</f>
        <v>56156.268633674874</v>
      </c>
      <c r="Z48" s="7">
        <f t="shared" si="10"/>
        <v>81.309299468473</v>
      </c>
      <c r="AA48" s="14">
        <f>GROWTH($AA$25:AA47,$X$25:X47,X48:$X$78,1)</f>
        <v>18488.027088053983</v>
      </c>
      <c r="AB48" s="7">
        <f t="shared" ref="AB48:AB95" si="12">IFERROR(ABS((($B48/AA48)-1)*100),"")</f>
        <v>43.228122990029703</v>
      </c>
      <c r="AC48" s="13">
        <f t="shared" si="11"/>
        <v>10496</v>
      </c>
      <c r="AE48" s="124"/>
    </row>
    <row r="49" spans="1:31" x14ac:dyDescent="0.25">
      <c r="A49" s="4">
        <v>43937</v>
      </c>
      <c r="B49" s="121">
        <v>10854</v>
      </c>
      <c r="C49" s="6">
        <f t="shared" si="3"/>
        <v>358</v>
      </c>
      <c r="D49" s="19">
        <f t="shared" si="7"/>
        <v>3.41</v>
      </c>
      <c r="E49" s="35">
        <f t="shared" si="4"/>
        <v>330</v>
      </c>
      <c r="F49" s="25">
        <f>ROUND((B49/Stats!$B$8)*100000,0)</f>
        <v>108</v>
      </c>
      <c r="G49" s="22">
        <f>ROUND((C49/Stats!$B$8)*100000,0)</f>
        <v>4</v>
      </c>
      <c r="H49" s="213">
        <v>455</v>
      </c>
      <c r="I49" s="6">
        <f t="shared" si="9"/>
        <v>53</v>
      </c>
      <c r="J49" s="35">
        <f t="shared" si="8"/>
        <v>13.18</v>
      </c>
      <c r="K49" s="29">
        <f t="shared" si="0"/>
        <v>4.1900000000000004</v>
      </c>
      <c r="L49" s="42">
        <f>ROUND(((H49/Stats!$B$8)*100000),0)</f>
        <v>5</v>
      </c>
      <c r="M49" s="96">
        <f>Stats!$B$8-N49</f>
        <v>9996270</v>
      </c>
      <c r="N49" s="97">
        <f>ROUND(Stats!$B$33/(1+(Stats!$B$34*EXP(-1*Stats!$B$32*(X49-$X$25)))),0)</f>
        <v>42837</v>
      </c>
      <c r="O49" s="101">
        <f t="shared" si="5"/>
        <v>74.662091182855931</v>
      </c>
      <c r="P49" s="97">
        <f>ROUND(N49*(Stats!$I$14/100),0)</f>
        <v>1037</v>
      </c>
      <c r="Q49" s="101">
        <f t="shared" si="1"/>
        <v>56.123432979749275</v>
      </c>
      <c r="R49" s="109">
        <f xml:space="preserve"> ROUND(R48 - ((R48 / Stats!$B$27)*(Stats!$B$21*S48)),0)</f>
        <v>9986620</v>
      </c>
      <c r="S49" s="99">
        <f xml:space="preserve"> ROUND(S48 + (R48/Stats!$B$27)*(Stats!$B$21*S48)-(S48*Stats!$B$22),0)</f>
        <v>29949</v>
      </c>
      <c r="T49" s="101">
        <f t="shared" si="6"/>
        <v>63.758389261744973</v>
      </c>
      <c r="U49" s="99">
        <f xml:space="preserve"> ROUND(U48 + (S48 * Stats!$B$22),0)</f>
        <v>23077</v>
      </c>
      <c r="V49" s="99">
        <f>ROUND(S49*(Stats!$I$14/100),0)</f>
        <v>725</v>
      </c>
      <c r="W49" s="105">
        <f t="shared" si="2"/>
        <v>37.241379310344826</v>
      </c>
      <c r="X49" s="118">
        <v>47</v>
      </c>
      <c r="Y49" s="113">
        <f>GROWTH($Y$25:Y48,$X$25:X48,X49:$X$78,1)</f>
        <v>68422.945361845501</v>
      </c>
      <c r="Z49" s="7">
        <f t="shared" si="10"/>
        <v>84.136900359082631</v>
      </c>
      <c r="AA49" s="14">
        <f>GROWTH($AA$25:AA48,$X$25:X48,X49:$X$78,1)</f>
        <v>21168.461619208188</v>
      </c>
      <c r="AB49" s="7">
        <f t="shared" si="12"/>
        <v>48.725607957495043</v>
      </c>
      <c r="AC49" s="13">
        <f t="shared" si="11"/>
        <v>10854</v>
      </c>
      <c r="AE49" s="124"/>
    </row>
    <row r="50" spans="1:31" x14ac:dyDescent="0.25">
      <c r="A50" s="4">
        <v>43938</v>
      </c>
      <c r="B50" s="121">
        <v>11391</v>
      </c>
      <c r="C50" s="6">
        <f t="shared" si="3"/>
        <v>537</v>
      </c>
      <c r="D50" s="19">
        <f t="shared" si="7"/>
        <v>4.95</v>
      </c>
      <c r="E50" s="35">
        <f t="shared" si="4"/>
        <v>471</v>
      </c>
      <c r="F50" s="25">
        <f>ROUND((B50/Stats!$B$8)*100000,0)</f>
        <v>113</v>
      </c>
      <c r="G50" s="22">
        <f>ROUND((C50/Stats!$B$8)*100000,0)</f>
        <v>5</v>
      </c>
      <c r="H50" s="213">
        <v>495</v>
      </c>
      <c r="I50" s="6">
        <f t="shared" si="9"/>
        <v>40</v>
      </c>
      <c r="J50" s="35">
        <f t="shared" si="8"/>
        <v>8.7899999999999991</v>
      </c>
      <c r="K50" s="29">
        <f t="shared" si="0"/>
        <v>4.3499999999999996</v>
      </c>
      <c r="L50" s="42">
        <f>ROUND(((H50/Stats!$B$8)*100000),0)</f>
        <v>5</v>
      </c>
      <c r="M50" s="96">
        <f>Stats!$B$8-N50</f>
        <v>9987753</v>
      </c>
      <c r="N50" s="97">
        <f>ROUND(Stats!$B$33/(1+(Stats!$B$34*EXP(-1*Stats!$B$32*(X50-$X$25)))),0)</f>
        <v>51354</v>
      </c>
      <c r="O50" s="101">
        <f t="shared" si="5"/>
        <v>77.818670405421202</v>
      </c>
      <c r="P50" s="97">
        <f>ROUND(N50*(Stats!$I$14/100),0)</f>
        <v>1243</v>
      </c>
      <c r="Q50" s="101">
        <f t="shared" si="1"/>
        <v>60.176991150442483</v>
      </c>
      <c r="R50" s="109">
        <f xml:space="preserve"> ROUND(R49 - ((R49 / Stats!$B$27)*(Stats!$B$21*S49)),0)</f>
        <v>9976916</v>
      </c>
      <c r="S50" s="99">
        <f xml:space="preserve"> ROUND(S49 + (R49/Stats!$B$27)*(Stats!$B$21*S49)-(S49*Stats!$B$22),0)</f>
        <v>35374</v>
      </c>
      <c r="T50" s="101">
        <f t="shared" si="6"/>
        <v>67.79838299315881</v>
      </c>
      <c r="U50" s="99">
        <f xml:space="preserve"> ROUND(U49 + (S49 * Stats!$B$22),0)</f>
        <v>27355</v>
      </c>
      <c r="V50" s="99">
        <f>ROUND(S50*(Stats!$I$14/100),0)</f>
        <v>856</v>
      </c>
      <c r="W50" s="105">
        <f t="shared" si="2"/>
        <v>42.17289719626168</v>
      </c>
      <c r="X50" s="118">
        <v>48</v>
      </c>
      <c r="Y50" s="113">
        <f>GROWTH($Y$25:Y49,$X$25:X49,X50:$X$78,1)</f>
        <v>83369.133418217389</v>
      </c>
      <c r="Z50" s="7">
        <f t="shared" si="10"/>
        <v>86.336669780579854</v>
      </c>
      <c r="AA50" s="14">
        <f>GROWTH($AA$25:AA49,$X$25:X49,X50:$X$78,1)</f>
        <v>24237.511400739535</v>
      </c>
      <c r="AB50" s="7">
        <f t="shared" si="12"/>
        <v>53.002600755239101</v>
      </c>
      <c r="AC50" s="13">
        <f t="shared" si="11"/>
        <v>11391</v>
      </c>
      <c r="AE50" s="124"/>
    </row>
    <row r="51" spans="1:31" x14ac:dyDescent="0.25">
      <c r="A51" s="4">
        <v>43939</v>
      </c>
      <c r="B51" s="121">
        <v>12021</v>
      </c>
      <c r="C51" s="6">
        <f t="shared" si="3"/>
        <v>630</v>
      </c>
      <c r="D51" s="19">
        <f t="shared" si="7"/>
        <v>5.53</v>
      </c>
      <c r="E51" s="35">
        <f t="shared" si="4"/>
        <v>524</v>
      </c>
      <c r="F51" s="25">
        <f>ROUND((B51/Stats!$B$8)*100000,0)</f>
        <v>120</v>
      </c>
      <c r="G51" s="22">
        <f>ROUND((C51/Stats!$B$8)*100000,0)</f>
        <v>6</v>
      </c>
      <c r="H51" s="213">
        <v>576</v>
      </c>
      <c r="I51" s="6">
        <f t="shared" si="9"/>
        <v>81</v>
      </c>
      <c r="J51" s="35">
        <f t="shared" si="8"/>
        <v>16.36</v>
      </c>
      <c r="K51" s="29">
        <f t="shared" si="0"/>
        <v>4.79</v>
      </c>
      <c r="L51" s="42">
        <f>ROUND(((H51/Stats!$B$8)*100000),0)</f>
        <v>6</v>
      </c>
      <c r="M51" s="96">
        <f>Stats!$B$8-N51</f>
        <v>9977562</v>
      </c>
      <c r="N51" s="97">
        <f>ROUND(Stats!$B$33/(1+(Stats!$B$34*EXP(-1*Stats!$B$32*(X51-$X$25)))),0)</f>
        <v>61545</v>
      </c>
      <c r="O51" s="101">
        <f t="shared" si="5"/>
        <v>80.467950280282722</v>
      </c>
      <c r="P51" s="97">
        <f>ROUND(N51*(Stats!$I$14/100),0)</f>
        <v>1489</v>
      </c>
      <c r="Q51" s="101">
        <f t="shared" si="1"/>
        <v>61.316319677636002</v>
      </c>
      <c r="R51" s="109">
        <f xml:space="preserve"> ROUND(R50 - ((R50 / Stats!$B$27)*(Stats!$B$21*S50)),0)</f>
        <v>9965466</v>
      </c>
      <c r="S51" s="99">
        <f xml:space="preserve"> ROUND(S50 + (R50/Stats!$B$27)*(Stats!$B$21*S50)-(S50*Stats!$B$22),0)</f>
        <v>41771</v>
      </c>
      <c r="T51" s="101">
        <f t="shared" si="6"/>
        <v>71.22166096095377</v>
      </c>
      <c r="U51" s="99">
        <f xml:space="preserve"> ROUND(U50 + (S50 * Stats!$B$22),0)</f>
        <v>32408</v>
      </c>
      <c r="V51" s="99">
        <f>ROUND(S51*(Stats!$I$14/100),0)</f>
        <v>1011</v>
      </c>
      <c r="W51" s="105">
        <f t="shared" si="2"/>
        <v>43.026706231454007</v>
      </c>
      <c r="X51" s="118">
        <v>49</v>
      </c>
      <c r="Y51" s="113">
        <f>GROWTH($Y$25:Y50,$X$25:X50,X51:$X$78,1)</f>
        <v>101580.14055297093</v>
      </c>
      <c r="Z51" s="7">
        <f t="shared" si="10"/>
        <v>88.165993928969399</v>
      </c>
      <c r="AA51" s="14">
        <f>GROWTH($AA$25:AA50,$X$25:X50,X51:$X$78,1)</f>
        <v>27751.518720090738</v>
      </c>
      <c r="AB51" s="7">
        <f t="shared" si="12"/>
        <v>56.683451737373261</v>
      </c>
      <c r="AC51" s="13">
        <f t="shared" si="11"/>
        <v>12021</v>
      </c>
      <c r="AE51" s="124"/>
    </row>
    <row r="52" spans="1:31" x14ac:dyDescent="0.25">
      <c r="A52" s="4">
        <v>43940</v>
      </c>
      <c r="B52" s="121">
        <v>12341</v>
      </c>
      <c r="C52" s="6">
        <f t="shared" si="3"/>
        <v>320</v>
      </c>
      <c r="D52" s="19">
        <f t="shared" si="7"/>
        <v>2.66</v>
      </c>
      <c r="E52" s="35">
        <f t="shared" si="4"/>
        <v>259</v>
      </c>
      <c r="F52" s="25">
        <f>ROUND((B52/Stats!$B$8)*100000,0)</f>
        <v>123</v>
      </c>
      <c r="G52" s="22">
        <f>ROUND((C52/Stats!$B$8)*100000,0)</f>
        <v>3</v>
      </c>
      <c r="H52" s="213">
        <v>600</v>
      </c>
      <c r="I52" s="6">
        <f t="shared" si="9"/>
        <v>24</v>
      </c>
      <c r="J52" s="35">
        <f t="shared" si="8"/>
        <v>4.17</v>
      </c>
      <c r="K52" s="29">
        <f t="shared" si="0"/>
        <v>4.8600000000000003</v>
      </c>
      <c r="L52" s="42">
        <f>ROUND(((H52/Stats!$B$8)*100000),0)</f>
        <v>6</v>
      </c>
      <c r="M52" s="96">
        <f>Stats!$B$8-N52</f>
        <v>9965375</v>
      </c>
      <c r="N52" s="97">
        <f>ROUND(Stats!$B$33/(1+(Stats!$B$34*EXP(-1*Stats!$B$32*(X52-$X$25)))),0)</f>
        <v>73732</v>
      </c>
      <c r="O52" s="101">
        <f t="shared" si="5"/>
        <v>83.2623555579667</v>
      </c>
      <c r="P52" s="97">
        <f>ROUND(N52*(Stats!$I$14/100),0)</f>
        <v>1784</v>
      </c>
      <c r="Q52" s="101">
        <f t="shared" si="1"/>
        <v>66.367713004484301</v>
      </c>
      <c r="R52" s="109">
        <f xml:space="preserve"> ROUND(R51 - ((R51 / Stats!$B$27)*(Stats!$B$21*S51)),0)</f>
        <v>9951960</v>
      </c>
      <c r="S52" s="99">
        <f xml:space="preserve"> ROUND(S51 + (R51/Stats!$B$27)*(Stats!$B$21*S51)-(S51*Stats!$B$22),0)</f>
        <v>49309</v>
      </c>
      <c r="T52" s="101">
        <f t="shared" si="6"/>
        <v>74.972114624105131</v>
      </c>
      <c r="U52" s="99">
        <f xml:space="preserve"> ROUND(U51 + (S51 * Stats!$B$22),0)</f>
        <v>38375</v>
      </c>
      <c r="V52" s="99">
        <f>ROUND(S52*(Stats!$I$14/100),0)</f>
        <v>1193</v>
      </c>
      <c r="W52" s="105">
        <f t="shared" si="2"/>
        <v>49.706621961441741</v>
      </c>
      <c r="X52" s="118">
        <v>50</v>
      </c>
      <c r="Y52" s="113">
        <f>GROWTH($Y$25:Y51,$X$25:X51,X52:$X$78,1)</f>
        <v>123769.12811362626</v>
      </c>
      <c r="Z52" s="7">
        <f t="shared" si="10"/>
        <v>90.029015968610253</v>
      </c>
      <c r="AA52" s="14">
        <f>GROWTH($AA$25:AA51,$X$25:X51,X52:$X$78,1)</f>
        <v>31774.994492547205</v>
      </c>
      <c r="AB52" s="7">
        <f t="shared" si="12"/>
        <v>61.161283590797886</v>
      </c>
      <c r="AC52" s="13">
        <f t="shared" si="11"/>
        <v>12341</v>
      </c>
      <c r="AE52" s="124"/>
    </row>
    <row r="53" spans="1:31" x14ac:dyDescent="0.25">
      <c r="A53" s="4">
        <v>43941</v>
      </c>
      <c r="B53" s="121">
        <v>13816</v>
      </c>
      <c r="C53" s="6">
        <f t="shared" si="3"/>
        <v>1475</v>
      </c>
      <c r="D53" s="19">
        <f t="shared" si="7"/>
        <v>11.95</v>
      </c>
      <c r="E53" s="35">
        <f t="shared" si="4"/>
        <v>1068</v>
      </c>
      <c r="F53" s="25">
        <f>ROUND((B53/Stats!$B$8)*100000,0)</f>
        <v>138</v>
      </c>
      <c r="G53" s="22">
        <f>ROUND((C53/Stats!$B$8)*100000,0)</f>
        <v>15</v>
      </c>
      <c r="H53" s="213">
        <v>617</v>
      </c>
      <c r="I53" s="6">
        <f t="shared" si="9"/>
        <v>17</v>
      </c>
      <c r="J53" s="35">
        <f t="shared" si="8"/>
        <v>2.83</v>
      </c>
      <c r="K53" s="29">
        <f t="shared" si="0"/>
        <v>4.47</v>
      </c>
      <c r="L53" s="42">
        <f>ROUND(((H53/Stats!$B$8)*100000),0)</f>
        <v>6</v>
      </c>
      <c r="M53" s="96">
        <f>Stats!$B$8-N53</f>
        <v>9950813</v>
      </c>
      <c r="N53" s="97">
        <f>ROUND(Stats!$B$33/(1+(Stats!$B$34*EXP(-1*Stats!$B$32*(X53-$X$25)))),0)</f>
        <v>88294</v>
      </c>
      <c r="O53" s="101">
        <f t="shared" si="5"/>
        <v>84.35227761795818</v>
      </c>
      <c r="P53" s="97">
        <f>ROUND(N53*(Stats!$I$14/100),0)</f>
        <v>2137</v>
      </c>
      <c r="Q53" s="101">
        <f t="shared" si="1"/>
        <v>71.127749181094984</v>
      </c>
      <c r="R53" s="109">
        <f xml:space="preserve"> ROUND(R52 - ((R52 / Stats!$B$27)*(Stats!$B$21*S52)),0)</f>
        <v>9936039</v>
      </c>
      <c r="S53" s="99">
        <f xml:space="preserve"> ROUND(S52 + (R52/Stats!$B$27)*(Stats!$B$21*S52)-(S52*Stats!$B$22),0)</f>
        <v>58186</v>
      </c>
      <c r="T53" s="101">
        <f t="shared" si="6"/>
        <v>76.25545663905406</v>
      </c>
      <c r="U53" s="99">
        <f xml:space="preserve"> ROUND(U52 + (S52 * Stats!$B$22),0)</f>
        <v>45419</v>
      </c>
      <c r="V53" s="99">
        <f>ROUND(S53*(Stats!$I$14/100),0)</f>
        <v>1408</v>
      </c>
      <c r="W53" s="105">
        <f t="shared" si="2"/>
        <v>56.178977272727273</v>
      </c>
      <c r="X53" s="118">
        <v>51</v>
      </c>
      <c r="Y53" s="113">
        <f>GROWTH($Y$25:Y52,$X$25:X52,X53:$X$78,1)</f>
        <v>150805.03916037528</v>
      </c>
      <c r="Z53" s="7">
        <f t="shared" si="10"/>
        <v>90.83850242875026</v>
      </c>
      <c r="AA53" s="14">
        <f>GROWTH($AA$25:AA52,$X$25:X52,X53:$X$78,1)</f>
        <v>36381.802566735394</v>
      </c>
      <c r="AB53" s="7">
        <f t="shared" si="12"/>
        <v>62.024971207357815</v>
      </c>
      <c r="AC53" s="13">
        <f t="shared" si="11"/>
        <v>13816</v>
      </c>
      <c r="AE53" s="124" t="s">
        <v>28</v>
      </c>
    </row>
    <row r="54" spans="1:31" ht="30" x14ac:dyDescent="0.25">
      <c r="A54" s="4">
        <v>43942</v>
      </c>
      <c r="B54" s="121">
        <v>15140</v>
      </c>
      <c r="C54" s="6">
        <f t="shared" si="3"/>
        <v>1324</v>
      </c>
      <c r="D54" s="19">
        <f t="shared" si="7"/>
        <v>9.58</v>
      </c>
      <c r="E54" s="35">
        <f t="shared" si="4"/>
        <v>875</v>
      </c>
      <c r="F54" s="25">
        <f>ROUND((B54/Stats!$B$8)*100000,0)</f>
        <v>151</v>
      </c>
      <c r="G54" s="22">
        <f>ROUND((C54/Stats!$B$8)*100000,0)</f>
        <v>13</v>
      </c>
      <c r="H54" s="213">
        <v>663</v>
      </c>
      <c r="I54" s="6">
        <f t="shared" si="9"/>
        <v>46</v>
      </c>
      <c r="J54" s="35">
        <f t="shared" si="8"/>
        <v>7.46</v>
      </c>
      <c r="K54" s="29">
        <f t="shared" si="0"/>
        <v>4.38</v>
      </c>
      <c r="L54" s="42">
        <f>ROUND(((H54/Stats!$B$8)*100000),0)</f>
        <v>7</v>
      </c>
      <c r="M54" s="96">
        <f>Stats!$B$8-N54</f>
        <v>9933429</v>
      </c>
      <c r="N54" s="97">
        <f>ROUND(Stats!$B$33/(1+(Stats!$B$34*EXP(-1*Stats!$B$32*(X54-$X$25)))),0)</f>
        <v>105678</v>
      </c>
      <c r="O54" s="101">
        <f t="shared" si="5"/>
        <v>85.673460890630025</v>
      </c>
      <c r="P54" s="97">
        <f>ROUND(N54*(Stats!$I$14/100),0)</f>
        <v>2557</v>
      </c>
      <c r="Q54" s="101">
        <f t="shared" si="1"/>
        <v>74.071177160735232</v>
      </c>
      <c r="R54" s="109">
        <f xml:space="preserve"> ROUND(R53 - ((R53 / Stats!$B$27)*(Stats!$B$21*S53)),0)</f>
        <v>9917282</v>
      </c>
      <c r="S54" s="99">
        <f xml:space="preserve"> ROUND(S53 + (R53/Stats!$B$27)*(Stats!$B$21*S53)-(S53*Stats!$B$22),0)</f>
        <v>68631</v>
      </c>
      <c r="T54" s="101">
        <f t="shared" si="6"/>
        <v>77.939997960105487</v>
      </c>
      <c r="U54" s="99">
        <f xml:space="preserve"> ROUND(U53 + (S53 * Stats!$B$22),0)</f>
        <v>53731</v>
      </c>
      <c r="V54" s="99">
        <f>ROUND(S54*(Stats!$I$14/100),0)</f>
        <v>1661</v>
      </c>
      <c r="W54" s="105">
        <f t="shared" si="2"/>
        <v>60.084286574352809</v>
      </c>
      <c r="X54" s="118">
        <v>52</v>
      </c>
      <c r="Y54" s="113">
        <f>GROWTH($Y$25:Y53,$X$25:X53,X54:$X$78,1)</f>
        <v>183746.62714989763</v>
      </c>
      <c r="Z54" s="7">
        <f t="shared" si="10"/>
        <v>91.760392974370603</v>
      </c>
      <c r="AA54" s="14">
        <f>GROWTH($AA$25:AA53,$X$25:X53,X54:$X$78,1)</f>
        <v>41656.515733319044</v>
      </c>
      <c r="AB54" s="7">
        <f t="shared" si="12"/>
        <v>63.655145579325925</v>
      </c>
      <c r="AC54" s="13">
        <f t="shared" si="11"/>
        <v>15140</v>
      </c>
      <c r="AE54" s="125" t="s">
        <v>29</v>
      </c>
    </row>
    <row r="55" spans="1:31" x14ac:dyDescent="0.25">
      <c r="A55" s="4">
        <v>43943</v>
      </c>
      <c r="B55" s="121">
        <v>16435</v>
      </c>
      <c r="C55" s="6">
        <f t="shared" si="3"/>
        <v>1295</v>
      </c>
      <c r="D55" s="19">
        <f t="shared" si="7"/>
        <v>8.5500000000000007</v>
      </c>
      <c r="E55" s="35">
        <f t="shared" si="4"/>
        <v>788</v>
      </c>
      <c r="F55" s="25">
        <f>ROUND((B55/Stats!$B$8)*100000,0)</f>
        <v>164</v>
      </c>
      <c r="G55" s="22">
        <f>ROUND((C55/Stats!$B$8)*100000,0)</f>
        <v>13</v>
      </c>
      <c r="H55" s="213">
        <v>729</v>
      </c>
      <c r="I55" s="6">
        <f t="shared" si="9"/>
        <v>66</v>
      </c>
      <c r="J55" s="35">
        <f t="shared" si="8"/>
        <v>9.9499999999999993</v>
      </c>
      <c r="K55" s="29">
        <f t="shared" si="0"/>
        <v>4.4400000000000004</v>
      </c>
      <c r="L55" s="42">
        <f>ROUND(((H55/Stats!$B$8)*100000),0)</f>
        <v>7</v>
      </c>
      <c r="M55" s="96">
        <f>Stats!$B$8-N55</f>
        <v>9912701</v>
      </c>
      <c r="N55" s="97">
        <f>ROUND(Stats!$B$33/(1+(Stats!$B$34*EXP(-1*Stats!$B$32*(X55-$X$25)))),0)</f>
        <v>126406</v>
      </c>
      <c r="O55" s="101">
        <f t="shared" si="5"/>
        <v>86.998243754252172</v>
      </c>
      <c r="P55" s="97">
        <f>ROUND(N55*(Stats!$I$14/100),0)</f>
        <v>3059</v>
      </c>
      <c r="Q55" s="101">
        <f t="shared" si="1"/>
        <v>76.168682576005224</v>
      </c>
      <c r="R55" s="109">
        <f xml:space="preserve"> ROUND(R54 - ((R54 / Stats!$B$27)*(Stats!$B$21*S54)),0)</f>
        <v>9895199</v>
      </c>
      <c r="S55" s="99">
        <f xml:space="preserve"> ROUND(S54 + (R54/Stats!$B$27)*(Stats!$B$21*S54)-(S54*Stats!$B$22),0)</f>
        <v>80909</v>
      </c>
      <c r="T55" s="101">
        <f t="shared" si="6"/>
        <v>79.687055828152623</v>
      </c>
      <c r="U55" s="99">
        <f xml:space="preserve"> ROUND(U54 + (S54 * Stats!$B$22),0)</f>
        <v>63535</v>
      </c>
      <c r="V55" s="99">
        <f>ROUND(S55*(Stats!$I$14/100),0)</f>
        <v>1958</v>
      </c>
      <c r="W55" s="105">
        <f t="shared" si="2"/>
        <v>62.768130745658837</v>
      </c>
      <c r="X55" s="118">
        <v>53</v>
      </c>
      <c r="Y55" s="113">
        <f>GROWTH($Y$25:Y54,$X$25:X54,X55:$X$78,1)</f>
        <v>223883.91778512057</v>
      </c>
      <c r="Z55" s="7">
        <f t="shared" si="10"/>
        <v>92.659142218614392</v>
      </c>
      <c r="AA55" s="14">
        <f>GROWTH($AA$25:AA54,$X$25:X54,X55:$X$78,1)</f>
        <v>47695.968330795178</v>
      </c>
      <c r="AB55" s="7">
        <f t="shared" si="12"/>
        <v>65.542160951602597</v>
      </c>
      <c r="AC55" s="13">
        <f t="shared" si="11"/>
        <v>16435</v>
      </c>
      <c r="AE55" s="124"/>
    </row>
    <row r="56" spans="1:31" ht="60" x14ac:dyDescent="0.25">
      <c r="A56" s="4">
        <v>43944</v>
      </c>
      <c r="B56" s="121">
        <v>18517</v>
      </c>
      <c r="C56" s="6">
        <f t="shared" si="3"/>
        <v>2082</v>
      </c>
      <c r="D56" s="19">
        <f t="shared" si="7"/>
        <v>12.67</v>
      </c>
      <c r="E56" s="35">
        <f t="shared" si="4"/>
        <v>1124</v>
      </c>
      <c r="F56" s="25">
        <f>ROUND((B56/Stats!$B$8)*100000,0)</f>
        <v>184</v>
      </c>
      <c r="G56" s="22">
        <f>ROUND((C56/Stats!$B$8)*100000,0)</f>
        <v>21</v>
      </c>
      <c r="H56" s="213">
        <v>848</v>
      </c>
      <c r="I56" s="6">
        <f t="shared" si="9"/>
        <v>119</v>
      </c>
      <c r="J56" s="35">
        <f t="shared" si="8"/>
        <v>16.32</v>
      </c>
      <c r="K56" s="29">
        <f t="shared" si="0"/>
        <v>4.58</v>
      </c>
      <c r="L56" s="42">
        <f>ROUND(((H56/Stats!$B$8)*100000),0)</f>
        <v>8</v>
      </c>
      <c r="M56" s="96">
        <f>Stats!$B$8-N56</f>
        <v>9888019</v>
      </c>
      <c r="N56" s="97">
        <f>ROUND(Stats!$B$33/(1+(Stats!$B$34*EXP(-1*Stats!$B$32*(X56-$X$25)))),0)</f>
        <v>151088</v>
      </c>
      <c r="O56" s="101">
        <f t="shared" si="5"/>
        <v>87.744228529069161</v>
      </c>
      <c r="P56" s="97">
        <f>ROUND(N56*(Stats!$I$14/100),0)</f>
        <v>3656</v>
      </c>
      <c r="Q56" s="101">
        <f t="shared" si="1"/>
        <v>76.805251641137858</v>
      </c>
      <c r="R56" s="109">
        <f xml:space="preserve"> ROUND(R55 - ((R55 / Stats!$B$27)*(Stats!$B$21*S55)),0)</f>
        <v>9869224</v>
      </c>
      <c r="S56" s="99">
        <f xml:space="preserve"> ROUND(S55 + (R55/Stats!$B$27)*(Stats!$B$21*S55)-(S55*Stats!$B$22),0)</f>
        <v>95326</v>
      </c>
      <c r="T56" s="101">
        <f t="shared" si="6"/>
        <v>80.575079201896642</v>
      </c>
      <c r="U56" s="99">
        <f xml:space="preserve"> ROUND(U55 + (S55 * Stats!$B$22),0)</f>
        <v>75093</v>
      </c>
      <c r="V56" s="99">
        <f>ROUND(S56*(Stats!$I$14/100),0)</f>
        <v>2307</v>
      </c>
      <c r="W56" s="105">
        <f t="shared" si="2"/>
        <v>63.24230602514087</v>
      </c>
      <c r="X56" s="118">
        <v>54</v>
      </c>
      <c r="Y56" s="113">
        <f>GROWTH($Y$25:Y55,$X$25:X55,X56:$X$78,1)</f>
        <v>272788.72771865566</v>
      </c>
      <c r="Z56" s="7">
        <f t="shared" si="10"/>
        <v>93.211962915455302</v>
      </c>
      <c r="AA56" s="14">
        <f>GROWTH($AA$25:AA55,$X$25:X55,X56:$X$78,1)</f>
        <v>54611.033951469675</v>
      </c>
      <c r="AB56" s="7">
        <f t="shared" si="12"/>
        <v>66.092932764365514</v>
      </c>
      <c r="AC56" s="13">
        <f t="shared" si="11"/>
        <v>18517</v>
      </c>
      <c r="AE56" s="125" t="s">
        <v>30</v>
      </c>
    </row>
    <row r="57" spans="1:31" x14ac:dyDescent="0.25">
      <c r="A57" s="4">
        <v>43945</v>
      </c>
      <c r="B57" s="121">
        <v>19107</v>
      </c>
      <c r="C57" s="6">
        <f t="shared" si="3"/>
        <v>590</v>
      </c>
      <c r="D57" s="19">
        <f t="shared" si="7"/>
        <v>3.19</v>
      </c>
      <c r="E57" s="35">
        <f t="shared" si="4"/>
        <v>309</v>
      </c>
      <c r="F57" s="25">
        <f>ROUND((B57/Stats!$B$8)*100000,0)</f>
        <v>190</v>
      </c>
      <c r="G57" s="22">
        <f>ROUND((C57/Stats!$B$8)*100000,0)</f>
        <v>6</v>
      </c>
      <c r="H57" s="213">
        <v>895</v>
      </c>
      <c r="I57" s="6">
        <f t="shared" si="9"/>
        <v>47</v>
      </c>
      <c r="J57" s="35">
        <f t="shared" si="8"/>
        <v>5.54</v>
      </c>
      <c r="K57" s="29">
        <f t="shared" ref="K57:K88" si="13">IFERROR(ROUND(100*(H57/B57),2),"")</f>
        <v>4.68</v>
      </c>
      <c r="L57" s="42">
        <f>ROUND(((H57/Stats!$B$8)*100000),0)</f>
        <v>9</v>
      </c>
      <c r="M57" s="96">
        <f>Stats!$B$8-N57</f>
        <v>9858675</v>
      </c>
      <c r="N57" s="97">
        <f>ROUND(Stats!$B$33/(1+(Stats!$B$34*EXP(-1*Stats!$B$32*(X57-$X$25)))),0)</f>
        <v>180432</v>
      </c>
      <c r="O57" s="101">
        <f t="shared" si="5"/>
        <v>89.410415003990423</v>
      </c>
      <c r="P57" s="97">
        <f>ROUND(N57*(Stats!$I$14/100),0)</f>
        <v>4366</v>
      </c>
      <c r="Q57" s="101">
        <f t="shared" si="1"/>
        <v>79.500687127805776</v>
      </c>
      <c r="R57" s="109">
        <f xml:space="preserve"> ROUND(R56 - ((R56 / Stats!$B$27)*(Stats!$B$21*S56)),0)</f>
        <v>9838700</v>
      </c>
      <c r="S57" s="99">
        <f xml:space="preserve"> ROUND(S56 + (R56/Stats!$B$27)*(Stats!$B$21*S56)-(S56*Stats!$B$22),0)</f>
        <v>112232</v>
      </c>
      <c r="T57" s="101">
        <f t="shared" si="6"/>
        <v>82.975443723715159</v>
      </c>
      <c r="U57" s="99">
        <f xml:space="preserve"> ROUND(U56 + (S56 * Stats!$B$22),0)</f>
        <v>88711</v>
      </c>
      <c r="V57" s="99">
        <f>ROUND(S57*(Stats!$I$14/100),0)</f>
        <v>2716</v>
      </c>
      <c r="W57" s="105">
        <f t="shared" si="2"/>
        <v>67.047128129602356</v>
      </c>
      <c r="X57" s="118">
        <v>55</v>
      </c>
      <c r="Y57" s="113">
        <f>GROWTH($Y$25:Y56,$X$25:X56,X57:$X$78,1)</f>
        <v>332376.21847310889</v>
      </c>
      <c r="Z57" s="7">
        <f t="shared" si="10"/>
        <v>94.251393770656961</v>
      </c>
      <c r="AA57" s="14">
        <f>GROWTH($AA$25:AA56,$X$25:X56,X57:$X$78,1)</f>
        <v>62528.660883125172</v>
      </c>
      <c r="AB57" s="7">
        <f t="shared" si="12"/>
        <v>69.442812735565113</v>
      </c>
      <c r="AC57" s="14">
        <f>GROWTH($AC$25:AC56,$X$25:X56,X57:$X$78,1)</f>
        <v>26636.875454355661</v>
      </c>
      <c r="AD57" s="7">
        <f>IFERROR(ABS((($B57/AC57)-1)*100),"")</f>
        <v>28.268613814179076</v>
      </c>
      <c r="AE57" s="124"/>
    </row>
    <row r="58" spans="1:31" x14ac:dyDescent="0.25">
      <c r="A58" s="4">
        <v>43946</v>
      </c>
      <c r="B58" s="121">
        <v>19528</v>
      </c>
      <c r="C58" s="6">
        <f t="shared" ref="C58:C89" si="14">B58-B57</f>
        <v>421</v>
      </c>
      <c r="D58" s="19">
        <f t="shared" si="7"/>
        <v>2.2000000000000002</v>
      </c>
      <c r="E58" s="35">
        <f t="shared" ref="E58:E89" si="15">IFERROR(ROUND((C58/B58)*10000,0),"")</f>
        <v>216</v>
      </c>
      <c r="F58" s="25">
        <f>ROUND((B58/Stats!$B$8)*100000,0)</f>
        <v>195</v>
      </c>
      <c r="G58" s="22">
        <f>ROUND((C58/Stats!$B$8)*100000,0)</f>
        <v>4</v>
      </c>
      <c r="H58" s="213">
        <v>913</v>
      </c>
      <c r="I58" s="6">
        <f t="shared" si="9"/>
        <v>18</v>
      </c>
      <c r="J58" s="35">
        <f t="shared" si="8"/>
        <v>2.0099999999999998</v>
      </c>
      <c r="K58" s="29">
        <f t="shared" si="13"/>
        <v>4.68</v>
      </c>
      <c r="L58" s="42">
        <f>ROUND(((H58/Stats!$B$8)*100000),0)</f>
        <v>9</v>
      </c>
      <c r="M58" s="96">
        <f>Stats!$B$8-N58</f>
        <v>9823855</v>
      </c>
      <c r="N58" s="97">
        <f>ROUND(Stats!$B$33/(1+(Stats!$B$34*EXP(-1*Stats!$B$32*(X58-$X$25)))),0)</f>
        <v>215252</v>
      </c>
      <c r="O58" s="101">
        <f t="shared" si="5"/>
        <v>90.927842714585694</v>
      </c>
      <c r="P58" s="97">
        <f>ROUND(N58*(Stats!$I$14/100),0)</f>
        <v>5209</v>
      </c>
      <c r="Q58" s="101">
        <f t="shared" si="1"/>
        <v>82.472643501631794</v>
      </c>
      <c r="R58" s="109">
        <f xml:space="preserve"> ROUND(R57 - ((R57 / Stats!$B$27)*(Stats!$B$21*S57)),0)</f>
        <v>9802874</v>
      </c>
      <c r="S58" s="99">
        <f xml:space="preserve"> ROUND(S57 + (R57/Stats!$B$27)*(Stats!$B$21*S57)-(S57*Stats!$B$22),0)</f>
        <v>132025</v>
      </c>
      <c r="T58" s="101">
        <f t="shared" si="6"/>
        <v>85.208861957962512</v>
      </c>
      <c r="U58" s="99">
        <f xml:space="preserve"> ROUND(U57 + (S57 * Stats!$B$22),0)</f>
        <v>104744</v>
      </c>
      <c r="V58" s="99">
        <f>ROUND(S58*(Stats!$I$14/100),0)</f>
        <v>3195</v>
      </c>
      <c r="W58" s="105">
        <f t="shared" si="2"/>
        <v>71.424100156494518</v>
      </c>
      <c r="X58" s="118">
        <v>56</v>
      </c>
      <c r="Y58" s="113">
        <f>GROWTH($Y$25:Y57,$X$25:X57,X58:$X$78,1)</f>
        <v>404979.89609168429</v>
      </c>
      <c r="Z58" s="7">
        <f t="shared" si="10"/>
        <v>95.178032245931774</v>
      </c>
      <c r="AA58" s="14">
        <f>GROWTH($AA$25:AA57,$X$25:X57,X58:$X$78,1)</f>
        <v>71594.202653466753</v>
      </c>
      <c r="AB58" s="7">
        <f t="shared" si="12"/>
        <v>72.724048489623883</v>
      </c>
      <c r="AC58" s="14">
        <f>GROWTH($AC$25:AC57,$X$25:X57,X58:$X$78,1)</f>
        <v>29424.492675956379</v>
      </c>
      <c r="AD58" s="7">
        <f t="shared" ref="AD58:AD117" si="16">IFERROR(ABS((($B58/AC58)-1)*100),"")</f>
        <v>33.633520159357225</v>
      </c>
      <c r="AE58" s="124"/>
    </row>
    <row r="59" spans="1:31" x14ac:dyDescent="0.25">
      <c r="A59" s="4">
        <v>43947</v>
      </c>
      <c r="B59" s="121">
        <v>20417</v>
      </c>
      <c r="C59" s="6">
        <f t="shared" si="14"/>
        <v>889</v>
      </c>
      <c r="D59" s="19">
        <f t="shared" si="7"/>
        <v>4.55</v>
      </c>
      <c r="E59" s="35">
        <f t="shared" si="15"/>
        <v>435</v>
      </c>
      <c r="F59" s="25">
        <f>ROUND((B59/Stats!$B$8)*100000,0)</f>
        <v>203</v>
      </c>
      <c r="G59" s="22">
        <f>ROUND((C59/Stats!$B$8)*100000,0)</f>
        <v>9</v>
      </c>
      <c r="H59" s="213">
        <v>942</v>
      </c>
      <c r="I59" s="6">
        <f t="shared" si="9"/>
        <v>29</v>
      </c>
      <c r="J59" s="35">
        <f t="shared" si="8"/>
        <v>3.18</v>
      </c>
      <c r="K59" s="29">
        <f t="shared" si="13"/>
        <v>4.6100000000000003</v>
      </c>
      <c r="L59" s="42">
        <f>ROUND(((H59/Stats!$B$8)*100000),0)</f>
        <v>9</v>
      </c>
      <c r="M59" s="96">
        <f>Stats!$B$8-N59</f>
        <v>9782631</v>
      </c>
      <c r="N59" s="97">
        <f>ROUND(Stats!$B$33/(1+(Stats!$B$34*EXP(-1*Stats!$B$32*(X59-$X$25)))),0)</f>
        <v>256476</v>
      </c>
      <c r="O59" s="101">
        <f t="shared" si="5"/>
        <v>92.039411094995245</v>
      </c>
      <c r="P59" s="97">
        <f>ROUND(N59*(Stats!$I$14/100),0)</f>
        <v>6207</v>
      </c>
      <c r="Q59" s="101">
        <f t="shared" si="1"/>
        <v>84.8235862735621</v>
      </c>
      <c r="R59" s="109">
        <f xml:space="preserve"> ROUND(R58 - ((R58 / Stats!$B$27)*(Stats!$B$21*S58)),0)</f>
        <v>9760883</v>
      </c>
      <c r="S59" s="99">
        <f xml:space="preserve"> ROUND(S58 + (R58/Stats!$B$27)*(Stats!$B$21*S58)-(S58*Stats!$B$22),0)</f>
        <v>155155</v>
      </c>
      <c r="T59" s="101">
        <f t="shared" si="6"/>
        <v>86.840901034449431</v>
      </c>
      <c r="U59" s="99">
        <f xml:space="preserve"> ROUND(U58 + (S58 * Stats!$B$22),0)</f>
        <v>123605</v>
      </c>
      <c r="V59" s="99">
        <f>ROUND(S59*(Stats!$I$14/100),0)</f>
        <v>3755</v>
      </c>
      <c r="W59" s="105">
        <f t="shared" si="2"/>
        <v>74.913448735019969</v>
      </c>
      <c r="X59" s="118">
        <v>57</v>
      </c>
      <c r="Y59" s="113">
        <f>GROWTH($Y$25:Y58,$X$25:X58,X59:$X$78,1)</f>
        <v>493442.99358078354</v>
      </c>
      <c r="Z59" s="7">
        <f t="shared" si="10"/>
        <v>95.862338656013875</v>
      </c>
      <c r="AA59" s="14">
        <f>GROWTH($AA$25:AA58,$X$25:X58,X59:$X$78,1)</f>
        <v>81974.086461988496</v>
      </c>
      <c r="AB59" s="7">
        <f t="shared" si="12"/>
        <v>75.093348543179687</v>
      </c>
      <c r="AC59" s="14">
        <f>GROWTH($AC$25:AC58,$X$25:X58,X59:$X$78,1)</f>
        <v>32503.841177657159</v>
      </c>
      <c r="AD59" s="7">
        <f t="shared" si="16"/>
        <v>37.185885543784721</v>
      </c>
      <c r="AE59" s="124"/>
    </row>
    <row r="60" spans="1:31" x14ac:dyDescent="0.25">
      <c r="A60" s="4">
        <v>43948</v>
      </c>
      <c r="B60" s="121">
        <v>20976</v>
      </c>
      <c r="C60" s="6">
        <f t="shared" si="14"/>
        <v>559</v>
      </c>
      <c r="D60" s="19">
        <f t="shared" si="7"/>
        <v>2.74</v>
      </c>
      <c r="E60" s="35">
        <f t="shared" si="15"/>
        <v>266</v>
      </c>
      <c r="F60" s="25">
        <f>ROUND((B60/Stats!$B$8)*100000,0)</f>
        <v>209</v>
      </c>
      <c r="G60" s="22">
        <f>ROUND((C60/Stats!$B$8)*100000,0)</f>
        <v>6</v>
      </c>
      <c r="H60" s="213">
        <v>1000</v>
      </c>
      <c r="I60" s="6">
        <f t="shared" si="9"/>
        <v>58</v>
      </c>
      <c r="J60" s="35">
        <f t="shared" si="8"/>
        <v>6.16</v>
      </c>
      <c r="K60" s="29">
        <f t="shared" si="13"/>
        <v>4.7699999999999996</v>
      </c>
      <c r="L60" s="42">
        <f>ROUND(((H60/Stats!$B$8)*100000),0)</f>
        <v>10</v>
      </c>
      <c r="M60" s="96">
        <f>Stats!$B$8-N60</f>
        <v>9733958</v>
      </c>
      <c r="N60" s="97">
        <f>ROUND(Stats!$B$33/(1+(Stats!$B$34*EXP(-1*Stats!$B$32*(X60-$X$25)))),0)</f>
        <v>305149</v>
      </c>
      <c r="O60" s="101">
        <f t="shared" si="5"/>
        <v>93.125981078096274</v>
      </c>
      <c r="P60" s="97">
        <f>ROUND(N60*(Stats!$I$14/100),0)</f>
        <v>7385</v>
      </c>
      <c r="Q60" s="101">
        <f t="shared" si="1"/>
        <v>86.459038591740011</v>
      </c>
      <c r="R60" s="109">
        <f xml:space="preserve"> ROUND(R59 - ((R59 / Stats!$B$27)*(Stats!$B$21*S59)),0)</f>
        <v>9711747</v>
      </c>
      <c r="S60" s="99">
        <f xml:space="preserve"> ROUND(S59 + (R59/Stats!$B$27)*(Stats!$B$21*S59)-(S59*Stats!$B$22),0)</f>
        <v>182126</v>
      </c>
      <c r="T60" s="101">
        <f t="shared" si="6"/>
        <v>88.482698790946927</v>
      </c>
      <c r="U60" s="99">
        <f xml:space="preserve"> ROUND(U59 + (S59 * Stats!$B$22),0)</f>
        <v>145770</v>
      </c>
      <c r="V60" s="99">
        <f>ROUND(S60*(Stats!$I$14/100),0)</f>
        <v>4407</v>
      </c>
      <c r="W60" s="105">
        <f t="shared" si="2"/>
        <v>77.308826866348994</v>
      </c>
      <c r="X60" s="118">
        <v>58</v>
      </c>
      <c r="Y60" s="113">
        <f>GROWTH($Y$25:Y59,$X$25:X59,X60:$X$78,1)</f>
        <v>601229.81477293291</v>
      </c>
      <c r="Z60" s="7">
        <f t="shared" si="10"/>
        <v>96.511151063271527</v>
      </c>
      <c r="AA60" s="14">
        <f>GROWTH($AA$25:AA59,$X$25:X59,X60:$X$78,1)</f>
        <v>93858.868486919033</v>
      </c>
      <c r="AB60" s="7">
        <f t="shared" si="12"/>
        <v>77.651552444483826</v>
      </c>
      <c r="AC60" s="14">
        <f>GROWTH($AC$25:AC59,$X$25:X59,X60:$X$78,1)</f>
        <v>35905.45138491573</v>
      </c>
      <c r="AD60" s="7">
        <f t="shared" si="16"/>
        <v>41.579901683641708</v>
      </c>
      <c r="AE60" s="124"/>
    </row>
    <row r="61" spans="1:31" x14ac:dyDescent="0.25">
      <c r="A61" s="4">
        <v>43949</v>
      </c>
      <c r="B61" s="121">
        <v>22485</v>
      </c>
      <c r="C61" s="6">
        <f t="shared" si="14"/>
        <v>1509</v>
      </c>
      <c r="D61" s="19">
        <f t="shared" si="7"/>
        <v>7.19</v>
      </c>
      <c r="E61" s="35">
        <f t="shared" si="15"/>
        <v>671</v>
      </c>
      <c r="F61" s="25">
        <f>ROUND((B61/Stats!$B$8)*100000,0)</f>
        <v>224</v>
      </c>
      <c r="G61" s="22">
        <f>ROUND((C61/Stats!$B$8)*100000,0)</f>
        <v>15</v>
      </c>
      <c r="H61" s="213">
        <v>1056</v>
      </c>
      <c r="I61" s="6">
        <f t="shared" si="9"/>
        <v>56</v>
      </c>
      <c r="J61" s="35">
        <f t="shared" si="8"/>
        <v>5.6</v>
      </c>
      <c r="K61" s="29">
        <f t="shared" si="13"/>
        <v>4.7</v>
      </c>
      <c r="L61" s="42">
        <f>ROUND(((H61/Stats!$B$8)*100000),0)</f>
        <v>11</v>
      </c>
      <c r="M61" s="96">
        <f>Stats!$B$8-N61</f>
        <v>9676669</v>
      </c>
      <c r="N61" s="97">
        <f>ROUND(Stats!$B$33/(1+(Stats!$B$34*EXP(-1*Stats!$B$32*(X61-$X$25)))),0)</f>
        <v>362438</v>
      </c>
      <c r="O61" s="101">
        <f t="shared" si="5"/>
        <v>93.796180312218908</v>
      </c>
      <c r="P61" s="97">
        <f>ROUND(N61*(Stats!$I$14/100),0)</f>
        <v>8771</v>
      </c>
      <c r="Q61" s="101">
        <f t="shared" si="1"/>
        <v>87.960323794322193</v>
      </c>
      <c r="R61" s="109">
        <f xml:space="preserve"> ROUND(R60 - ((R60 / Stats!$B$27)*(Stats!$B$21*S60)),0)</f>
        <v>9654360</v>
      </c>
      <c r="S61" s="99">
        <f xml:space="preserve"> ROUND(S60 + (R60/Stats!$B$27)*(Stats!$B$21*S60)-(S60*Stats!$B$22),0)</f>
        <v>213495</v>
      </c>
      <c r="T61" s="101">
        <f t="shared" si="6"/>
        <v>89.468137427106015</v>
      </c>
      <c r="U61" s="99">
        <f xml:space="preserve"> ROUND(U60 + (S60 * Stats!$B$22),0)</f>
        <v>171788</v>
      </c>
      <c r="V61" s="99">
        <f>ROUND(S61*(Stats!$I$14/100),0)</f>
        <v>5167</v>
      </c>
      <c r="W61" s="105">
        <f t="shared" si="2"/>
        <v>79.562608863944263</v>
      </c>
      <c r="X61" s="118">
        <v>59</v>
      </c>
      <c r="Y61" s="113">
        <f>GROWTH($Y$25:Y60,$X$25:X60,X61:$X$78,1)</f>
        <v>732561.39994764503</v>
      </c>
      <c r="Z61" s="7">
        <f t="shared" si="10"/>
        <v>96.930632708520136</v>
      </c>
      <c r="AA61" s="14">
        <f>GROWTH($AA$25:AA60,$X$25:X60,X61:$X$78,1)</f>
        <v>107466.73215723787</v>
      </c>
      <c r="AB61" s="7">
        <f t="shared" si="12"/>
        <v>79.077246001021507</v>
      </c>
      <c r="AC61" s="14">
        <f>GROWTH($AC$25:AC60,$X$25:X60,X61:$X$78,1)</f>
        <v>39663.048810388951</v>
      </c>
      <c r="AD61" s="7">
        <f t="shared" si="16"/>
        <v>43.309955552104462</v>
      </c>
      <c r="AE61" s="124"/>
    </row>
    <row r="62" spans="1:31" x14ac:dyDescent="0.25">
      <c r="A62" s="4">
        <v>43950</v>
      </c>
      <c r="B62" s="121">
        <v>23182</v>
      </c>
      <c r="C62" s="6">
        <f t="shared" si="14"/>
        <v>697</v>
      </c>
      <c r="D62" s="19">
        <f t="shared" si="7"/>
        <v>3.1</v>
      </c>
      <c r="E62" s="35">
        <f t="shared" si="15"/>
        <v>301</v>
      </c>
      <c r="F62" s="25">
        <f>ROUND((B62/Stats!$B$8)*100000,0)</f>
        <v>231</v>
      </c>
      <c r="G62" s="22">
        <f>ROUND((C62/Stats!$B$8)*100000,0)</f>
        <v>7</v>
      </c>
      <c r="H62" s="213">
        <v>1111</v>
      </c>
      <c r="I62" s="6">
        <f t="shared" si="9"/>
        <v>55</v>
      </c>
      <c r="J62" s="35">
        <f t="shared" si="8"/>
        <v>5.21</v>
      </c>
      <c r="K62" s="29">
        <f t="shared" si="13"/>
        <v>4.79</v>
      </c>
      <c r="L62" s="42">
        <f>ROUND(((H62/Stats!$B$8)*100000),0)</f>
        <v>11</v>
      </c>
      <c r="M62" s="96">
        <f>Stats!$B$8-N62</f>
        <v>9609492</v>
      </c>
      <c r="N62" s="97">
        <f>ROUND(Stats!$B$33/(1+(Stats!$B$34*EXP(-1*Stats!$B$32*(X62-$X$25)))),0)</f>
        <v>429615</v>
      </c>
      <c r="O62" s="101">
        <f t="shared" si="5"/>
        <v>94.604005912270281</v>
      </c>
      <c r="P62" s="97">
        <f>ROUND(N62*(Stats!$I$14/100),0)</f>
        <v>10397</v>
      </c>
      <c r="Q62" s="101">
        <f t="shared" si="1"/>
        <v>89.314225257285756</v>
      </c>
      <c r="R62" s="109">
        <f xml:space="preserve"> ROUND(R61 - ((R61 / Stats!$B$27)*(Stats!$B$21*S61)),0)</f>
        <v>9587487</v>
      </c>
      <c r="S62" s="99">
        <f xml:space="preserve"> ROUND(S61 + (R61/Stats!$B$27)*(Stats!$B$21*S61)-(S61*Stats!$B$22),0)</f>
        <v>249869</v>
      </c>
      <c r="T62" s="101">
        <f t="shared" si="6"/>
        <v>90.722338505376825</v>
      </c>
      <c r="U62" s="99">
        <f xml:space="preserve"> ROUND(U61 + (S61 * Stats!$B$22),0)</f>
        <v>202287</v>
      </c>
      <c r="V62" s="99">
        <f>ROUND(S62*(Stats!$I$14/100),0)</f>
        <v>6047</v>
      </c>
      <c r="W62" s="105">
        <f t="shared" si="2"/>
        <v>81.627253183396718</v>
      </c>
      <c r="X62" s="118">
        <v>60</v>
      </c>
      <c r="Y62" s="113">
        <f>GROWTH($Y$25:Y61,$X$25:X61,X62:$X$78,1)</f>
        <v>892580.82601230987</v>
      </c>
      <c r="Z62" s="7">
        <f t="shared" si="10"/>
        <v>97.402812235664101</v>
      </c>
      <c r="AA62" s="14">
        <f>GROWTH($AA$25:AA61,$X$25:X61,X62:$X$78,1)</f>
        <v>123047.49361180574</v>
      </c>
      <c r="AB62" s="7">
        <f t="shared" si="12"/>
        <v>81.160120113347986</v>
      </c>
      <c r="AC62" s="14">
        <f>GROWTH($AC$25:AC61,$X$25:X61,X62:$X$78,1)</f>
        <v>43813.88842798947</v>
      </c>
      <c r="AD62" s="7">
        <f t="shared" si="16"/>
        <v>47.089836506748561</v>
      </c>
      <c r="AE62" s="124"/>
    </row>
    <row r="63" spans="1:31" x14ac:dyDescent="0.25">
      <c r="A63" s="4">
        <v>43951</v>
      </c>
      <c r="B63" s="121">
        <v>24215</v>
      </c>
      <c r="C63" s="6">
        <f t="shared" si="14"/>
        <v>1033</v>
      </c>
      <c r="D63" s="19">
        <f t="shared" si="7"/>
        <v>4.46</v>
      </c>
      <c r="E63" s="35">
        <f t="shared" si="15"/>
        <v>427</v>
      </c>
      <c r="F63" s="25">
        <f>ROUND((B63/Stats!$B$8)*100000,0)</f>
        <v>241</v>
      </c>
      <c r="G63" s="22">
        <f>ROUND((C63/Stats!$B$8)*100000,0)</f>
        <v>10</v>
      </c>
      <c r="H63" s="213">
        <v>1172</v>
      </c>
      <c r="I63" s="6">
        <f t="shared" si="9"/>
        <v>61</v>
      </c>
      <c r="J63" s="35">
        <f t="shared" si="8"/>
        <v>5.49</v>
      </c>
      <c r="K63" s="29">
        <f t="shared" si="13"/>
        <v>4.84</v>
      </c>
      <c r="L63" s="42">
        <f>ROUND(((H63/Stats!$B$8)*100000),0)</f>
        <v>12</v>
      </c>
      <c r="M63" s="96">
        <f>Stats!$B$8-N63</f>
        <v>9531063</v>
      </c>
      <c r="N63" s="97">
        <f>ROUND(Stats!$B$33/(1+(Stats!$B$34*EXP(-1*Stats!$B$32*(X63-$X$25)))),0)</f>
        <v>508044</v>
      </c>
      <c r="O63" s="101">
        <f t="shared" si="5"/>
        <v>95.233680547354169</v>
      </c>
      <c r="P63" s="97">
        <f>ROUND(N63*(Stats!$I$14/100),0)</f>
        <v>12295</v>
      </c>
      <c r="Q63" s="101">
        <f t="shared" si="1"/>
        <v>90.46766978446523</v>
      </c>
      <c r="R63" s="109">
        <f xml:space="preserve"> ROUND(R62 - ((R62 / Stats!$B$27)*(Stats!$B$21*S62)),0)</f>
        <v>9509762</v>
      </c>
      <c r="S63" s="99">
        <f xml:space="preserve"> ROUND(S62 + (R62/Stats!$B$27)*(Stats!$B$21*S62)-(S62*Stats!$B$22),0)</f>
        <v>291898</v>
      </c>
      <c r="T63" s="101">
        <f t="shared" si="6"/>
        <v>91.704293965700344</v>
      </c>
      <c r="U63" s="99">
        <f xml:space="preserve"> ROUND(U62 + (S62 * Stats!$B$22),0)</f>
        <v>237983</v>
      </c>
      <c r="V63" s="99">
        <f>ROUND(S63*(Stats!$I$14/100),0)</f>
        <v>7064</v>
      </c>
      <c r="W63" s="105">
        <f t="shared" si="2"/>
        <v>83.408833522083796</v>
      </c>
      <c r="X63" s="118">
        <v>61</v>
      </c>
      <c r="Y63" s="113">
        <f>GROWTH($Y$25:Y62,$X$25:X62,X63:$X$78,1)</f>
        <v>1087554.6145644023</v>
      </c>
      <c r="Z63" s="7">
        <f t="shared" si="10"/>
        <v>97.773445151561532</v>
      </c>
      <c r="AA63" s="14">
        <f>GROWTH($AA$25:AA62,$X$25:X62,X63:$X$78,1)</f>
        <v>140887.18787870641</v>
      </c>
      <c r="AB63" s="7">
        <f t="shared" si="12"/>
        <v>82.812489648918714</v>
      </c>
      <c r="AC63" s="14">
        <f>GROWTH($AC$25:AC62,$X$25:X62,X63:$X$78,1)</f>
        <v>48399.124040043323</v>
      </c>
      <c r="AD63" s="7">
        <f t="shared" si="16"/>
        <v>49.968102769865077</v>
      </c>
      <c r="AE63" s="124"/>
    </row>
    <row r="64" spans="1:31" x14ac:dyDescent="0.25">
      <c r="A64" s="4">
        <v>43952</v>
      </c>
      <c r="B64" s="121">
        <v>24894</v>
      </c>
      <c r="C64" s="6">
        <f t="shared" si="14"/>
        <v>679</v>
      </c>
      <c r="D64" s="19">
        <f t="shared" si="7"/>
        <v>2.8</v>
      </c>
      <c r="E64" s="35">
        <f t="shared" si="15"/>
        <v>273</v>
      </c>
      <c r="F64" s="25">
        <f>ROUND((B64/Stats!$B$8)*100000,0)</f>
        <v>248</v>
      </c>
      <c r="G64" s="22">
        <f>ROUND((C64/Stats!$B$8)*100000,0)</f>
        <v>7</v>
      </c>
      <c r="H64" s="213">
        <v>1209</v>
      </c>
      <c r="I64" s="6">
        <f t="shared" si="9"/>
        <v>37</v>
      </c>
      <c r="J64" s="35">
        <f t="shared" si="8"/>
        <v>3.16</v>
      </c>
      <c r="K64" s="29">
        <f t="shared" si="13"/>
        <v>4.8600000000000003</v>
      </c>
      <c r="L64" s="42">
        <f>ROUND(((H64/Stats!$B$8)*100000),0)</f>
        <v>12</v>
      </c>
      <c r="M64" s="96">
        <f>Stats!$B$8-N64</f>
        <v>9439964</v>
      </c>
      <c r="N64" s="97">
        <f>ROUND(Stats!$B$33/(1+(Stats!$B$34*EXP(-1*Stats!$B$32*(X64-$X$25)))),0)</f>
        <v>599143</v>
      </c>
      <c r="O64" s="101">
        <f t="shared" si="5"/>
        <v>95.845065368367827</v>
      </c>
      <c r="P64" s="97">
        <f>ROUND(N64*(Stats!$I$14/100),0)</f>
        <v>14499</v>
      </c>
      <c r="Q64" s="101">
        <f t="shared" si="1"/>
        <v>91.661493896130764</v>
      </c>
      <c r="R64" s="109">
        <f xml:space="preserve"> ROUND(R63 - ((R63 / Stats!$B$27)*(Stats!$B$21*S63)),0)</f>
        <v>9419700</v>
      </c>
      <c r="S64" s="99">
        <f xml:space="preserve"> ROUND(S63 + (R63/Stats!$B$27)*(Stats!$B$21*S63)-(S63*Stats!$B$22),0)</f>
        <v>340260</v>
      </c>
      <c r="T64" s="101">
        <f t="shared" si="6"/>
        <v>92.683830012343506</v>
      </c>
      <c r="U64" s="99">
        <f xml:space="preserve"> ROUND(U63 + (S63 * Stats!$B$22),0)</f>
        <v>279683</v>
      </c>
      <c r="V64" s="99">
        <f>ROUND(S64*(Stats!$I$14/100),0)</f>
        <v>8234</v>
      </c>
      <c r="W64" s="105">
        <f t="shared" si="2"/>
        <v>85.316978382317217</v>
      </c>
      <c r="X64" s="118">
        <v>62</v>
      </c>
      <c r="Y64" s="113">
        <f>GROWTH($Y$25:Y63,$X$25:X63,X64:$X$78,1)</f>
        <v>1325118.1351771655</v>
      </c>
      <c r="Z64" s="7">
        <f t="shared" si="10"/>
        <v>98.121375042786525</v>
      </c>
      <c r="AA64" s="14">
        <f>GROWTH($AA$25:AA63,$X$25:X63,X64:$X$78,1)</f>
        <v>161313.31996887983</v>
      </c>
      <c r="AB64" s="7">
        <f t="shared" si="12"/>
        <v>84.567920364665184</v>
      </c>
      <c r="AC64" s="14">
        <f>GROWTH($AC$25:AC63,$X$25:X63,X64:$X$78,1)</f>
        <v>53464.216299666994</v>
      </c>
      <c r="AD64" s="7">
        <f t="shared" si="16"/>
        <v>53.438015699193834</v>
      </c>
      <c r="AE64" s="124"/>
    </row>
    <row r="65" spans="1:41" x14ac:dyDescent="0.25">
      <c r="A65" s="4">
        <v>43953</v>
      </c>
      <c r="B65" s="121">
        <v>25662</v>
      </c>
      <c r="C65" s="6">
        <f t="shared" si="14"/>
        <v>768</v>
      </c>
      <c r="D65" s="19">
        <f t="shared" si="7"/>
        <v>3.09</v>
      </c>
      <c r="E65" s="35">
        <f t="shared" si="15"/>
        <v>299</v>
      </c>
      <c r="F65" s="25">
        <f>ROUND((B65/Stats!$B$8)*100000,0)</f>
        <v>256</v>
      </c>
      <c r="G65" s="22">
        <f>ROUND((C65/Stats!$B$8)*100000,0)</f>
        <v>8</v>
      </c>
      <c r="H65" s="213">
        <v>1229</v>
      </c>
      <c r="I65" s="6">
        <f t="shared" si="9"/>
        <v>20</v>
      </c>
      <c r="J65" s="35">
        <f t="shared" si="8"/>
        <v>1.65</v>
      </c>
      <c r="K65" s="29">
        <f t="shared" si="13"/>
        <v>4.79</v>
      </c>
      <c r="L65" s="42">
        <f>ROUND(((H65/Stats!$B$8)*100000),0)</f>
        <v>12</v>
      </c>
      <c r="M65" s="96">
        <f>Stats!$B$8-N65</f>
        <v>9334773</v>
      </c>
      <c r="N65" s="97">
        <f>ROUND(Stats!$B$33/(1+(Stats!$B$34*EXP(-1*Stats!$B$32*(X65-$X$25)))),0)</f>
        <v>704334</v>
      </c>
      <c r="O65" s="101">
        <f t="shared" si="5"/>
        <v>96.356558110214749</v>
      </c>
      <c r="P65" s="97">
        <f>ROUND(N65*(Stats!$I$14/100),0)</f>
        <v>17045</v>
      </c>
      <c r="Q65" s="101">
        <f t="shared" si="1"/>
        <v>92.789674391317106</v>
      </c>
      <c r="R65" s="109">
        <f xml:space="preserve"> ROUND(R64 - ((R64 / Stats!$B$27)*(Stats!$B$21*S64)),0)</f>
        <v>9315710</v>
      </c>
      <c r="S65" s="99">
        <f xml:space="preserve"> ROUND(S64 + (R64/Stats!$B$27)*(Stats!$B$21*S64)-(S64*Stats!$B$22),0)</f>
        <v>395641</v>
      </c>
      <c r="T65" s="101">
        <f t="shared" si="6"/>
        <v>93.513816818782686</v>
      </c>
      <c r="U65" s="99">
        <f xml:space="preserve"> ROUND(U64 + (S64 * Stats!$B$22),0)</f>
        <v>328292</v>
      </c>
      <c r="V65" s="99">
        <f>ROUND(S65*(Stats!$I$14/100),0)</f>
        <v>9575</v>
      </c>
      <c r="W65" s="105">
        <f t="shared" si="2"/>
        <v>87.164490861618788</v>
      </c>
      <c r="X65" s="118">
        <v>63</v>
      </c>
      <c r="Y65" s="113">
        <f>GROWTH($Y$25:Y64,$X$25:X64,X65:$X$78,1)</f>
        <v>1614574.6141481888</v>
      </c>
      <c r="Z65" s="7">
        <f t="shared" si="10"/>
        <v>98.41060302973122</v>
      </c>
      <c r="AA65" s="14">
        <f>GROWTH($AA$25:AA64,$X$25:X64,X65:$X$78,1)</f>
        <v>184700.8772847763</v>
      </c>
      <c r="AB65" s="7">
        <f t="shared" si="12"/>
        <v>86.106184021836725</v>
      </c>
      <c r="AC65" s="14">
        <f>GROWTH($AC$25:AC64,$X$25:X64,X65:$X$78,1)</f>
        <v>59059.383433729898</v>
      </c>
      <c r="AD65" s="7">
        <f t="shared" si="16"/>
        <v>56.548818311327032</v>
      </c>
      <c r="AE65" s="124"/>
    </row>
    <row r="66" spans="1:41" x14ac:dyDescent="0.25">
      <c r="A66" s="4">
        <v>43954</v>
      </c>
      <c r="B66" s="121">
        <v>26217</v>
      </c>
      <c r="C66" s="6">
        <f t="shared" si="14"/>
        <v>555</v>
      </c>
      <c r="D66" s="19">
        <f t="shared" si="7"/>
        <v>2.16</v>
      </c>
      <c r="E66" s="35">
        <f t="shared" si="15"/>
        <v>212</v>
      </c>
      <c r="F66" s="25">
        <f>ROUND((B66/Stats!$B$8)*100000,0)</f>
        <v>261</v>
      </c>
      <c r="G66" s="22">
        <f>ROUND((C66/Stats!$B$8)*100000,0)</f>
        <v>6</v>
      </c>
      <c r="H66" s="213">
        <v>1256</v>
      </c>
      <c r="I66" s="6">
        <f t="shared" si="9"/>
        <v>27</v>
      </c>
      <c r="J66" s="35">
        <f t="shared" si="8"/>
        <v>2.2000000000000002</v>
      </c>
      <c r="K66" s="29">
        <f t="shared" si="13"/>
        <v>4.79</v>
      </c>
      <c r="L66" s="42">
        <f>ROUND(((H66/Stats!$B$8)*100000),0)</f>
        <v>13</v>
      </c>
      <c r="M66" s="96">
        <f>Stats!$B$8-N66</f>
        <v>9214139</v>
      </c>
      <c r="N66" s="97">
        <f>ROUND(Stats!$B$33/(1+(Stats!$B$34*EXP(-1*Stats!$B$32*(X66-$X$25)))),0)</f>
        <v>824968</v>
      </c>
      <c r="O66" s="101">
        <f t="shared" si="5"/>
        <v>96.822058552574163</v>
      </c>
      <c r="P66" s="97">
        <f>ROUND(N66*(Stats!$I$14/100),0)</f>
        <v>19964</v>
      </c>
      <c r="Q66" s="101">
        <f t="shared" si="1"/>
        <v>93.708675616108991</v>
      </c>
      <c r="R66" s="109">
        <f xml:space="preserve"> ROUND(R65 - ((R65 / Stats!$B$27)*(Stats!$B$21*S65)),0)</f>
        <v>9196130</v>
      </c>
      <c r="S66" s="99">
        <f xml:space="preserve"> ROUND(S65 + (R65/Stats!$B$27)*(Stats!$B$21*S65)-(S65*Stats!$B$22),0)</f>
        <v>458701</v>
      </c>
      <c r="T66" s="101">
        <f t="shared" si="6"/>
        <v>94.284512133176079</v>
      </c>
      <c r="U66" s="99">
        <f xml:space="preserve"> ROUND(U65 + (S65 * Stats!$B$22),0)</f>
        <v>384812</v>
      </c>
      <c r="V66" s="99">
        <f>ROUND(S66*(Stats!$I$14/100),0)</f>
        <v>11101</v>
      </c>
      <c r="W66" s="105">
        <f t="shared" si="2"/>
        <v>88.685703990631467</v>
      </c>
      <c r="X66" s="118">
        <v>64</v>
      </c>
      <c r="Y66" s="113">
        <f>GROWTH($Y$25:Y65,$X$25:X65,X66:$X$78,1)</f>
        <v>1967259.4581940852</v>
      </c>
      <c r="Z66" s="7">
        <f t="shared" si="10"/>
        <v>98.667333894835267</v>
      </c>
      <c r="AA66" s="14">
        <f>GROWTH($AA$25:AA65,$X$25:X65,X66:$X$78,1)</f>
        <v>211479.21372114425</v>
      </c>
      <c r="AB66" s="7">
        <f t="shared" si="12"/>
        <v>87.603036942169808</v>
      </c>
      <c r="AC66" s="14">
        <f>GROWTH($AC$25:AC65,$X$25:X65,X66:$X$78,1)</f>
        <v>65240.099135130527</v>
      </c>
      <c r="AD66" s="7">
        <f t="shared" si="16"/>
        <v>59.814592026144467</v>
      </c>
      <c r="AE66" s="124"/>
    </row>
    <row r="67" spans="1:41" x14ac:dyDescent="0.25">
      <c r="A67" s="4">
        <v>43955</v>
      </c>
      <c r="B67" s="121">
        <v>27815</v>
      </c>
      <c r="C67" s="6">
        <f t="shared" si="14"/>
        <v>1598</v>
      </c>
      <c r="D67" s="19">
        <f t="shared" si="7"/>
        <v>6.1</v>
      </c>
      <c r="E67" s="35">
        <f t="shared" si="15"/>
        <v>575</v>
      </c>
      <c r="F67" s="25">
        <f>ROUND((B67/Stats!$B$8)*100000,0)</f>
        <v>277</v>
      </c>
      <c r="G67" s="22">
        <f>ROUND((C67/Stats!$B$8)*100000,0)</f>
        <v>16</v>
      </c>
      <c r="H67" s="213">
        <v>1313</v>
      </c>
      <c r="I67" s="6">
        <f t="shared" si="9"/>
        <v>57</v>
      </c>
      <c r="J67" s="35">
        <f t="shared" si="8"/>
        <v>4.54</v>
      </c>
      <c r="K67" s="29">
        <f t="shared" si="13"/>
        <v>4.72</v>
      </c>
      <c r="L67" s="42">
        <f>ROUND(((H67/Stats!$B$8)*100000),0)</f>
        <v>13</v>
      </c>
      <c r="M67" s="96">
        <f>Stats!$B$8-N67</f>
        <v>9076875</v>
      </c>
      <c r="N67" s="97">
        <f>ROUND(Stats!$B$33/(1+(Stats!$B$34*EXP(-1*Stats!$B$32*(X67-$X$25)))),0)</f>
        <v>962232</v>
      </c>
      <c r="O67" s="101">
        <f t="shared" si="5"/>
        <v>97.109324986074043</v>
      </c>
      <c r="P67" s="97">
        <f>ROUND(N67*(Stats!$I$14/100),0)</f>
        <v>23286</v>
      </c>
      <c r="Q67" s="101">
        <f t="shared" si="1"/>
        <v>94.361418878295964</v>
      </c>
      <c r="R67" s="109">
        <f xml:space="preserve"> ROUND(R66 - ((R66 / Stats!$B$27)*(Stats!$B$21*S66)),0)</f>
        <v>9059270</v>
      </c>
      <c r="S67" s="99">
        <f xml:space="preserve"> ROUND(S66 + (R66/Stats!$B$27)*(Stats!$B$21*S66)-(S66*Stats!$B$22),0)</f>
        <v>530032</v>
      </c>
      <c r="T67" s="101">
        <f t="shared" si="6"/>
        <v>94.752203640534916</v>
      </c>
      <c r="U67" s="99">
        <f xml:space="preserve"> ROUND(U66 + (S66 * Stats!$B$22),0)</f>
        <v>450341</v>
      </c>
      <c r="V67" s="99">
        <f>ROUND(S67*(Stats!$I$14/100),0)</f>
        <v>12827</v>
      </c>
      <c r="W67" s="105">
        <f t="shared" si="2"/>
        <v>89.763779527559052</v>
      </c>
      <c r="X67" s="118">
        <v>65</v>
      </c>
      <c r="Y67" s="113">
        <f>GROWTH($Y$25:Y66,$X$25:X66,X67:$X$78,1)</f>
        <v>2396984.1603733096</v>
      </c>
      <c r="Z67" s="7">
        <f t="shared" si="10"/>
        <v>98.839583487457503</v>
      </c>
      <c r="AA67" s="14">
        <f>GROWTH($AA$25:AA66,$X$25:X66,X67:$X$78,1)</f>
        <v>242139.93183777726</v>
      </c>
      <c r="AB67" s="7">
        <f t="shared" si="12"/>
        <v>88.512840575739986</v>
      </c>
      <c r="AC67" s="14">
        <f>GROWTH($AC$25:AC66,$X$25:X66,X67:$X$78,1)</f>
        <v>72067.642560772292</v>
      </c>
      <c r="AD67" s="7">
        <f t="shared" si="16"/>
        <v>61.404315429709634</v>
      </c>
      <c r="AE67" s="124"/>
    </row>
    <row r="68" spans="1:41" x14ac:dyDescent="0.25">
      <c r="A68" s="4">
        <v>43956</v>
      </c>
      <c r="B68" s="121">
        <v>28644</v>
      </c>
      <c r="C68" s="6">
        <f t="shared" si="14"/>
        <v>829</v>
      </c>
      <c r="D68" s="19">
        <f t="shared" si="7"/>
        <v>2.98</v>
      </c>
      <c r="E68" s="35">
        <f t="shared" si="15"/>
        <v>289</v>
      </c>
      <c r="F68" s="25">
        <f>ROUND((B68/Stats!$B$8)*100000,0)</f>
        <v>285</v>
      </c>
      <c r="G68" s="22">
        <f>ROUND((C68/Stats!$B$8)*100000,0)</f>
        <v>8</v>
      </c>
      <c r="H68" s="213">
        <v>1367</v>
      </c>
      <c r="I68" s="6">
        <f t="shared" si="9"/>
        <v>54</v>
      </c>
      <c r="J68" s="35">
        <f t="shared" si="8"/>
        <v>4.1100000000000003</v>
      </c>
      <c r="K68" s="29">
        <f t="shared" si="13"/>
        <v>4.7699999999999996</v>
      </c>
      <c r="L68" s="42">
        <f>ROUND(((H68/Stats!$B$8)*100000),0)</f>
        <v>14</v>
      </c>
      <c r="M68" s="96">
        <f>Stats!$B$8-N68</f>
        <v>8922075</v>
      </c>
      <c r="N68" s="97">
        <f>ROUND(Stats!$B$33/(1+(Stats!$B$34*EXP(-1*Stats!$B$32*(X68-$X$25)))),0)</f>
        <v>1117032</v>
      </c>
      <c r="O68" s="101">
        <f t="shared" si="5"/>
        <v>97.435704617235672</v>
      </c>
      <c r="P68" s="97">
        <f>ROUND(N68*(Stats!$I$14/100),0)</f>
        <v>27032</v>
      </c>
      <c r="Q68" s="101">
        <f t="shared" si="1"/>
        <v>94.943030482391251</v>
      </c>
      <c r="R68" s="109">
        <f xml:space="preserve"> ROUND(R67 - ((R67 / Stats!$B$27)*(Stats!$B$21*S67)),0)</f>
        <v>8903481</v>
      </c>
      <c r="S68" s="99">
        <f xml:space="preserve"> ROUND(S67 + (R67/Stats!$B$27)*(Stats!$B$21*S67)-(S67*Stats!$B$22),0)</f>
        <v>610102</v>
      </c>
      <c r="T68" s="101">
        <f t="shared" si="6"/>
        <v>95.305047352737731</v>
      </c>
      <c r="U68" s="99">
        <f xml:space="preserve"> ROUND(U67 + (S67 * Stats!$B$22),0)</f>
        <v>526060</v>
      </c>
      <c r="V68" s="99">
        <f>ROUND(S68*(Stats!$I$14/100),0)</f>
        <v>14764</v>
      </c>
      <c r="W68" s="105">
        <f t="shared" si="2"/>
        <v>90.740991601192093</v>
      </c>
      <c r="X68" s="118">
        <v>66</v>
      </c>
      <c r="Y68" s="113">
        <f>GROWTH($Y$25:Y67,$X$25:X67,X68:$X$78,1)</f>
        <v>2920577.1720395624</v>
      </c>
      <c r="Z68" s="7">
        <f t="shared" si="10"/>
        <v>99.019234955534614</v>
      </c>
      <c r="AA68" s="14">
        <f>GROWTH($AA$25:AA67,$X$25:X67,X68:$X$78,1)</f>
        <v>277245.90780687763</v>
      </c>
      <c r="AB68" s="7">
        <f t="shared" si="12"/>
        <v>89.668377713278034</v>
      </c>
      <c r="AC68" s="14">
        <f>GROWTH($AC$25:AC67,$X$25:X67,X68:$X$78,1)</f>
        <v>79609.705888238313</v>
      </c>
      <c r="AD68" s="7">
        <f t="shared" si="16"/>
        <v>64.019462601441518</v>
      </c>
      <c r="AE68" s="124"/>
    </row>
    <row r="69" spans="1:41" x14ac:dyDescent="0.25">
      <c r="A69" s="4">
        <v>43957</v>
      </c>
      <c r="B69" s="121">
        <v>29427</v>
      </c>
      <c r="C69" s="6">
        <f t="shared" si="14"/>
        <v>783</v>
      </c>
      <c r="D69" s="19">
        <f t="shared" si="7"/>
        <v>2.73</v>
      </c>
      <c r="E69" s="35">
        <f t="shared" si="15"/>
        <v>266</v>
      </c>
      <c r="F69" s="25">
        <f>ROUND((B69/Stats!$B$8)*100000,0)</f>
        <v>293</v>
      </c>
      <c r="G69" s="22">
        <f>ROUND((C69/Stats!$B$8)*100000,0)</f>
        <v>8</v>
      </c>
      <c r="H69" s="213">
        <v>1418</v>
      </c>
      <c r="I69" s="6">
        <f t="shared" si="9"/>
        <v>51</v>
      </c>
      <c r="J69" s="35">
        <f t="shared" si="8"/>
        <v>3.73</v>
      </c>
      <c r="K69" s="9">
        <f t="shared" si="13"/>
        <v>4.82</v>
      </c>
      <c r="L69" s="43">
        <f>ROUND(((H69/Stats!$B$8)*100000),0)</f>
        <v>14</v>
      </c>
      <c r="M69" s="96">
        <f>Stats!$B$8-N69</f>
        <v>8749244</v>
      </c>
      <c r="N69" s="97">
        <f>ROUND(Stats!$B$33/(1+(Stats!$B$34*EXP(-1*Stats!$B$32*(X69-$X$25)))),0)</f>
        <v>1289863</v>
      </c>
      <c r="O69" s="101">
        <f t="shared" si="5"/>
        <v>97.718594920545826</v>
      </c>
      <c r="P69" s="97">
        <f>ROUND(N69*(Stats!$I$14/100),0)</f>
        <v>31215</v>
      </c>
      <c r="Q69" s="101">
        <f t="shared" si="1"/>
        <v>95.457312189652413</v>
      </c>
      <c r="R69" s="109">
        <f xml:space="preserve"> ROUND(R68 - ((R68 / Stats!$B$27)*(Stats!$B$21*S68)),0)</f>
        <v>8727241</v>
      </c>
      <c r="S69" s="99">
        <f xml:space="preserve"> ROUND(S68 + (R68/Stats!$B$27)*(Stats!$B$21*S68)-(S68*Stats!$B$22),0)</f>
        <v>699184</v>
      </c>
      <c r="T69" s="101">
        <f t="shared" si="6"/>
        <v>95.791236641570748</v>
      </c>
      <c r="U69" s="99">
        <f xml:space="preserve"> ROUND(U68 + (S68 * Stats!$B$22),0)</f>
        <v>613217</v>
      </c>
      <c r="V69" s="99">
        <f>ROUND(S69*(Stats!$I$14/100),0)</f>
        <v>16920</v>
      </c>
      <c r="W69" s="105">
        <f t="shared" si="2"/>
        <v>91.619385342789599</v>
      </c>
      <c r="X69" s="118">
        <v>67</v>
      </c>
      <c r="Y69" s="113">
        <f>GROWTH($Y$25:Y68,$X$25:X68,X69:$X$78,1)</f>
        <v>3558542.9219149216</v>
      </c>
      <c r="Z69" s="7">
        <f t="shared" si="10"/>
        <v>99.173060416981997</v>
      </c>
      <c r="AA69" s="14">
        <f>GROWTH($AA$25:AA68,$X$25:X68,X69:$X$78,1)</f>
        <v>317441.62481699238</v>
      </c>
      <c r="AB69" s="7">
        <f t="shared" si="12"/>
        <v>90.729949162475179</v>
      </c>
      <c r="AC69" s="14">
        <f>GROWTH($AC$25:AC68,$X$25:X68,X69:$X$78,1)</f>
        <v>87941.0654548249</v>
      </c>
      <c r="AD69" s="7">
        <f t="shared" si="16"/>
        <v>66.537817289561303</v>
      </c>
      <c r="AE69" s="124"/>
    </row>
    <row r="70" spans="1:41" x14ac:dyDescent="0.25">
      <c r="A70" s="4">
        <v>43958</v>
      </c>
      <c r="B70" s="121">
        <v>30296</v>
      </c>
      <c r="C70" s="6">
        <f t="shared" si="14"/>
        <v>869</v>
      </c>
      <c r="D70" s="19">
        <f t="shared" si="7"/>
        <v>2.95</v>
      </c>
      <c r="E70" s="35">
        <f t="shared" si="15"/>
        <v>287</v>
      </c>
      <c r="F70" s="25">
        <f>ROUND((B70/Stats!$B$8)*100000,0)</f>
        <v>302</v>
      </c>
      <c r="G70" s="22">
        <f>ROUND((C70/Stats!$B$8)*100000,0)</f>
        <v>9</v>
      </c>
      <c r="H70" s="213">
        <v>1468</v>
      </c>
      <c r="I70" s="6">
        <f t="shared" si="9"/>
        <v>50</v>
      </c>
      <c r="J70" s="35">
        <f t="shared" si="8"/>
        <v>3.53</v>
      </c>
      <c r="K70" s="9">
        <f t="shared" si="13"/>
        <v>4.8499999999999996</v>
      </c>
      <c r="L70" s="43">
        <f>ROUND(((H70/Stats!$B$8)*100000),0)</f>
        <v>15</v>
      </c>
      <c r="M70" s="96">
        <f>Stats!$B$8-N70</f>
        <v>8558434</v>
      </c>
      <c r="N70" s="97">
        <f>ROUND(Stats!$B$33/(1+(Stats!$B$34*EXP(-1*Stats!$B$32*(X70-$X$25)))),0)</f>
        <v>1480673</v>
      </c>
      <c r="O70" s="101">
        <f t="shared" si="5"/>
        <v>97.95390339392965</v>
      </c>
      <c r="P70" s="97">
        <f>ROUND(N70*(Stats!$I$14/100),0)</f>
        <v>35832</v>
      </c>
      <c r="Q70" s="101">
        <f t="shared" si="1"/>
        <v>95.903103371288239</v>
      </c>
      <c r="R70" s="109">
        <f xml:space="preserve"> ROUND(R69 - ((R69 / Stats!$B$27)*(Stats!$B$21*S69)),0)</f>
        <v>8529266</v>
      </c>
      <c r="S70" s="99">
        <f xml:space="preserve"> ROUND(S69 + (R69/Stats!$B$27)*(Stats!$B$21*S69)-(S69*Stats!$B$22),0)</f>
        <v>797275</v>
      </c>
      <c r="T70" s="101">
        <f t="shared" si="6"/>
        <v>96.200056442256425</v>
      </c>
      <c r="U70" s="99">
        <f xml:space="preserve"> ROUND(U69 + (S69 * Stats!$B$22),0)</f>
        <v>713100</v>
      </c>
      <c r="V70" s="99">
        <f>ROUND(S70*(Stats!$I$14/100),0)</f>
        <v>19294</v>
      </c>
      <c r="W70" s="105">
        <f t="shared" si="2"/>
        <v>92.39141702083549</v>
      </c>
      <c r="X70" s="118">
        <v>68</v>
      </c>
      <c r="Y70" s="113">
        <f>GROWTH($Y$25:Y69,$X$25:X69,X70:$X$78,1)</f>
        <v>4335864.7901323885</v>
      </c>
      <c r="Z70" s="7">
        <f t="shared" si="10"/>
        <v>99.301269724347776</v>
      </c>
      <c r="AA70" s="14">
        <f>GROWTH($AA$25:AA69,$X$25:X69,X70:$X$78,1)</f>
        <v>363465.0046364076</v>
      </c>
      <c r="AB70" s="7">
        <f t="shared" si="12"/>
        <v>91.664672082995551</v>
      </c>
      <c r="AC70" s="14">
        <f>GROWTH($AC$25:AC69,$X$25:X69,X70:$X$78,1)</f>
        <v>97144.323132995996</v>
      </c>
      <c r="AD70" s="7">
        <f t="shared" si="16"/>
        <v>68.813411815610579</v>
      </c>
      <c r="AE70" s="124"/>
    </row>
    <row r="71" spans="1:41" x14ac:dyDescent="0.25">
      <c r="A71" s="4">
        <v>43959</v>
      </c>
      <c r="B71" s="121">
        <v>31197</v>
      </c>
      <c r="C71" s="6">
        <f t="shared" si="14"/>
        <v>901</v>
      </c>
      <c r="D71" s="19">
        <f t="shared" si="7"/>
        <v>2.97</v>
      </c>
      <c r="E71" s="35">
        <f t="shared" si="15"/>
        <v>289</v>
      </c>
      <c r="F71" s="25">
        <f>ROUND((B71/Stats!$B$8)*100000,0)</f>
        <v>311</v>
      </c>
      <c r="G71" s="22">
        <f>ROUND((C71/Stats!$B$8)*100000,0)</f>
        <v>9</v>
      </c>
      <c r="H71" s="213">
        <v>1512</v>
      </c>
      <c r="I71" s="6">
        <f t="shared" si="9"/>
        <v>44</v>
      </c>
      <c r="J71" s="35">
        <f t="shared" si="8"/>
        <v>3</v>
      </c>
      <c r="K71" s="9">
        <f t="shared" si="13"/>
        <v>4.8499999999999996</v>
      </c>
      <c r="L71" s="43">
        <f>ROUND(((H71/Stats!$B$8)*100000),0)</f>
        <v>15</v>
      </c>
      <c r="M71" s="96">
        <f>Stats!$B$8-N71</f>
        <v>8350365</v>
      </c>
      <c r="N71" s="97">
        <f>ROUND(Stats!$B$33/(1+(Stats!$B$34*EXP(-1*Stats!$B$32*(X71-$X$25)))),0)</f>
        <v>1688742</v>
      </c>
      <c r="O71" s="101">
        <f t="shared" si="5"/>
        <v>98.152648539563771</v>
      </c>
      <c r="P71" s="97">
        <f>ROUND(N71*(Stats!$I$14/100),0)</f>
        <v>40868</v>
      </c>
      <c r="Q71" s="101">
        <f t="shared" si="1"/>
        <v>96.300283840657727</v>
      </c>
      <c r="R71" s="109">
        <f xml:space="preserve"> ROUND(R70 - ((R70 / Stats!$B$27)*(Stats!$B$21*S70)),0)</f>
        <v>8308638</v>
      </c>
      <c r="S71" s="99">
        <f xml:space="preserve"> ROUND(S70 + (R70/Stats!$B$27)*(Stats!$B$21*S70)-(S70*Stats!$B$22),0)</f>
        <v>904007</v>
      </c>
      <c r="T71" s="101">
        <f t="shared" si="6"/>
        <v>96.549031146882712</v>
      </c>
      <c r="U71" s="99">
        <f xml:space="preserve"> ROUND(U70 + (S70 * Stats!$B$22),0)</f>
        <v>826996</v>
      </c>
      <c r="V71" s="99">
        <f>ROUND(S71*(Stats!$I$14/100),0)</f>
        <v>21877</v>
      </c>
      <c r="W71" s="105">
        <f t="shared" si="2"/>
        <v>93.088631896512325</v>
      </c>
      <c r="X71" s="118">
        <v>69</v>
      </c>
      <c r="Y71" s="113">
        <f>GROWTH($Y$25:Y70,$X$25:X70,X71:$X$78,1)</f>
        <v>5282983.4825185183</v>
      </c>
      <c r="Z71" s="7">
        <f t="shared" si="10"/>
        <v>99.409481401877713</v>
      </c>
      <c r="AA71" s="14">
        <f>GROWTH($AA$25:AA70,$X$25:X70,X71:$X$78,1)</f>
        <v>416160.95454244473</v>
      </c>
      <c r="AB71" s="7">
        <f t="shared" si="12"/>
        <v>92.503621577305324</v>
      </c>
      <c r="AC71" s="14">
        <f>GROWTH($AC$25:AC70,$X$25:X70,X71:$X$78,1)</f>
        <v>107310.72529267578</v>
      </c>
      <c r="AD71" s="7">
        <f t="shared" si="16"/>
        <v>70.928348573812798</v>
      </c>
      <c r="AE71" s="124"/>
    </row>
    <row r="72" spans="1:41" ht="30" x14ac:dyDescent="0.25">
      <c r="A72" s="4">
        <v>43960</v>
      </c>
      <c r="B72" s="121">
        <v>31677</v>
      </c>
      <c r="C72" s="6">
        <f t="shared" si="14"/>
        <v>480</v>
      </c>
      <c r="D72" s="19">
        <f t="shared" si="7"/>
        <v>1.54</v>
      </c>
      <c r="E72" s="35">
        <f t="shared" si="15"/>
        <v>152</v>
      </c>
      <c r="F72" s="25">
        <f>ROUND((B72/Stats!$B$8)*100000,0)</f>
        <v>316</v>
      </c>
      <c r="G72" s="22">
        <f>ROUND((C72/Stats!$B$8)*100000,0)</f>
        <v>5</v>
      </c>
      <c r="H72" s="213">
        <v>1530</v>
      </c>
      <c r="I72" s="6">
        <f t="shared" si="9"/>
        <v>18</v>
      </c>
      <c r="J72" s="35">
        <f t="shared" si="8"/>
        <v>1.19</v>
      </c>
      <c r="K72" s="9">
        <f t="shared" si="13"/>
        <v>4.83</v>
      </c>
      <c r="L72" s="43">
        <f>ROUND(((H72/Stats!$B$8)*100000),0)</f>
        <v>15</v>
      </c>
      <c r="M72" s="96">
        <f>Stats!$B$8-N72</f>
        <v>8126515</v>
      </c>
      <c r="N72" s="97">
        <f>ROUND(Stats!$B$33/(1+(Stats!$B$34*EXP(-1*Stats!$B$32*(X72-$X$25)))),0)</f>
        <v>1912592</v>
      </c>
      <c r="O72" s="101">
        <f t="shared" si="5"/>
        <v>98.343765946945297</v>
      </c>
      <c r="P72" s="97">
        <f>ROUND(N72*(Stats!$I$14/100),0)</f>
        <v>46285</v>
      </c>
      <c r="Q72" s="101">
        <f t="shared" si="1"/>
        <v>96.694393431997412</v>
      </c>
      <c r="R72" s="109">
        <f xml:space="preserve"> ROUND(R71 - ((R71 / Stats!$B$27)*(Stats!$B$21*S71)),0)</f>
        <v>8064945</v>
      </c>
      <c r="S72" s="99">
        <f xml:space="preserve"> ROUND(S71 + (R71/Stats!$B$27)*(Stats!$B$21*S71)-(S71*Stats!$B$22),0)</f>
        <v>1018556</v>
      </c>
      <c r="T72" s="101">
        <f t="shared" si="6"/>
        <v>96.890008993123601</v>
      </c>
      <c r="U72" s="99">
        <f xml:space="preserve"> ROUND(U71 + (S71 * Stats!$B$22),0)</f>
        <v>956140</v>
      </c>
      <c r="V72" s="99">
        <f>ROUND(S72*(Stats!$I$14/100),0)</f>
        <v>24649</v>
      </c>
      <c r="W72" s="105">
        <f t="shared" si="2"/>
        <v>93.792851636983244</v>
      </c>
      <c r="X72" s="118">
        <v>70</v>
      </c>
      <c r="Y72" s="113">
        <f>GROWTH($Y$25:Y71,$X$25:X71,X72:$X$78,1)</f>
        <v>6436989.1192366974</v>
      </c>
      <c r="Z72" s="7">
        <f t="shared" si="10"/>
        <v>99.507891043262219</v>
      </c>
      <c r="AA72" s="14">
        <f>GROWTH($AA$25:AA71,$X$25:X71,X72:$X$78,1)</f>
        <v>476496.87831412919</v>
      </c>
      <c r="AB72" s="7">
        <f t="shared" si="12"/>
        <v>93.352107549565716</v>
      </c>
      <c r="AC72" s="14">
        <f>GROWTH($AC$25:AC71,$X$25:X71,X72:$X$78,1)</f>
        <v>118541.06747004285</v>
      </c>
      <c r="AD72" s="7">
        <f t="shared" si="16"/>
        <v>73.277615364814167</v>
      </c>
      <c r="AE72" s="125" t="s">
        <v>296</v>
      </c>
    </row>
    <row r="73" spans="1:41" x14ac:dyDescent="0.25">
      <c r="A73" s="4">
        <v>43961</v>
      </c>
      <c r="B73" s="121">
        <v>32258</v>
      </c>
      <c r="C73" s="6">
        <f t="shared" si="14"/>
        <v>581</v>
      </c>
      <c r="D73" s="19">
        <f t="shared" si="7"/>
        <v>1.83</v>
      </c>
      <c r="E73" s="35">
        <f t="shared" si="15"/>
        <v>180</v>
      </c>
      <c r="F73" s="25">
        <f>ROUND((B73/Stats!$B$8)*100000,0)</f>
        <v>321</v>
      </c>
      <c r="G73" s="22">
        <f>ROUND((C73/Stats!$B$8)*100000,0)</f>
        <v>6</v>
      </c>
      <c r="H73" s="213">
        <v>1569</v>
      </c>
      <c r="I73" s="6">
        <f t="shared" si="9"/>
        <v>39</v>
      </c>
      <c r="J73" s="35">
        <f t="shared" si="8"/>
        <v>2.5499999999999998</v>
      </c>
      <c r="K73" s="9">
        <f t="shared" si="13"/>
        <v>4.8600000000000003</v>
      </c>
      <c r="L73" s="43">
        <f>ROUND(((H73/Stats!$B$8)*100000),0)</f>
        <v>16</v>
      </c>
      <c r="M73" s="96">
        <f>Stats!$B$8-N73</f>
        <v>7889155</v>
      </c>
      <c r="N73" s="97">
        <f>ROUND(Stats!$B$33/(1+(Stats!$B$34*EXP(-1*Stats!$B$32*(X73-$X$25)))),0)</f>
        <v>2149952</v>
      </c>
      <c r="O73" s="101">
        <f t="shared" si="5"/>
        <v>98.499594409549601</v>
      </c>
      <c r="P73" s="97">
        <f>ROUND(N73*(Stats!$I$14/100),0)</f>
        <v>52029</v>
      </c>
      <c r="Q73" s="101">
        <f t="shared" si="1"/>
        <v>96.984374099060148</v>
      </c>
      <c r="R73" s="109">
        <f xml:space="preserve"> ROUND(R72 - ((R72 / Stats!$B$27)*(Stats!$B$21*S72)),0)</f>
        <v>7798426</v>
      </c>
      <c r="S73" s="99">
        <f xml:space="preserve"> ROUND(S72 + (R72/Stats!$B$27)*(Stats!$B$21*S72)-(S72*Stats!$B$22),0)</f>
        <v>1139567</v>
      </c>
      <c r="T73" s="101">
        <f t="shared" si="6"/>
        <v>97.16927569857674</v>
      </c>
      <c r="U73" s="99">
        <f xml:space="preserve"> ROUND(U72 + (S72 * Stats!$B$22),0)</f>
        <v>1101648</v>
      </c>
      <c r="V73" s="99">
        <f>ROUND(S73*(Stats!$I$14/100),0)</f>
        <v>27578</v>
      </c>
      <c r="W73" s="105">
        <f t="shared" si="2"/>
        <v>94.310682428022346</v>
      </c>
      <c r="X73" s="118">
        <v>71</v>
      </c>
      <c r="Y73" s="113">
        <f>GROWTH($Y$25:Y72,$X$25:X72,X73:$X$78,1)</f>
        <v>7843073.7211804716</v>
      </c>
      <c r="Z73" s="7">
        <f t="shared" si="10"/>
        <v>99.588707168302065</v>
      </c>
      <c r="AA73" s="14">
        <f>GROWTH($AA$25:AA72,$X$25:X72,X73:$X$78,1)</f>
        <v>545580.43604245118</v>
      </c>
      <c r="AB73" s="7">
        <f t="shared" si="12"/>
        <v>94.08739795840296</v>
      </c>
      <c r="AC73" s="14">
        <f>GROWTH($AC$25:AC72,$X$25:X72,X73:$X$78,1)</f>
        <v>130946.69371223007</v>
      </c>
      <c r="AD73" s="7">
        <f t="shared" si="16"/>
        <v>75.365548311673649</v>
      </c>
      <c r="AE73" s="124"/>
    </row>
    <row r="74" spans="1:41" x14ac:dyDescent="0.25">
      <c r="A74" s="4">
        <v>43962</v>
      </c>
      <c r="B74" s="121">
        <v>33180</v>
      </c>
      <c r="C74" s="6">
        <f t="shared" si="14"/>
        <v>922</v>
      </c>
      <c r="D74" s="19">
        <f t="shared" si="7"/>
        <v>2.86</v>
      </c>
      <c r="E74" s="35">
        <f t="shared" si="15"/>
        <v>278</v>
      </c>
      <c r="F74" s="25">
        <f>ROUND((B74/Stats!$B$8)*100000,0)</f>
        <v>331</v>
      </c>
      <c r="G74" s="22">
        <f>ROUND((C74/Stats!$B$8)*100000,0)</f>
        <v>9</v>
      </c>
      <c r="H74" s="213">
        <v>1613</v>
      </c>
      <c r="I74" s="6">
        <f t="shared" si="9"/>
        <v>44</v>
      </c>
      <c r="J74" s="35">
        <f t="shared" si="8"/>
        <v>2.8</v>
      </c>
      <c r="K74" s="9">
        <f t="shared" si="13"/>
        <v>4.8600000000000003</v>
      </c>
      <c r="L74" s="43">
        <f>ROUND(((H74/Stats!$B$8)*100000),0)</f>
        <v>16</v>
      </c>
      <c r="M74" s="96">
        <f>Stats!$B$8-N74</f>
        <v>7641307</v>
      </c>
      <c r="N74" s="97">
        <f>ROUND(Stats!$B$33/(1+(Stats!$B$34*EXP(-1*Stats!$B$32*(X74-$X$25)))),0)</f>
        <v>2397800</v>
      </c>
      <c r="O74" s="101">
        <f t="shared" si="5"/>
        <v>98.61623154558346</v>
      </c>
      <c r="P74" s="97">
        <f>ROUND(N74*(Stats!$I$14/100),0)</f>
        <v>58027</v>
      </c>
      <c r="Q74" s="101">
        <f t="shared" si="1"/>
        <v>97.220259534354696</v>
      </c>
      <c r="R74" s="109">
        <f xml:space="preserve"> ROUND(R73 - ((R73 / Stats!$B$27)*(Stats!$B$21*S73)),0)</f>
        <v>7510097</v>
      </c>
      <c r="S74" s="99">
        <f xml:space="preserve"> ROUND(S73 + (R73/Stats!$B$27)*(Stats!$B$21*S73)-(S73*Stats!$B$22),0)</f>
        <v>1265101</v>
      </c>
      <c r="T74" s="101">
        <f t="shared" si="6"/>
        <v>97.37728450139555</v>
      </c>
      <c r="U74" s="99">
        <f xml:space="preserve"> ROUND(U73 + (S73 * Stats!$B$22),0)</f>
        <v>1264443</v>
      </c>
      <c r="V74" s="99">
        <f>ROUND(S74*(Stats!$I$14/100),0)</f>
        <v>30615</v>
      </c>
      <c r="W74" s="105">
        <f t="shared" si="2"/>
        <v>94.73134084599053</v>
      </c>
      <c r="X74" s="118">
        <v>72</v>
      </c>
      <c r="Y74" s="113">
        <f>GROWTH($Y$25:Y73,$X$25:X73,X74:$X$78,1)</f>
        <v>9556300.9749449342</v>
      </c>
      <c r="Z74" s="7">
        <f t="shared" si="10"/>
        <v>99.652794527014237</v>
      </c>
      <c r="AA74" s="14">
        <f>GROWTH($AA$25:AA73,$X$25:X73,X74:$X$78,1)</f>
        <v>624679.87879669119</v>
      </c>
      <c r="AB74" s="7">
        <f t="shared" si="12"/>
        <v>94.688479471451203</v>
      </c>
      <c r="AC74" s="14">
        <f>GROWTH($AC$25:AC73,$X$25:X73,X74:$X$78,1)</f>
        <v>144650.60050600511</v>
      </c>
      <c r="AD74" s="7">
        <f t="shared" si="16"/>
        <v>77.061968713622761</v>
      </c>
      <c r="AE74" s="124"/>
    </row>
    <row r="75" spans="1:41" x14ac:dyDescent="0.25">
      <c r="A75" s="4">
        <v>43963</v>
      </c>
      <c r="B75" s="121">
        <v>34428</v>
      </c>
      <c r="C75" s="6">
        <f t="shared" si="14"/>
        <v>1248</v>
      </c>
      <c r="D75" s="19">
        <f t="shared" si="7"/>
        <v>3.76</v>
      </c>
      <c r="E75" s="35">
        <f t="shared" si="15"/>
        <v>362</v>
      </c>
      <c r="F75" s="25">
        <f>ROUND((B75/Stats!$B$8)*100000,0)</f>
        <v>343</v>
      </c>
      <c r="G75" s="22">
        <f>ROUND((C75/Stats!$B$8)*100000,0)</f>
        <v>12</v>
      </c>
      <c r="H75" s="213">
        <v>1659</v>
      </c>
      <c r="I75" s="6">
        <f t="shared" si="9"/>
        <v>46</v>
      </c>
      <c r="J75" s="35">
        <f t="shared" si="8"/>
        <v>2.85</v>
      </c>
      <c r="K75" s="9">
        <f t="shared" si="13"/>
        <v>4.82</v>
      </c>
      <c r="L75" s="43">
        <f>ROUND(((H75/Stats!$B$8)*100000),0)</f>
        <v>17</v>
      </c>
      <c r="M75" s="96">
        <f>Stats!$B$8-N75</f>
        <v>7386628</v>
      </c>
      <c r="N75" s="97">
        <f>ROUND(Stats!$B$33/(1+(Stats!$B$34*EXP(-1*Stats!$B$32*(X75-$X$25)))),0)</f>
        <v>2652479</v>
      </c>
      <c r="O75" s="101">
        <f t="shared" si="5"/>
        <v>98.702044389418347</v>
      </c>
      <c r="P75" s="97">
        <f>ROUND(N75*(Stats!$I$14/100),0)</f>
        <v>64190</v>
      </c>
      <c r="Q75" s="101">
        <f t="shared" si="1"/>
        <v>97.415485278080695</v>
      </c>
      <c r="R75" s="109">
        <f xml:space="preserve"> ROUND(R74 - ((R74 / Stats!$B$27)*(Stats!$B$21*S74)),0)</f>
        <v>7201840</v>
      </c>
      <c r="S75" s="99">
        <f xml:space="preserve"> ROUND(S74 + (R74/Stats!$B$27)*(Stats!$B$21*S74)-(S74*Stats!$B$22),0)</f>
        <v>1392629</v>
      </c>
      <c r="T75" s="101">
        <f t="shared" si="6"/>
        <v>97.527841226916863</v>
      </c>
      <c r="U75" s="99">
        <f xml:space="preserve"> ROUND(U74 + (S74 * Stats!$B$22),0)</f>
        <v>1445172</v>
      </c>
      <c r="V75" s="99">
        <f>ROUND(S75*(Stats!$I$14/100),0)</f>
        <v>33702</v>
      </c>
      <c r="W75" s="105">
        <f t="shared" si="2"/>
        <v>95.077443475164685</v>
      </c>
      <c r="X75" s="118">
        <v>73</v>
      </c>
      <c r="Y75" s="113">
        <f>GROWTH($Y$25:Y74,$X$25:X74,X75:$X$78,1)</f>
        <v>11643762.58215113</v>
      </c>
      <c r="Z75" s="7">
        <f t="shared" si="10"/>
        <v>99.704322380698699</v>
      </c>
      <c r="AA75" s="14">
        <f>GROWTH($AA$25:AA74,$X$25:X74,X75:$X$78,1)</f>
        <v>715247.33145505539</v>
      </c>
      <c r="AB75" s="7">
        <f t="shared" si="12"/>
        <v>95.186560160949952</v>
      </c>
      <c r="AC75" s="14">
        <f>GROWTH($AC$25:AC74,$X$25:X74,X75:$X$78,1)</f>
        <v>159788.65623541674</v>
      </c>
      <c r="AD75" s="7">
        <f t="shared" si="16"/>
        <v>78.454039973102212</v>
      </c>
      <c r="AE75" s="125" t="s">
        <v>31</v>
      </c>
    </row>
    <row r="76" spans="1:41" ht="60" x14ac:dyDescent="0.25">
      <c r="A76" s="37">
        <v>43964</v>
      </c>
      <c r="B76" s="121">
        <v>35329</v>
      </c>
      <c r="C76" s="6">
        <f t="shared" si="14"/>
        <v>901</v>
      </c>
      <c r="D76" s="19">
        <f t="shared" si="7"/>
        <v>2.62</v>
      </c>
      <c r="E76" s="35">
        <f t="shared" si="15"/>
        <v>255</v>
      </c>
      <c r="F76" s="25">
        <f>ROUND((B76/Stats!$B$8)*100000,0)</f>
        <v>352</v>
      </c>
      <c r="G76" s="22">
        <f>ROUND((C76/Stats!$B$8)*100000,0)</f>
        <v>9</v>
      </c>
      <c r="H76" s="213">
        <v>1709</v>
      </c>
      <c r="I76" s="6">
        <f t="shared" si="9"/>
        <v>50</v>
      </c>
      <c r="J76" s="35">
        <f t="shared" si="8"/>
        <v>3.01</v>
      </c>
      <c r="K76" s="9">
        <f t="shared" si="13"/>
        <v>4.84</v>
      </c>
      <c r="L76" s="43">
        <f>ROUND(((H76/Stats!$B$8)*100000),0)</f>
        <v>17</v>
      </c>
      <c r="M76" s="96">
        <f>Stats!$B$8-N76</f>
        <v>7129206</v>
      </c>
      <c r="N76" s="97">
        <f>ROUND(Stats!$B$33/(1+(Stats!$B$34*EXP(-1*Stats!$B$32*(X76-$X$25)))),0)</f>
        <v>2909901</v>
      </c>
      <c r="O76" s="101">
        <f t="shared" si="5"/>
        <v>98.785903712875452</v>
      </c>
      <c r="P76" s="97">
        <f>ROUND(N76*(Stats!$I$14/100),0)</f>
        <v>70420</v>
      </c>
      <c r="Q76" s="101">
        <f t="shared" si="1"/>
        <v>97.573132632774787</v>
      </c>
      <c r="R76" s="109">
        <f xml:space="preserve"> ROUND(R75 - ((R75 / Stats!$B$27)*(Stats!$B$21*S75)),0)</f>
        <v>6876438</v>
      </c>
      <c r="S76" s="99">
        <f xml:space="preserve"> ROUND(S75 + (R75/Stats!$B$27)*(Stats!$B$21*S75)-(S75*Stats!$B$22),0)</f>
        <v>1519084</v>
      </c>
      <c r="T76" s="101">
        <f t="shared" si="6"/>
        <v>97.674322157300054</v>
      </c>
      <c r="U76" s="99">
        <f xml:space="preserve"> ROUND(U75 + (S75 * Stats!$B$22),0)</f>
        <v>1644119</v>
      </c>
      <c r="V76" s="99">
        <f>ROUND(S76*(Stats!$I$14/100),0)</f>
        <v>36762</v>
      </c>
      <c r="W76" s="105">
        <f t="shared" si="2"/>
        <v>95.351177846689524</v>
      </c>
      <c r="X76" s="118">
        <v>74</v>
      </c>
      <c r="Y76" s="115">
        <f>GROWTH($Y$25:Y75,$X$25:X75,X76:$X$78,1)</f>
        <v>14187205.637930738</v>
      </c>
      <c r="AA76" s="14">
        <f>GROWTH($AA$25:AA75,$X$25:X75,X76:$X$78,1)</f>
        <v>818945.45113093895</v>
      </c>
      <c r="AB76" s="7">
        <f t="shared" si="12"/>
        <v>95.686037458146728</v>
      </c>
      <c r="AC76" s="14">
        <f>GROWTH($AC$25:AC75,$X$25:X75,X76:$X$78,1)</f>
        <v>176510.94825880212</v>
      </c>
      <c r="AD76" s="7">
        <f t="shared" si="16"/>
        <v>79.984810943171496</v>
      </c>
      <c r="AE76" s="125" t="s">
        <v>232</v>
      </c>
      <c r="AF76" s="140">
        <v>925</v>
      </c>
      <c r="AG76" s="138">
        <f t="shared" ref="AG76:AG107" si="17">AF76-C76</f>
        <v>24</v>
      </c>
      <c r="AH76" s="138">
        <f t="shared" ref="AH76:AH107" si="18">IFERROR(ROUND(100*(AG76/AVERAGE(AF76,C76)),2),"")</f>
        <v>2.63</v>
      </c>
      <c r="AI76" s="140">
        <v>51</v>
      </c>
      <c r="AJ76" s="138">
        <f t="shared" ref="AJ76:AJ107" si="19">AI76-I76</f>
        <v>1</v>
      </c>
      <c r="AK76" s="5">
        <f t="shared" ref="AK76:AK107" si="20">IFERROR(ROUND(100*(AJ76/AVERAGE(AI76,I76)),2),"")</f>
        <v>1.98</v>
      </c>
      <c r="AL76" s="5" t="str">
        <f>LEFT(AF76,1)</f>
        <v>9</v>
      </c>
      <c r="AM76" s="5" t="str">
        <f>LEFT(AI76,1)</f>
        <v>5</v>
      </c>
      <c r="AN76" s="5" t="str">
        <f>RIGHT(LEFT(AF76,2),1)</f>
        <v>2</v>
      </c>
      <c r="AO76" s="5" t="str">
        <f>RIGHT(LEFT(AI76,2),1)</f>
        <v>1</v>
      </c>
    </row>
    <row r="77" spans="1:41" ht="30" x14ac:dyDescent="0.25">
      <c r="A77" s="37">
        <v>43965</v>
      </c>
      <c r="B77" s="121">
        <v>36259</v>
      </c>
      <c r="C77" s="6">
        <f t="shared" si="14"/>
        <v>930</v>
      </c>
      <c r="D77" s="19">
        <f t="shared" si="7"/>
        <v>2.63</v>
      </c>
      <c r="E77" s="35">
        <f t="shared" si="15"/>
        <v>256</v>
      </c>
      <c r="F77" s="25">
        <f>ROUND((B77/Stats!$B$8)*100000,0)</f>
        <v>361</v>
      </c>
      <c r="G77" s="22">
        <f>ROUND((C77/Stats!$B$8)*100000,0)</f>
        <v>9</v>
      </c>
      <c r="H77" s="213">
        <v>1755</v>
      </c>
      <c r="I77" s="6">
        <f t="shared" ref="I77" si="21">H77-H76</f>
        <v>46</v>
      </c>
      <c r="J77" s="35">
        <f t="shared" ref="J77" si="22">IFERROR(ROUND(((H77/H76)-1)*100,2),"")</f>
        <v>2.69</v>
      </c>
      <c r="K77" s="9">
        <f t="shared" si="13"/>
        <v>4.84</v>
      </c>
      <c r="L77" s="43">
        <f>ROUND(((H77/Stats!$B$8)*100000),0)</f>
        <v>17</v>
      </c>
      <c r="M77" s="96">
        <f>Stats!$B$8-N77</f>
        <v>6873310</v>
      </c>
      <c r="N77" s="97">
        <f>ROUND(Stats!$B$33/(1+(Stats!$B$34*EXP(-1*Stats!$B$32*(X77-$X$25)))),0)</f>
        <v>3165797</v>
      </c>
      <c r="O77" s="101">
        <f t="shared" si="5"/>
        <v>98.854664402044733</v>
      </c>
      <c r="P77" s="97">
        <f>ROUND(N77*(Stats!$I$14/100),0)</f>
        <v>76612</v>
      </c>
      <c r="Q77" s="101">
        <f t="shared" si="1"/>
        <v>97.709236150994627</v>
      </c>
      <c r="R77" s="109">
        <f xml:space="preserve"> ROUND(R76 - ((R76 / Stats!$B$27)*(Stats!$B$21*S76)),0)</f>
        <v>6537526</v>
      </c>
      <c r="S77" s="99">
        <f xml:space="preserve"> ROUND(S76 + (R76/Stats!$B$27)*(Stats!$B$21*S76)-(S76*Stats!$B$22),0)</f>
        <v>1640984</v>
      </c>
      <c r="T77" s="101">
        <f t="shared" si="6"/>
        <v>97.790411119182153</v>
      </c>
      <c r="U77" s="99">
        <f xml:space="preserve"> ROUND(U76 + (S76 * Stats!$B$22),0)</f>
        <v>1861131</v>
      </c>
      <c r="V77" s="99">
        <f>ROUND(S77*(Stats!$I$14/100),0)</f>
        <v>39712</v>
      </c>
      <c r="W77" s="105">
        <f t="shared" si="2"/>
        <v>95.580680902497988</v>
      </c>
      <c r="X77" s="118">
        <v>75</v>
      </c>
      <c r="Y77" s="115">
        <f>GROWTH($Y$25:Y76,$X$25:X76,X77:$X$78,1)</f>
        <v>17286233.929355036</v>
      </c>
      <c r="AA77" s="14">
        <f>GROWTH($AA$25:AA76,$X$25:X76,X77:$X$78,1)</f>
        <v>937677.95059603383</v>
      </c>
      <c r="AB77" s="7">
        <f t="shared" si="12"/>
        <v>96.133107323580333</v>
      </c>
      <c r="AC77" s="14">
        <f>GROWTH($AC$25:AC76,$X$25:X76,X77:$X$78,1)</f>
        <v>194983.27096085763</v>
      </c>
      <c r="AD77" s="7">
        <f t="shared" si="16"/>
        <v>81.404045679755328</v>
      </c>
      <c r="AE77" s="125" t="s">
        <v>33</v>
      </c>
      <c r="AF77" s="140">
        <v>962</v>
      </c>
      <c r="AG77" s="138">
        <f t="shared" si="17"/>
        <v>32</v>
      </c>
      <c r="AH77" s="138">
        <f t="shared" si="18"/>
        <v>3.38</v>
      </c>
      <c r="AI77" s="140">
        <v>47</v>
      </c>
      <c r="AJ77" s="138">
        <f t="shared" si="19"/>
        <v>1</v>
      </c>
      <c r="AK77" s="5">
        <f t="shared" si="20"/>
        <v>2.15</v>
      </c>
      <c r="AL77" s="5" t="str">
        <f t="shared" ref="AL77:AL140" si="23">LEFT(AF77,1)</f>
        <v>9</v>
      </c>
      <c r="AM77" s="5" t="str">
        <f t="shared" ref="AM77:AM140" si="24">LEFT(AI77,1)</f>
        <v>4</v>
      </c>
      <c r="AN77" s="5" t="str">
        <f t="shared" ref="AN77:AN140" si="25">RIGHT(LEFT(AF77,2),1)</f>
        <v>6</v>
      </c>
      <c r="AO77" s="5" t="str">
        <f t="shared" ref="AO77:AO140" si="26">RIGHT(LEFT(AI77,2),1)</f>
        <v>7</v>
      </c>
    </row>
    <row r="78" spans="1:41" ht="75.75" thickBot="1" x14ac:dyDescent="0.3">
      <c r="A78" s="10">
        <v>43966</v>
      </c>
      <c r="B78" s="122">
        <v>37303</v>
      </c>
      <c r="C78" s="17">
        <f t="shared" si="14"/>
        <v>1044</v>
      </c>
      <c r="D78" s="20">
        <f t="shared" ref="D78" si="27">ROUND(((B78/B77)-1)*100,2)</f>
        <v>2.88</v>
      </c>
      <c r="E78" s="36">
        <f t="shared" si="15"/>
        <v>280</v>
      </c>
      <c r="F78" s="26">
        <f>ROUND((B78/Stats!$B$8)*100000,0)</f>
        <v>372</v>
      </c>
      <c r="G78" s="23">
        <f>ROUND((C78/Stats!$B$8)*100000,0)</f>
        <v>10</v>
      </c>
      <c r="H78" s="214">
        <v>1793</v>
      </c>
      <c r="I78" s="17">
        <f t="shared" ref="I78" si="28">H78-H77</f>
        <v>38</v>
      </c>
      <c r="J78" s="36">
        <f t="shared" ref="J78" si="29">IFERROR(ROUND(((H78/H77)-1)*100,2),"")</f>
        <v>2.17</v>
      </c>
      <c r="K78" s="11">
        <f t="shared" si="13"/>
        <v>4.8099999999999996</v>
      </c>
      <c r="L78" s="44">
        <f>ROUND(((H78/Stats!$B$8)*100000),0)</f>
        <v>18</v>
      </c>
      <c r="M78" s="106">
        <f>Stats!$B$8-N78</f>
        <v>6623110</v>
      </c>
      <c r="N78" s="54">
        <f>ROUND(Stats!$B$33/(1+(Stats!$B$34*EXP(-1*Stats!$B$32*(X78-$X$25)))),0)</f>
        <v>3415997</v>
      </c>
      <c r="O78" s="12">
        <f t="shared" si="5"/>
        <v>98.907990844254257</v>
      </c>
      <c r="P78" s="54">
        <f>ROUND(N78*(Stats!$I$14/100),0)</f>
        <v>82667</v>
      </c>
      <c r="Q78" s="12">
        <f t="shared" si="1"/>
        <v>97.831057132834147</v>
      </c>
      <c r="R78" s="111">
        <f xml:space="preserve"> ROUND(R77 - ((R77 / Stats!$B$27)*(Stats!$B$21*S77)),0)</f>
        <v>6189462</v>
      </c>
      <c r="S78" s="56">
        <f xml:space="preserve"> ROUND(S77 + (R77/Stats!$B$27)*(Stats!$B$21*S77)-(S77*Stats!$B$22),0)</f>
        <v>1754622</v>
      </c>
      <c r="T78" s="12">
        <f t="shared" si="6"/>
        <v>97.874015030017858</v>
      </c>
      <c r="U78" s="56">
        <f xml:space="preserve"> ROUND(U77 + (S77 * Stats!$B$22),0)</f>
        <v>2095557</v>
      </c>
      <c r="V78" s="56">
        <f>ROUND(S78*(Stats!$I$14/100),0)</f>
        <v>42462</v>
      </c>
      <c r="W78" s="107">
        <f t="shared" si="2"/>
        <v>95.777400970279317</v>
      </c>
      <c r="X78" s="119">
        <v>76</v>
      </c>
      <c r="Y78" s="116">
        <f>GROWTH($Y$25:Y77,$X$25:X77,X78:$X$78,1)</f>
        <v>21062208.51987068</v>
      </c>
      <c r="Z78" s="12"/>
      <c r="AA78" s="15">
        <f>GROWTH($AA$25:AA77,$X$25:X77,X78:$X$78,1)</f>
        <v>1073624.5470559376</v>
      </c>
      <c r="AB78" s="12">
        <f t="shared" si="12"/>
        <v>96.525507906624227</v>
      </c>
      <c r="AC78" s="15">
        <f>GROWTH($AC$25:AC77,$X$25:X77,X78:$X$78,1)</f>
        <v>215388.76953316285</v>
      </c>
      <c r="AD78" s="12">
        <f t="shared" si="16"/>
        <v>82.681084031980348</v>
      </c>
      <c r="AE78" s="125" t="s">
        <v>370</v>
      </c>
      <c r="AF78" s="140">
        <v>1073</v>
      </c>
      <c r="AG78" s="138">
        <f t="shared" si="17"/>
        <v>29</v>
      </c>
      <c r="AH78" s="138">
        <f t="shared" si="18"/>
        <v>2.74</v>
      </c>
      <c r="AI78" s="140">
        <v>40</v>
      </c>
      <c r="AJ78" s="138">
        <f t="shared" si="19"/>
        <v>2</v>
      </c>
      <c r="AK78" s="5">
        <f t="shared" si="20"/>
        <v>5.13</v>
      </c>
      <c r="AL78" s="5" t="str">
        <f t="shared" si="23"/>
        <v>1</v>
      </c>
      <c r="AM78" s="5" t="str">
        <f t="shared" si="24"/>
        <v>4</v>
      </c>
      <c r="AN78" s="5" t="str">
        <f t="shared" si="25"/>
        <v>0</v>
      </c>
      <c r="AO78" s="5" t="str">
        <f t="shared" si="26"/>
        <v>0</v>
      </c>
    </row>
    <row r="79" spans="1:41" ht="15.75" thickTop="1" x14ac:dyDescent="0.25">
      <c r="A79" s="37">
        <v>43967</v>
      </c>
      <c r="B79" s="121">
        <v>37974</v>
      </c>
      <c r="C79" s="6">
        <f t="shared" si="14"/>
        <v>671</v>
      </c>
      <c r="D79" s="19">
        <f t="shared" ref="D79" si="30">ROUND(((B79/B78)-1)*100,2)</f>
        <v>1.8</v>
      </c>
      <c r="E79" s="35">
        <f t="shared" si="15"/>
        <v>177</v>
      </c>
      <c r="F79" s="25">
        <f>ROUND((B79/Stats!$B$8)*100000,0)</f>
        <v>378</v>
      </c>
      <c r="G79" s="22">
        <f>ROUND((C79/Stats!$B$8)*100000,0)</f>
        <v>7</v>
      </c>
      <c r="H79" s="213">
        <v>1821</v>
      </c>
      <c r="I79" s="6">
        <f t="shared" ref="I79" si="31">H79-H78</f>
        <v>28</v>
      </c>
      <c r="J79" s="35">
        <f t="shared" ref="J79" si="32">IFERROR(ROUND(((H79/H78)-1)*100,2),"")</f>
        <v>1.56</v>
      </c>
      <c r="K79" s="9">
        <f t="shared" si="13"/>
        <v>4.8</v>
      </c>
      <c r="L79" s="43">
        <f>ROUND(((H79/Stats!$B$8)*100000),0)</f>
        <v>18</v>
      </c>
      <c r="M79" s="96">
        <f>Stats!$B$8-N79</f>
        <v>6382407</v>
      </c>
      <c r="N79" s="97">
        <f>ROUND(Stats!$B$33/(1+(Stats!$B$34*EXP(-1*Stats!$B$32*(X79-$X$25)))),0)</f>
        <v>3656700</v>
      </c>
      <c r="O79" s="101">
        <f t="shared" si="5"/>
        <v>98.96152268438756</v>
      </c>
      <c r="P79" s="97">
        <f>ROUND(N79*(Stats!$I$14/100),0)</f>
        <v>88492</v>
      </c>
      <c r="Q79" s="101">
        <f t="shared" si="1"/>
        <v>97.942186864349324</v>
      </c>
      <c r="R79" s="109">
        <f xml:space="preserve"> ROUND(R78 - ((R78 / Stats!$B$27)*(Stats!$B$21*S78)),0)</f>
        <v>5837109</v>
      </c>
      <c r="S79" s="99">
        <f xml:space="preserve"> ROUND(S78 + (R78/Stats!$B$27)*(Stats!$B$21*S78)-(S78*Stats!$B$22),0)</f>
        <v>1856315</v>
      </c>
      <c r="T79" s="101">
        <f t="shared" si="6"/>
        <v>97.95433425900238</v>
      </c>
      <c r="U79" s="99">
        <f xml:space="preserve"> ROUND(U78 + (S78 * Stats!$B$22),0)</f>
        <v>2346217</v>
      </c>
      <c r="V79" s="99">
        <f>ROUND(S79*(Stats!$I$14/100),0)</f>
        <v>44923</v>
      </c>
      <c r="W79" s="105">
        <f t="shared" si="2"/>
        <v>95.946397168488303</v>
      </c>
      <c r="X79" s="118">
        <v>77</v>
      </c>
      <c r="Y79" s="115">
        <f>GROWTH($Y$25:Y78,$X$25:X78,X79:$X$186,1)</f>
        <v>25663000.370553784</v>
      </c>
      <c r="AA79" s="14">
        <f>GROWTH($AA$25:AA78,$X$25:X78,X79:$X$186,1)</f>
        <v>1229280.9778755906</v>
      </c>
      <c r="AB79" s="7">
        <f t="shared" si="12"/>
        <v>96.910877115692003</v>
      </c>
      <c r="AC79" s="14">
        <f>GROWTH($AC$25:AC78,$X$25:X78,X79:$X$186,1)</f>
        <v>237929.7557805508</v>
      </c>
      <c r="AD79" s="7">
        <f t="shared" si="16"/>
        <v>84.039827269429694</v>
      </c>
      <c r="AE79" s="124" t="s">
        <v>38</v>
      </c>
      <c r="AF79" s="140">
        <v>694</v>
      </c>
      <c r="AG79" s="138">
        <f t="shared" si="17"/>
        <v>23</v>
      </c>
      <c r="AH79" s="138">
        <f t="shared" si="18"/>
        <v>3.37</v>
      </c>
      <c r="AI79" s="140">
        <v>29</v>
      </c>
      <c r="AJ79" s="138">
        <f t="shared" si="19"/>
        <v>1</v>
      </c>
      <c r="AK79" s="5">
        <f t="shared" si="20"/>
        <v>3.51</v>
      </c>
      <c r="AL79" s="5" t="str">
        <f t="shared" si="23"/>
        <v>6</v>
      </c>
      <c r="AM79" s="5" t="str">
        <f t="shared" si="24"/>
        <v>2</v>
      </c>
      <c r="AN79" s="5" t="str">
        <f t="shared" si="25"/>
        <v>9</v>
      </c>
      <c r="AO79" s="5" t="str">
        <f t="shared" si="26"/>
        <v>9</v>
      </c>
    </row>
    <row r="80" spans="1:41" x14ac:dyDescent="0.25">
      <c r="A80" s="37">
        <v>43968</v>
      </c>
      <c r="B80" s="121">
        <v>38451</v>
      </c>
      <c r="C80" s="6">
        <f t="shared" si="14"/>
        <v>477</v>
      </c>
      <c r="D80" s="19">
        <f t="shared" ref="D80" si="33">ROUND(((B80/B79)-1)*100,2)</f>
        <v>1.26</v>
      </c>
      <c r="E80" s="35">
        <f t="shared" si="15"/>
        <v>124</v>
      </c>
      <c r="F80" s="25">
        <f>ROUND((B80/Stats!$B$8)*100000,0)</f>
        <v>383</v>
      </c>
      <c r="G80" s="22">
        <f>ROUND((C80/Stats!$B$8)*100000,0)</f>
        <v>5</v>
      </c>
      <c r="H80" s="213">
        <v>1839</v>
      </c>
      <c r="I80" s="6">
        <f t="shared" ref="I80" si="34">H80-H79</f>
        <v>18</v>
      </c>
      <c r="J80" s="35">
        <f t="shared" ref="J80" si="35">IFERROR(ROUND(((H80/H79)-1)*100,2),"")</f>
        <v>0.99</v>
      </c>
      <c r="K80" s="9">
        <f t="shared" si="13"/>
        <v>4.78</v>
      </c>
      <c r="L80" s="43">
        <f>ROUND(((H80/Stats!$B$8)*100000),0)</f>
        <v>18</v>
      </c>
      <c r="M80" s="96">
        <f>Stats!$B$8-N80</f>
        <v>6154423</v>
      </c>
      <c r="N80" s="97">
        <f>ROUND(Stats!$B$33/(1+(Stats!$B$34*EXP(-1*Stats!$B$32*(X80-$X$25)))),0)</f>
        <v>3884684</v>
      </c>
      <c r="O80" s="101">
        <f t="shared" si="5"/>
        <v>99.010189760608583</v>
      </c>
      <c r="P80" s="97">
        <f>ROUND(N80*(Stats!$I$14/100),0)</f>
        <v>94009</v>
      </c>
      <c r="Q80" s="101">
        <f t="shared" si="1"/>
        <v>98.043804316607989</v>
      </c>
      <c r="R80" s="109">
        <f xml:space="preserve"> ROUND(R79 - ((R79 / Stats!$B$27)*(Stats!$B$21*S79)),0)</f>
        <v>5485556</v>
      </c>
      <c r="S80" s="99">
        <f xml:space="preserve"> ROUND(S79 + (R79/Stats!$B$27)*(Stats!$B$21*S79)-(S79*Stats!$B$22),0)</f>
        <v>1942680</v>
      </c>
      <c r="T80" s="101">
        <f t="shared" si="6"/>
        <v>98.020723948360001</v>
      </c>
      <c r="U80" s="99">
        <f xml:space="preserve"> ROUND(U79 + (S79 * Stats!$B$22),0)</f>
        <v>2611405</v>
      </c>
      <c r="V80" s="99">
        <f>ROUND(S80*(Stats!$I$14/100),0)</f>
        <v>47013</v>
      </c>
      <c r="W80" s="105">
        <f t="shared" si="2"/>
        <v>96.088315997702765</v>
      </c>
      <c r="X80" s="118">
        <v>78</v>
      </c>
      <c r="Y80" s="115">
        <f>GROWTH($Y$25:Y79,$X$25:X79,X80:$X$186,1)</f>
        <v>31268781.115603726</v>
      </c>
      <c r="AA80" s="14">
        <f>GROWTH($AA$25:AA79,$X$25:X79,X80:$X$186,1)</f>
        <v>1407504.8178718972</v>
      </c>
      <c r="AB80" s="7">
        <f t="shared" si="12"/>
        <v>97.26814434225976</v>
      </c>
      <c r="AC80" s="14">
        <f>GROWTH($AC$25:AC79,$X$25:X79,X80:$X$186,1)</f>
        <v>262829.71395626443</v>
      </c>
      <c r="AD80" s="7">
        <f t="shared" si="16"/>
        <v>85.370375586073052</v>
      </c>
      <c r="AE80" s="124" t="s">
        <v>60</v>
      </c>
      <c r="AF80" s="140">
        <v>477</v>
      </c>
      <c r="AG80" s="138">
        <f t="shared" si="17"/>
        <v>0</v>
      </c>
      <c r="AH80" s="138">
        <f t="shared" si="18"/>
        <v>0</v>
      </c>
      <c r="AI80" s="140">
        <v>18</v>
      </c>
      <c r="AJ80" s="138">
        <f t="shared" si="19"/>
        <v>0</v>
      </c>
      <c r="AK80" s="5">
        <f t="shared" si="20"/>
        <v>0</v>
      </c>
      <c r="AL80" s="5" t="str">
        <f t="shared" si="23"/>
        <v>4</v>
      </c>
      <c r="AM80" s="5" t="str">
        <f t="shared" si="24"/>
        <v>1</v>
      </c>
      <c r="AN80" s="5" t="str">
        <f t="shared" si="25"/>
        <v>7</v>
      </c>
      <c r="AO80" s="5" t="str">
        <f t="shared" si="26"/>
        <v>8</v>
      </c>
    </row>
    <row r="81" spans="1:41" x14ac:dyDescent="0.25">
      <c r="A81" s="37">
        <v>43969</v>
      </c>
      <c r="B81" s="121">
        <v>39573</v>
      </c>
      <c r="C81" s="6">
        <f t="shared" si="14"/>
        <v>1122</v>
      </c>
      <c r="D81" s="19">
        <f t="shared" ref="D81" si="36">ROUND(((B81/B80)-1)*100,2)</f>
        <v>2.92</v>
      </c>
      <c r="E81" s="35">
        <f t="shared" si="15"/>
        <v>284</v>
      </c>
      <c r="F81" s="25">
        <f>ROUND((B81/Stats!$B$8)*100000,0)</f>
        <v>394</v>
      </c>
      <c r="G81" s="22">
        <f>ROUND((C81/Stats!$B$8)*100000,0)</f>
        <v>11</v>
      </c>
      <c r="H81" s="213">
        <v>1913</v>
      </c>
      <c r="I81" s="6">
        <f t="shared" ref="I81" si="37">H81-H80</f>
        <v>74</v>
      </c>
      <c r="J81" s="35">
        <f t="shared" ref="J81" si="38">IFERROR(ROUND(((H81/H80)-1)*100,2),"")</f>
        <v>4.0199999999999996</v>
      </c>
      <c r="K81" s="9">
        <f t="shared" si="13"/>
        <v>4.83</v>
      </c>
      <c r="L81" s="43">
        <f>ROUND(((H81/Stats!$B$8)*100000),0)</f>
        <v>19</v>
      </c>
      <c r="M81" s="96">
        <f>Stats!$B$8-N81</f>
        <v>5941650</v>
      </c>
      <c r="N81" s="97">
        <f>ROUND(Stats!$B$33/(1+(Stats!$B$34*EXP(-1*Stats!$B$32*(X81-$X$25)))),0)</f>
        <v>4097457</v>
      </c>
      <c r="O81" s="101">
        <f t="shared" si="5"/>
        <v>99.034205850116308</v>
      </c>
      <c r="P81" s="97">
        <f>ROUND(N81*(Stats!$I$14/100),0)</f>
        <v>99158</v>
      </c>
      <c r="Q81" s="101">
        <f t="shared" si="1"/>
        <v>98.070755763528922</v>
      </c>
      <c r="R81" s="109">
        <f xml:space="preserve"> ROUND(R80 - ((R80 / Stats!$B$27)*(Stats!$B$21*S80)),0)</f>
        <v>5139805</v>
      </c>
      <c r="S81" s="99">
        <f xml:space="preserve"> ROUND(S80 + (R80/Stats!$B$27)*(Stats!$B$21*S80)-(S80*Stats!$B$22),0)</f>
        <v>2010905</v>
      </c>
      <c r="T81" s="101">
        <f t="shared" si="6"/>
        <v>98.032080083345562</v>
      </c>
      <c r="U81" s="99">
        <f xml:space="preserve"> ROUND(U80 + (S80 * Stats!$B$22),0)</f>
        <v>2888931</v>
      </c>
      <c r="V81" s="99">
        <f>ROUND(S81*(Stats!$I$14/100),0)</f>
        <v>48664</v>
      </c>
      <c r="W81" s="105">
        <f t="shared" si="2"/>
        <v>96.068962682886735</v>
      </c>
      <c r="X81" s="118">
        <v>79</v>
      </c>
      <c r="Y81" s="115">
        <f>GROWTH($Y$25:Y80,$X$25:X80,X81:$X$186,1)</f>
        <v>38099078.764671966</v>
      </c>
      <c r="AA81" s="14">
        <f>GROWTH($AA$25:AA80,$X$25:X80,X81:$X$186,1)</f>
        <v>1611567.9392975145</v>
      </c>
      <c r="AB81" s="7">
        <f t="shared" si="12"/>
        <v>97.544441097702034</v>
      </c>
      <c r="AC81" s="14">
        <f>GROWTH($AC$25:AC80,$X$25:X80,X81:$X$186,1)</f>
        <v>290335.51651288749</v>
      </c>
      <c r="AD81" s="7">
        <f t="shared" si="16"/>
        <v>86.369907314373151</v>
      </c>
      <c r="AE81" s="124" t="s">
        <v>219</v>
      </c>
      <c r="AF81" s="140">
        <v>1183</v>
      </c>
      <c r="AG81" s="138">
        <f t="shared" si="17"/>
        <v>61</v>
      </c>
      <c r="AH81" s="138">
        <f t="shared" si="18"/>
        <v>5.29</v>
      </c>
      <c r="AI81" s="140">
        <v>76</v>
      </c>
      <c r="AJ81" s="138">
        <f t="shared" si="19"/>
        <v>2</v>
      </c>
      <c r="AK81" s="5">
        <f t="shared" si="20"/>
        <v>2.67</v>
      </c>
      <c r="AL81" s="5" t="str">
        <f t="shared" si="23"/>
        <v>1</v>
      </c>
      <c r="AM81" s="5" t="str">
        <f t="shared" si="24"/>
        <v>7</v>
      </c>
      <c r="AN81" s="5" t="str">
        <f t="shared" si="25"/>
        <v>1</v>
      </c>
      <c r="AO81" s="5" t="str">
        <f t="shared" si="26"/>
        <v>6</v>
      </c>
    </row>
    <row r="82" spans="1:41" x14ac:dyDescent="0.25">
      <c r="A82" s="37">
        <v>43970</v>
      </c>
      <c r="B82" s="121">
        <v>40857</v>
      </c>
      <c r="C82" s="6">
        <f t="shared" si="14"/>
        <v>1284</v>
      </c>
      <c r="D82" s="19">
        <f t="shared" ref="D82" si="39">ROUND(((B82/B81)-1)*100,2)</f>
        <v>3.24</v>
      </c>
      <c r="E82" s="35">
        <f t="shared" si="15"/>
        <v>314</v>
      </c>
      <c r="F82" s="25">
        <f>ROUND((B82/Stats!$B$8)*100000,0)</f>
        <v>407</v>
      </c>
      <c r="G82" s="22">
        <f>ROUND((C82/Stats!$B$8)*100000,0)</f>
        <v>13</v>
      </c>
      <c r="H82" s="213">
        <v>1970</v>
      </c>
      <c r="I82" s="6">
        <f t="shared" ref="I82" si="40">H82-H81</f>
        <v>57</v>
      </c>
      <c r="J82" s="35">
        <f t="shared" ref="J82" si="41">IFERROR(ROUND(((H82/H81)-1)*100,2),"")</f>
        <v>2.98</v>
      </c>
      <c r="K82" s="9">
        <f t="shared" si="13"/>
        <v>4.82</v>
      </c>
      <c r="L82" s="43">
        <f>ROUND(((H82/Stats!$B$8)*100000),0)</f>
        <v>20</v>
      </c>
      <c r="M82" s="96">
        <f>Stats!$B$8-N82</f>
        <v>5745793</v>
      </c>
      <c r="N82" s="97">
        <f>ROUND(Stats!$B$33/(1+(Stats!$B$34*EXP(-1*Stats!$B$32*(X82-$X$25)))),0)</f>
        <v>4293314</v>
      </c>
      <c r="O82" s="101">
        <f t="shared" si="5"/>
        <v>99.048357515895646</v>
      </c>
      <c r="P82" s="97">
        <f>ROUND(N82*(Stats!$I$14/100),0)</f>
        <v>103898</v>
      </c>
      <c r="Q82" s="101">
        <f t="shared" si="1"/>
        <v>98.103909603649726</v>
      </c>
      <c r="R82" s="109">
        <f xml:space="preserve"> ROUND(R81 - ((R81 / Stats!$B$27)*(Stats!$B$21*S81)),0)</f>
        <v>4804469</v>
      </c>
      <c r="S82" s="99">
        <f xml:space="preserve"> ROUND(S81 + (R81/Stats!$B$27)*(Stats!$B$21*S81)-(S81*Stats!$B$22),0)</f>
        <v>2058969</v>
      </c>
      <c r="T82" s="101">
        <f t="shared" si="6"/>
        <v>98.015657350839177</v>
      </c>
      <c r="U82" s="99">
        <f xml:space="preserve"> ROUND(U81 + (S81 * Stats!$B$22),0)</f>
        <v>3176203</v>
      </c>
      <c r="V82" s="99">
        <f>ROUND(S82*(Stats!$I$14/100),0)</f>
        <v>49827</v>
      </c>
      <c r="W82" s="105">
        <f t="shared" si="2"/>
        <v>96.046320268127715</v>
      </c>
      <c r="X82" s="118">
        <v>80</v>
      </c>
      <c r="Y82" s="115">
        <f>GROWTH($Y$25:Y81,$X$25:X81,X82:$X$186,1)</f>
        <v>46421374.640418492</v>
      </c>
      <c r="AA82" s="14">
        <f>GROWTH($AA$25:AA81,$X$25:X81,X82:$X$186,1)</f>
        <v>1845216.5775876048</v>
      </c>
      <c r="AB82" s="7">
        <f t="shared" si="12"/>
        <v>97.785788373231739</v>
      </c>
      <c r="AC82" s="14">
        <f>GROWTH($AC$25:AC81,$X$25:X81,X82:$X$186,1)</f>
        <v>320719.87173730333</v>
      </c>
      <c r="AD82" s="7">
        <f t="shared" si="16"/>
        <v>87.26084549152435</v>
      </c>
      <c r="AE82" s="124" t="s">
        <v>220</v>
      </c>
      <c r="AF82" s="140">
        <v>1324</v>
      </c>
      <c r="AG82" s="138">
        <f t="shared" si="17"/>
        <v>40</v>
      </c>
      <c r="AH82" s="138">
        <f t="shared" si="18"/>
        <v>3.07</v>
      </c>
      <c r="AI82" s="140">
        <v>57</v>
      </c>
      <c r="AJ82" s="138">
        <f t="shared" si="19"/>
        <v>0</v>
      </c>
      <c r="AK82" s="5">
        <f t="shared" si="20"/>
        <v>0</v>
      </c>
      <c r="AL82" s="5" t="str">
        <f t="shared" si="23"/>
        <v>1</v>
      </c>
      <c r="AM82" s="5" t="str">
        <f t="shared" si="24"/>
        <v>5</v>
      </c>
      <c r="AN82" s="5" t="str">
        <f t="shared" si="25"/>
        <v>3</v>
      </c>
      <c r="AO82" s="5" t="str">
        <f t="shared" si="26"/>
        <v>7</v>
      </c>
    </row>
    <row r="83" spans="1:41" x14ac:dyDescent="0.25">
      <c r="A83" s="37">
        <v>43971</v>
      </c>
      <c r="B83" s="121">
        <v>42037</v>
      </c>
      <c r="C83" s="6">
        <f t="shared" si="14"/>
        <v>1180</v>
      </c>
      <c r="D83" s="19">
        <f t="shared" ref="D83" si="42">ROUND(((B83/B82)-1)*100,2)</f>
        <v>2.89</v>
      </c>
      <c r="E83" s="35">
        <f t="shared" si="15"/>
        <v>281</v>
      </c>
      <c r="F83" s="25">
        <f>ROUND((B83/Stats!$B$8)*100000,0)</f>
        <v>419</v>
      </c>
      <c r="G83" s="22">
        <f>ROUND((C83/Stats!$B$8)*100000,0)</f>
        <v>12</v>
      </c>
      <c r="H83" s="213">
        <v>2016</v>
      </c>
      <c r="I83" s="6">
        <f t="shared" ref="I83" si="43">H83-H82</f>
        <v>46</v>
      </c>
      <c r="J83" s="35">
        <f t="shared" ref="J83" si="44">IFERROR(ROUND(((H83/H82)-1)*100,2),"")</f>
        <v>2.34</v>
      </c>
      <c r="K83" s="9">
        <f t="shared" si="13"/>
        <v>4.8</v>
      </c>
      <c r="L83" s="43">
        <f>ROUND(((H83/Stats!$B$8)*100000),0)</f>
        <v>20</v>
      </c>
      <c r="M83" s="96">
        <f>Stats!$B$8-N83</f>
        <v>5567782</v>
      </c>
      <c r="N83" s="97">
        <f>ROUND(Stats!$B$33/(1+(Stats!$B$34*EXP(-1*Stats!$B$32*(X83-$X$25)))),0)</f>
        <v>4471325</v>
      </c>
      <c r="O83" s="101">
        <f t="shared" si="5"/>
        <v>99.059853622807566</v>
      </c>
      <c r="P83" s="97">
        <f>ROUND(N83*(Stats!$I$14/100),0)</f>
        <v>108206</v>
      </c>
      <c r="Q83" s="101">
        <f t="shared" si="1"/>
        <v>98.136887048777339</v>
      </c>
      <c r="R83" s="109">
        <f xml:space="preserve"> ROUND(R82 - ((R82 / Stats!$B$27)*(Stats!$B$21*S82)),0)</f>
        <v>4483519</v>
      </c>
      <c r="S83" s="99">
        <f xml:space="preserve"> ROUND(S82 + (R82/Stats!$B$27)*(Stats!$B$21*S82)-(S82*Stats!$B$22),0)</f>
        <v>2085780</v>
      </c>
      <c r="T83" s="101">
        <f t="shared" si="6"/>
        <v>97.984590896451209</v>
      </c>
      <c r="U83" s="99">
        <f xml:space="preserve"> ROUND(U82 + (S82 * Stats!$B$22),0)</f>
        <v>3470341</v>
      </c>
      <c r="V83" s="99">
        <f>ROUND(S83*(Stats!$I$14/100),0)</f>
        <v>50476</v>
      </c>
      <c r="W83" s="105">
        <f t="shared" si="2"/>
        <v>96.006022664236468</v>
      </c>
      <c r="X83" s="118">
        <v>81</v>
      </c>
      <c r="Y83" s="115">
        <f>GROWTH($Y$25:Y82,$X$25:X82,X83:$X$186,1)</f>
        <v>56561578.216014259</v>
      </c>
      <c r="AA83" s="14">
        <f>GROWTH($AA$25:AA82,$X$25:X82,X83:$X$186,1)</f>
        <v>2112740.1055696574</v>
      </c>
      <c r="AB83" s="7">
        <f t="shared" si="12"/>
        <v>98.010308987405466</v>
      </c>
      <c r="AC83" s="14">
        <f>GROWTH($AC$25:AC82,$X$25:X82,X83:$X$186,1)</f>
        <v>354284.0275369013</v>
      </c>
      <c r="AD83" s="7">
        <f t="shared" si="16"/>
        <v>88.134661251240985</v>
      </c>
      <c r="AE83" s="124" t="s">
        <v>224</v>
      </c>
      <c r="AF83" s="140">
        <v>1204</v>
      </c>
      <c r="AG83" s="138">
        <f t="shared" si="17"/>
        <v>24</v>
      </c>
      <c r="AH83" s="138">
        <f t="shared" si="18"/>
        <v>2.0099999999999998</v>
      </c>
      <c r="AI83" s="140">
        <v>46</v>
      </c>
      <c r="AJ83" s="138">
        <f t="shared" si="19"/>
        <v>0</v>
      </c>
      <c r="AK83" s="5">
        <f t="shared" si="20"/>
        <v>0</v>
      </c>
      <c r="AL83" s="5" t="str">
        <f t="shared" si="23"/>
        <v>1</v>
      </c>
      <c r="AM83" s="5" t="str">
        <f t="shared" si="24"/>
        <v>4</v>
      </c>
      <c r="AN83" s="5" t="str">
        <f t="shared" si="25"/>
        <v>2</v>
      </c>
      <c r="AO83" s="5" t="str">
        <f t="shared" si="26"/>
        <v>6</v>
      </c>
    </row>
    <row r="84" spans="1:41" x14ac:dyDescent="0.25">
      <c r="A84" s="37">
        <v>43972</v>
      </c>
      <c r="B84" s="121">
        <v>43052</v>
      </c>
      <c r="C84" s="6">
        <f t="shared" si="14"/>
        <v>1015</v>
      </c>
      <c r="D84" s="19">
        <f t="shared" ref="D84" si="45">ROUND(((B84/B83)-1)*100,2)</f>
        <v>2.41</v>
      </c>
      <c r="E84" s="35">
        <f t="shared" si="15"/>
        <v>236</v>
      </c>
      <c r="F84" s="25">
        <f>ROUND((B84/Stats!$B$8)*100000,0)</f>
        <v>429</v>
      </c>
      <c r="G84" s="22">
        <f>ROUND((C84/Stats!$B$8)*100000,0)</f>
        <v>10</v>
      </c>
      <c r="H84" s="213">
        <v>2049</v>
      </c>
      <c r="I84" s="6">
        <f t="shared" ref="I84" si="46">H84-H83</f>
        <v>33</v>
      </c>
      <c r="J84" s="35">
        <f t="shared" ref="J84" si="47">IFERROR(ROUND(((H84/H83)-1)*100,2),"")</f>
        <v>1.64</v>
      </c>
      <c r="K84" s="9">
        <f t="shared" si="13"/>
        <v>4.76</v>
      </c>
      <c r="L84" s="43">
        <f>ROUND(((H84/Stats!$B$8)*100000),0)</f>
        <v>20</v>
      </c>
      <c r="M84" s="96">
        <f>Stats!$B$8-N84</f>
        <v>5407848</v>
      </c>
      <c r="N84" s="97">
        <f>ROUND(Stats!$B$33/(1+(Stats!$B$34*EXP(-1*Stats!$B$32*(X84-$X$25)))),0)</f>
        <v>4631259</v>
      </c>
      <c r="O84" s="101">
        <f t="shared" si="5"/>
        <v>99.070403965746678</v>
      </c>
      <c r="P84" s="97">
        <f>ROUND(N84*(Stats!$I$14/100),0)</f>
        <v>112076</v>
      </c>
      <c r="Q84" s="101">
        <f t="shared" si="1"/>
        <v>98.171776294657192</v>
      </c>
      <c r="R84" s="109">
        <f xml:space="preserve"> ROUND(R83 - ((R83 / Stats!$B$27)*(Stats!$B$21*S83)),0)</f>
        <v>4180109</v>
      </c>
      <c r="S84" s="99">
        <f xml:space="preserve"> ROUND(S83 + (R83/Stats!$B$27)*(Stats!$B$21*S83)-(S83*Stats!$B$22),0)</f>
        <v>2091221</v>
      </c>
      <c r="T84" s="101">
        <f t="shared" si="6"/>
        <v>97.941298408919948</v>
      </c>
      <c r="U84" s="99">
        <f xml:space="preserve"> ROUND(U83 + (S83 * Stats!$B$22),0)</f>
        <v>3768310</v>
      </c>
      <c r="V84" s="99">
        <f>ROUND(S84*(Stats!$I$14/100),0)</f>
        <v>50608</v>
      </c>
      <c r="W84" s="105">
        <f t="shared" si="2"/>
        <v>95.951233006639271</v>
      </c>
      <c r="X84" s="118">
        <v>82</v>
      </c>
      <c r="Y84" s="115">
        <f>GROWTH($Y$25:Y83,$X$25:X83,X84:$X$186,1)</f>
        <v>68916790.057759255</v>
      </c>
      <c r="AA84" s="14">
        <f>GROWTH($AA$25:AA83,$X$25:X83,X84:$X$186,1)</f>
        <v>2419049.7787084724</v>
      </c>
      <c r="AB84" s="7">
        <f t="shared" si="12"/>
        <v>98.220292927457436</v>
      </c>
      <c r="AC84" s="14">
        <f>GROWTH($AC$25:AC83,$X$25:X83,X84:$X$186,1)</f>
        <v>391360.75818394322</v>
      </c>
      <c r="AD84" s="7">
        <f t="shared" si="16"/>
        <v>88.999408065392913</v>
      </c>
      <c r="AE84" s="124" t="s">
        <v>225</v>
      </c>
      <c r="AF84" s="140">
        <v>1072</v>
      </c>
      <c r="AG84" s="138">
        <f t="shared" si="17"/>
        <v>57</v>
      </c>
      <c r="AH84" s="138">
        <f t="shared" si="18"/>
        <v>5.46</v>
      </c>
      <c r="AI84" s="140">
        <v>35</v>
      </c>
      <c r="AJ84" s="138">
        <f t="shared" si="19"/>
        <v>2</v>
      </c>
      <c r="AK84" s="5">
        <f t="shared" si="20"/>
        <v>5.88</v>
      </c>
      <c r="AL84" s="5" t="str">
        <f t="shared" si="23"/>
        <v>1</v>
      </c>
      <c r="AM84" s="5" t="str">
        <f t="shared" si="24"/>
        <v>3</v>
      </c>
      <c r="AN84" s="5" t="str">
        <f t="shared" si="25"/>
        <v>0</v>
      </c>
      <c r="AO84" s="5" t="str">
        <f t="shared" si="26"/>
        <v>5</v>
      </c>
    </row>
    <row r="85" spans="1:41" x14ac:dyDescent="0.25">
      <c r="A85" s="37">
        <v>43973</v>
      </c>
      <c r="B85" s="121">
        <v>44055</v>
      </c>
      <c r="C85" s="6">
        <f t="shared" si="14"/>
        <v>1003</v>
      </c>
      <c r="D85" s="19">
        <f t="shared" ref="D85" si="48">ROUND(((B85/B84)-1)*100,2)</f>
        <v>2.33</v>
      </c>
      <c r="E85" s="35">
        <f t="shared" si="15"/>
        <v>228</v>
      </c>
      <c r="F85" s="25">
        <f>ROUND((B85/Stats!$B$8)*100000,0)</f>
        <v>439</v>
      </c>
      <c r="G85" s="22">
        <f>ROUND((C85/Stats!$B$8)*100000,0)</f>
        <v>10</v>
      </c>
      <c r="H85" s="213">
        <v>2090</v>
      </c>
      <c r="I85" s="6">
        <f t="shared" ref="I85" si="49">H85-H84</f>
        <v>41</v>
      </c>
      <c r="J85" s="35">
        <f t="shared" ref="J85" si="50">IFERROR(ROUND(((H85/H84)-1)*100,2),"")</f>
        <v>2</v>
      </c>
      <c r="K85" s="9">
        <f t="shared" si="13"/>
        <v>4.74</v>
      </c>
      <c r="L85" s="43">
        <f>ROUND(((H85/Stats!$B$8)*100000),0)</f>
        <v>21</v>
      </c>
      <c r="M85" s="96">
        <f>Stats!$B$8-N85</f>
        <v>5265641</v>
      </c>
      <c r="N85" s="97">
        <f>ROUND(Stats!$B$33/(1+(Stats!$B$34*EXP(-1*Stats!$B$32*(X85-$X$25)))),0)</f>
        <v>4773466</v>
      </c>
      <c r="O85" s="101">
        <f t="shared" si="5"/>
        <v>99.077085706696138</v>
      </c>
      <c r="P85" s="97">
        <f>ROUND(N85*(Stats!$I$14/100),0)</f>
        <v>115518</v>
      </c>
      <c r="Q85" s="101">
        <f t="shared" si="1"/>
        <v>98.190758150244989</v>
      </c>
      <c r="R85" s="109">
        <f xml:space="preserve"> ROUND(R84 - ((R84 / Stats!$B$27)*(Stats!$B$21*S84)),0)</f>
        <v>3896494</v>
      </c>
      <c r="S85" s="99">
        <f xml:space="preserve"> ROUND(S84 + (R84/Stats!$B$27)*(Stats!$B$21*S84)-(S84*Stats!$B$22),0)</f>
        <v>2076090</v>
      </c>
      <c r="T85" s="101">
        <f t="shared" si="6"/>
        <v>97.877982168403094</v>
      </c>
      <c r="U85" s="99">
        <f xml:space="preserve"> ROUND(U84 + (S84 * Stats!$B$22),0)</f>
        <v>4067056</v>
      </c>
      <c r="V85" s="99">
        <f>ROUND(S85*(Stats!$I$14/100),0)</f>
        <v>50241</v>
      </c>
      <c r="W85" s="105">
        <f t="shared" si="2"/>
        <v>95.840050954399786</v>
      </c>
      <c r="X85" s="118">
        <v>83</v>
      </c>
      <c r="Y85" s="115">
        <f>GROWTH($Y$25:Y84,$X$25:X84,X85:$X$186,1)</f>
        <v>83970852.682475477</v>
      </c>
      <c r="AA85" s="14">
        <f>GROWTH($AA$25:AA84,$X$25:X84,X85:$X$186,1)</f>
        <v>2769768.8970085955</v>
      </c>
      <c r="AB85" s="7">
        <f t="shared" si="12"/>
        <v>98.409434085003255</v>
      </c>
      <c r="AC85" s="14">
        <f>GROWTH($AC$25:AC84,$X$25:X84,X85:$X$186,1)</f>
        <v>432317.66363036871</v>
      </c>
      <c r="AD85" s="7">
        <f t="shared" si="16"/>
        <v>89.809576682560206</v>
      </c>
      <c r="AE85" s="124" t="s">
        <v>226</v>
      </c>
      <c r="AF85" s="140">
        <v>1032</v>
      </c>
      <c r="AG85" s="138">
        <f t="shared" si="17"/>
        <v>29</v>
      </c>
      <c r="AH85" s="138">
        <f t="shared" si="18"/>
        <v>2.85</v>
      </c>
      <c r="AI85" s="140">
        <v>41</v>
      </c>
      <c r="AJ85" s="138">
        <f t="shared" si="19"/>
        <v>0</v>
      </c>
      <c r="AK85" s="5">
        <f t="shared" si="20"/>
        <v>0</v>
      </c>
      <c r="AL85" s="5" t="str">
        <f t="shared" si="23"/>
        <v>1</v>
      </c>
      <c r="AM85" s="5" t="str">
        <f t="shared" si="24"/>
        <v>4</v>
      </c>
      <c r="AN85" s="5" t="str">
        <f t="shared" si="25"/>
        <v>0</v>
      </c>
      <c r="AO85" s="5" t="str">
        <f t="shared" si="26"/>
        <v>1</v>
      </c>
    </row>
    <row r="86" spans="1:41" ht="30" x14ac:dyDescent="0.25">
      <c r="A86" s="37">
        <v>43974</v>
      </c>
      <c r="B86" s="121">
        <v>44988</v>
      </c>
      <c r="C86" s="6">
        <f t="shared" si="14"/>
        <v>933</v>
      </c>
      <c r="D86" s="19">
        <f t="shared" ref="D86" si="51">ROUND(((B86/B85)-1)*100,2)</f>
        <v>2.12</v>
      </c>
      <c r="E86" s="35">
        <f t="shared" si="15"/>
        <v>207</v>
      </c>
      <c r="F86" s="25">
        <f>ROUND((B86/Stats!$B$8)*100000,0)</f>
        <v>448</v>
      </c>
      <c r="G86" s="22">
        <f>ROUND((C86/Stats!$B$8)*100000,0)</f>
        <v>9</v>
      </c>
      <c r="H86" s="213">
        <v>2104</v>
      </c>
      <c r="I86" s="6">
        <f t="shared" ref="I86" si="52">H86-H85</f>
        <v>14</v>
      </c>
      <c r="J86" s="35">
        <f t="shared" ref="J86" si="53">IFERROR(ROUND(((H86/H85)-1)*100,2),"")</f>
        <v>0.67</v>
      </c>
      <c r="K86" s="9">
        <f t="shared" si="13"/>
        <v>4.68</v>
      </c>
      <c r="L86" s="43">
        <f>ROUND(((H86/Stats!$B$8)*100000),0)</f>
        <v>21</v>
      </c>
      <c r="M86" s="96">
        <f>Stats!$B$8-N86</f>
        <v>5140356</v>
      </c>
      <c r="N86" s="97">
        <f>ROUND(Stats!$B$33/(1+(Stats!$B$34*EXP(-1*Stats!$B$32*(X86-$X$25)))),0)</f>
        <v>4898751</v>
      </c>
      <c r="O86" s="101">
        <f t="shared" si="5"/>
        <v>99.081643463813535</v>
      </c>
      <c r="P86" s="97">
        <f>ROUND(N86*(Stats!$I$14/100),0)</f>
        <v>118550</v>
      </c>
      <c r="Q86" s="101">
        <f t="shared" si="1"/>
        <v>98.225221425558843</v>
      </c>
      <c r="R86" s="109">
        <f xml:space="preserve"> ROUND(R85 - ((R85 / Stats!$B$27)*(Stats!$B$21*S85)),0)</f>
        <v>3634035</v>
      </c>
      <c r="S86" s="99">
        <f xml:space="preserve"> ROUND(S85 + (R85/Stats!$B$27)*(Stats!$B$21*S85)-(S85*Stats!$B$22),0)</f>
        <v>2041965</v>
      </c>
      <c r="T86" s="101">
        <f t="shared" si="6"/>
        <v>97.796828055329058</v>
      </c>
      <c r="U86" s="99">
        <f xml:space="preserve"> ROUND(U85 + (S85 * Stats!$B$22),0)</f>
        <v>4363640</v>
      </c>
      <c r="V86" s="99">
        <f>ROUND(S86*(Stats!$I$14/100),0)</f>
        <v>49416</v>
      </c>
      <c r="W86" s="105">
        <f t="shared" si="2"/>
        <v>95.742269710215311</v>
      </c>
      <c r="X86" s="118">
        <v>84</v>
      </c>
      <c r="Y86" s="115">
        <f>GROWTH($Y$25:Y85,$X$25:X85,X86:$X$186,1)</f>
        <v>102313298.31689015</v>
      </c>
      <c r="AA86" s="14">
        <f>GROWTH($AA$25:AA85,$X$25:X85,X86:$X$186,1)</f>
        <v>3171336.0387862949</v>
      </c>
      <c r="AB86" s="7">
        <f t="shared" si="12"/>
        <v>98.581418069552242</v>
      </c>
      <c r="AC86" s="14">
        <f>GROWTH($AC$25:AC85,$X$25:X85,X86:$X$186,1)</f>
        <v>477560.81410435215</v>
      </c>
      <c r="AD86" s="7">
        <f t="shared" si="16"/>
        <v>90.579629091977878</v>
      </c>
      <c r="AE86" s="125" t="s">
        <v>228</v>
      </c>
      <c r="AF86" s="140">
        <v>940</v>
      </c>
      <c r="AG86" s="138">
        <f t="shared" si="17"/>
        <v>7</v>
      </c>
      <c r="AH86" s="138">
        <f t="shared" si="18"/>
        <v>0.75</v>
      </c>
      <c r="AI86" s="140">
        <v>14</v>
      </c>
      <c r="AJ86" s="138">
        <f t="shared" si="19"/>
        <v>0</v>
      </c>
      <c r="AK86" s="5">
        <f t="shared" si="20"/>
        <v>0</v>
      </c>
      <c r="AL86" s="5" t="str">
        <f t="shared" si="23"/>
        <v>9</v>
      </c>
      <c r="AM86" s="5" t="str">
        <f t="shared" si="24"/>
        <v>1</v>
      </c>
      <c r="AN86" s="5" t="str">
        <f t="shared" si="25"/>
        <v>4</v>
      </c>
      <c r="AO86" s="5" t="str">
        <f t="shared" si="26"/>
        <v>4</v>
      </c>
    </row>
    <row r="87" spans="1:41" x14ac:dyDescent="0.25">
      <c r="A87" s="37">
        <v>43975</v>
      </c>
      <c r="B87" s="121">
        <v>46018</v>
      </c>
      <c r="C87" s="6">
        <f t="shared" si="14"/>
        <v>1030</v>
      </c>
      <c r="D87" s="19">
        <f t="shared" ref="D87" si="54">ROUND(((B87/B86)-1)*100,2)</f>
        <v>2.29</v>
      </c>
      <c r="E87" s="35">
        <f t="shared" si="15"/>
        <v>224</v>
      </c>
      <c r="F87" s="25">
        <f>ROUND((B87/Stats!$B$8)*100000,0)</f>
        <v>458</v>
      </c>
      <c r="G87" s="22">
        <f>ROUND((C87/Stats!$B$8)*100000,0)</f>
        <v>10</v>
      </c>
      <c r="H87" s="213">
        <v>2116</v>
      </c>
      <c r="I87" s="6">
        <f t="shared" ref="I87" si="55">H87-H86</f>
        <v>12</v>
      </c>
      <c r="J87" s="35">
        <f t="shared" ref="J87" si="56">IFERROR(ROUND(((H87/H86)-1)*100,2),"")</f>
        <v>0.56999999999999995</v>
      </c>
      <c r="K87" s="9">
        <f t="shared" si="13"/>
        <v>4.5999999999999996</v>
      </c>
      <c r="L87" s="43">
        <f>ROUND(((H87/Stats!$B$8)*100000),0)</f>
        <v>21</v>
      </c>
      <c r="M87" s="96">
        <f>Stats!$B$8-N87</f>
        <v>5030877</v>
      </c>
      <c r="N87" s="97">
        <f>ROUND(Stats!$B$33/(1+(Stats!$B$34*EXP(-1*Stats!$B$32*(X87-$X$25)))),0)</f>
        <v>5008230</v>
      </c>
      <c r="O87" s="101">
        <f t="shared" si="5"/>
        <v>99.081152423111561</v>
      </c>
      <c r="P87" s="97">
        <f>ROUND(N87*(Stats!$I$14/100),0)</f>
        <v>121199</v>
      </c>
      <c r="Q87" s="101">
        <f t="shared" si="1"/>
        <v>98.25411100751657</v>
      </c>
      <c r="R87" s="109">
        <f xml:space="preserve"> ROUND(R86 - ((R86 / Stats!$B$27)*(Stats!$B$21*S86)),0)</f>
        <v>3393278</v>
      </c>
      <c r="S87" s="99">
        <f xml:space="preserve"> ROUND(S86 + (R86/Stats!$B$27)*(Stats!$B$21*S86)-(S86*Stats!$B$22),0)</f>
        <v>1991013</v>
      </c>
      <c r="T87" s="101">
        <f t="shared" si="6"/>
        <v>97.688714237425884</v>
      </c>
      <c r="U87" s="99">
        <f xml:space="preserve"> ROUND(U86 + (S86 * Stats!$B$22),0)</f>
        <v>4655349</v>
      </c>
      <c r="V87" s="99">
        <f>ROUND(S87*(Stats!$I$14/100),0)</f>
        <v>48183</v>
      </c>
      <c r="W87" s="105">
        <f t="shared" si="2"/>
        <v>95.608409605047413</v>
      </c>
      <c r="X87" s="118">
        <v>85</v>
      </c>
      <c r="Y87" s="115">
        <f>GROWTH($Y$25:Y86,$X$25:X86,X87:$X$186,1)</f>
        <v>124662435.5723093</v>
      </c>
      <c r="AA87" s="14">
        <f>GROWTH($AA$25:AA86,$X$25:X86,X87:$X$186,1)</f>
        <v>3631123.2614991702</v>
      </c>
      <c r="AB87" s="7">
        <f t="shared" si="12"/>
        <v>98.732678659302778</v>
      </c>
      <c r="AC87" s="14">
        <f>GROWTH($AC$25:AC86,$X$25:X86,X87:$X$186,1)</f>
        <v>527538.77612321672</v>
      </c>
      <c r="AD87" s="7">
        <f t="shared" si="16"/>
        <v>91.276849762935413</v>
      </c>
      <c r="AE87" s="124" t="s">
        <v>227</v>
      </c>
      <c r="AF87" s="140">
        <v>1047</v>
      </c>
      <c r="AG87" s="138">
        <f t="shared" si="17"/>
        <v>17</v>
      </c>
      <c r="AH87" s="138">
        <f t="shared" si="18"/>
        <v>1.64</v>
      </c>
      <c r="AI87" s="140">
        <v>12</v>
      </c>
      <c r="AJ87" s="138">
        <f t="shared" si="19"/>
        <v>0</v>
      </c>
      <c r="AK87" s="5">
        <f t="shared" si="20"/>
        <v>0</v>
      </c>
      <c r="AL87" s="5" t="str">
        <f t="shared" si="23"/>
        <v>1</v>
      </c>
      <c r="AM87" s="5" t="str">
        <f t="shared" si="24"/>
        <v>1</v>
      </c>
      <c r="AN87" s="5" t="str">
        <f t="shared" si="25"/>
        <v>0</v>
      </c>
      <c r="AO87" s="5" t="str">
        <f t="shared" si="26"/>
        <v>2</v>
      </c>
    </row>
    <row r="88" spans="1:41" x14ac:dyDescent="0.25">
      <c r="A88" s="37">
        <v>43976</v>
      </c>
      <c r="B88" s="121">
        <v>47822</v>
      </c>
      <c r="C88" s="6">
        <f t="shared" si="14"/>
        <v>1804</v>
      </c>
      <c r="D88" s="19">
        <f t="shared" ref="D88" si="57">ROUND(((B88/B87)-1)*100,2)</f>
        <v>3.92</v>
      </c>
      <c r="E88" s="35">
        <f t="shared" si="15"/>
        <v>377</v>
      </c>
      <c r="F88" s="25">
        <f>ROUND((B88/Stats!$B$8)*100000,0)</f>
        <v>476</v>
      </c>
      <c r="G88" s="22">
        <f>ROUND((C88/Stats!$B$8)*100000,0)</f>
        <v>18</v>
      </c>
      <c r="H88" s="213">
        <v>2143</v>
      </c>
      <c r="I88" s="6">
        <f t="shared" ref="I88" si="58">H88-H87</f>
        <v>27</v>
      </c>
      <c r="J88" s="35">
        <f t="shared" ref="J88" si="59">IFERROR(ROUND(((H88/H87)-1)*100,2),"")</f>
        <v>1.28</v>
      </c>
      <c r="K88" s="9">
        <f t="shared" si="13"/>
        <v>4.4800000000000004</v>
      </c>
      <c r="L88" s="43">
        <f>ROUND(((H88/Stats!$B$8)*100000),0)</f>
        <v>21</v>
      </c>
      <c r="M88" s="96">
        <f>Stats!$B$8-N88</f>
        <v>4935887</v>
      </c>
      <c r="N88" s="97">
        <f>ROUND(Stats!$B$33/(1+(Stats!$B$34*EXP(-1*Stats!$B$32*(X88-$X$25)))),0)</f>
        <v>5103220</v>
      </c>
      <c r="O88" s="101">
        <f t="shared" si="5"/>
        <v>99.062905381308269</v>
      </c>
      <c r="P88" s="97">
        <f>ROUND(N88*(Stats!$I$14/100),0)</f>
        <v>123498</v>
      </c>
      <c r="Q88" s="101">
        <f t="shared" si="1"/>
        <v>98.264749226708119</v>
      </c>
      <c r="R88" s="109">
        <f xml:space="preserve"> ROUND(R87 - ((R87 / Stats!$B$27)*(Stats!$B$21*S87)),0)</f>
        <v>3174081</v>
      </c>
      <c r="S88" s="99">
        <f xml:space="preserve"> ROUND(S87 + (R87/Stats!$B$27)*(Stats!$B$21*S87)-(S87*Stats!$B$22),0)</f>
        <v>1925780</v>
      </c>
      <c r="T88" s="101">
        <f t="shared" si="6"/>
        <v>97.516746461174179</v>
      </c>
      <c r="U88" s="99">
        <f xml:space="preserve"> ROUND(U87 + (S87 * Stats!$B$22),0)</f>
        <v>4939779</v>
      </c>
      <c r="V88" s="99">
        <f>ROUND(S88*(Stats!$I$14/100),0)</f>
        <v>46604</v>
      </c>
      <c r="W88" s="105">
        <f t="shared" si="2"/>
        <v>95.401682259033564</v>
      </c>
      <c r="X88" s="118">
        <v>86</v>
      </c>
      <c r="Y88" s="115">
        <f>GROWTH($Y$25:Y87,$X$25:X87,X88:$X$186,1)</f>
        <v>151893479.13197607</v>
      </c>
      <c r="AA88" s="14">
        <f>GROWTH($AA$25:AA87,$X$25:X87,X88:$X$186,1)</f>
        <v>4157571.4395899959</v>
      </c>
      <c r="AB88" s="7">
        <f t="shared" si="12"/>
        <v>98.849761196052569</v>
      </c>
      <c r="AC88" s="14">
        <f>GROWTH($AC$25:AC87,$X$25:X87,X88:$X$186,1)</f>
        <v>582747.05983889312</v>
      </c>
      <c r="AD88" s="7">
        <f t="shared" si="16"/>
        <v>91.793695190290464</v>
      </c>
      <c r="AE88" s="124" t="s">
        <v>229</v>
      </c>
      <c r="AF88" s="140">
        <v>1843</v>
      </c>
      <c r="AG88" s="138">
        <f t="shared" si="17"/>
        <v>39</v>
      </c>
      <c r="AH88" s="138">
        <f t="shared" si="18"/>
        <v>2.14</v>
      </c>
      <c r="AI88" s="140">
        <v>27</v>
      </c>
      <c r="AJ88" s="138">
        <f t="shared" si="19"/>
        <v>0</v>
      </c>
      <c r="AK88" s="5">
        <f t="shared" si="20"/>
        <v>0</v>
      </c>
      <c r="AL88" s="5" t="str">
        <f t="shared" si="23"/>
        <v>1</v>
      </c>
      <c r="AM88" s="5" t="str">
        <f t="shared" si="24"/>
        <v>2</v>
      </c>
      <c r="AN88" s="5" t="str">
        <f t="shared" si="25"/>
        <v>8</v>
      </c>
      <c r="AO88" s="5" t="str">
        <f t="shared" si="26"/>
        <v>7</v>
      </c>
    </row>
    <row r="89" spans="1:41" x14ac:dyDescent="0.25">
      <c r="A89" s="37">
        <v>43977</v>
      </c>
      <c r="B89" s="121">
        <v>48700</v>
      </c>
      <c r="C89" s="6">
        <f t="shared" si="14"/>
        <v>878</v>
      </c>
      <c r="D89" s="19">
        <f t="shared" ref="D89" si="60">ROUND(((B89/B88)-1)*100,2)</f>
        <v>1.84</v>
      </c>
      <c r="E89" s="35">
        <f t="shared" si="15"/>
        <v>180</v>
      </c>
      <c r="F89" s="25">
        <f>ROUND((B89/Stats!$B$8)*100000,0)</f>
        <v>485</v>
      </c>
      <c r="G89" s="22">
        <f>ROUND((C89/Stats!$B$8)*100000,0)</f>
        <v>9</v>
      </c>
      <c r="H89" s="213">
        <v>2195</v>
      </c>
      <c r="I89" s="6">
        <f t="shared" ref="I89" si="61">H89-H88</f>
        <v>52</v>
      </c>
      <c r="J89" s="35">
        <f t="shared" ref="J89" si="62">IFERROR(ROUND(((H89/H88)-1)*100,2),"")</f>
        <v>2.4300000000000002</v>
      </c>
      <c r="K89" s="9">
        <f t="shared" ref="K89:K120" si="63">IFERROR(ROUND(100*(H89/B89),2),"")</f>
        <v>4.51</v>
      </c>
      <c r="L89" s="43">
        <f>ROUND(((H89/Stats!$B$8)*100000),0)</f>
        <v>22</v>
      </c>
      <c r="M89" s="96">
        <f>Stats!$B$8-N89</f>
        <v>4853977</v>
      </c>
      <c r="N89" s="97">
        <f>ROUND(Stats!$B$33/(1+(Stats!$B$34*EXP(-1*Stats!$B$32*(X89-$X$25)))),0)</f>
        <v>5185130</v>
      </c>
      <c r="O89" s="101">
        <f t="shared" si="5"/>
        <v>99.060775718255854</v>
      </c>
      <c r="P89" s="97">
        <f>ROUND(N89*(Stats!$I$14/100),0)</f>
        <v>125480</v>
      </c>
      <c r="Q89" s="101">
        <f t="shared" ref="Q89:Q152" si="64">IFERROR(ABS((($H89/P89)-1)*100),"")</f>
        <v>98.250717245776215</v>
      </c>
      <c r="R89" s="109">
        <f xml:space="preserve"> ROUND(R88 - ((R88 / Stats!$B$27)*(Stats!$B$21*S88)),0)</f>
        <v>2975761</v>
      </c>
      <c r="S89" s="99">
        <f xml:space="preserve"> ROUND(S88 + (R88/Stats!$B$27)*(Stats!$B$21*S88)-(S88*Stats!$B$22),0)</f>
        <v>1848989</v>
      </c>
      <c r="T89" s="101">
        <f t="shared" si="6"/>
        <v>97.366128192217474</v>
      </c>
      <c r="U89" s="99">
        <f xml:space="preserve"> ROUND(U88 + (S88 * Stats!$B$22),0)</f>
        <v>5214890</v>
      </c>
      <c r="V89" s="99">
        <f>ROUND(S89*(Stats!$I$14/100),0)</f>
        <v>44746</v>
      </c>
      <c r="W89" s="105">
        <f t="shared" ref="W89:W152" si="65">IFERROR(ABS((($H89/V89)-1)*100),"")</f>
        <v>95.094533589594604</v>
      </c>
      <c r="X89" s="118">
        <v>87</v>
      </c>
      <c r="Y89" s="115">
        <f>GROWTH($Y$25:Y88,$X$25:X88,X89:$X$186,1)</f>
        <v>185072824.03794783</v>
      </c>
      <c r="AA89" s="14">
        <f>GROWTH($AA$25:AA88,$X$25:X88,X89:$X$186,1)</f>
        <v>4760345.2239067676</v>
      </c>
      <c r="AB89" s="7">
        <f t="shared" si="12"/>
        <v>98.976964952973887</v>
      </c>
      <c r="AC89" s="14">
        <f>GROWTH($AC$25:AC88,$X$25:X88,X89:$X$186,1)</f>
        <v>643733.03180950705</v>
      </c>
      <c r="AD89" s="7">
        <f t="shared" si="16"/>
        <v>92.434752048825843</v>
      </c>
      <c r="AE89" s="124" t="s">
        <v>230</v>
      </c>
      <c r="AF89" s="140">
        <v>933</v>
      </c>
      <c r="AG89" s="138">
        <f t="shared" si="17"/>
        <v>55</v>
      </c>
      <c r="AH89" s="138">
        <f t="shared" si="18"/>
        <v>6.07</v>
      </c>
      <c r="AI89" s="140">
        <v>53</v>
      </c>
      <c r="AJ89" s="138">
        <f t="shared" si="19"/>
        <v>1</v>
      </c>
      <c r="AK89" s="5">
        <f t="shared" si="20"/>
        <v>1.9</v>
      </c>
      <c r="AL89" s="5" t="str">
        <f t="shared" si="23"/>
        <v>9</v>
      </c>
      <c r="AM89" s="5" t="str">
        <f t="shared" si="24"/>
        <v>5</v>
      </c>
      <c r="AN89" s="5" t="str">
        <f t="shared" si="25"/>
        <v>3</v>
      </c>
      <c r="AO89" s="5" t="str">
        <f t="shared" si="26"/>
        <v>3</v>
      </c>
    </row>
    <row r="90" spans="1:41" x14ac:dyDescent="0.25">
      <c r="A90" s="37">
        <v>43978</v>
      </c>
      <c r="B90" s="121">
        <v>49774</v>
      </c>
      <c r="C90" s="6">
        <f t="shared" ref="C90:C121" si="66">B90-B89</f>
        <v>1074</v>
      </c>
      <c r="D90" s="19">
        <f t="shared" ref="D90" si="67">ROUND(((B90/B89)-1)*100,2)</f>
        <v>2.21</v>
      </c>
      <c r="E90" s="35">
        <f t="shared" ref="E90:E121" si="68">IFERROR(ROUND((C90/B90)*10000,0),"")</f>
        <v>216</v>
      </c>
      <c r="F90" s="25">
        <f>ROUND((B90/Stats!$B$8)*100000,0)</f>
        <v>496</v>
      </c>
      <c r="G90" s="22">
        <f>ROUND((C90/Stats!$B$8)*100000,0)</f>
        <v>11</v>
      </c>
      <c r="H90" s="213">
        <v>2241</v>
      </c>
      <c r="I90" s="6">
        <f t="shared" ref="I90" si="69">H90-H89</f>
        <v>46</v>
      </c>
      <c r="J90" s="35">
        <f t="shared" ref="J90" si="70">IFERROR(ROUND(((H90/H89)-1)*100,2),"")</f>
        <v>2.1</v>
      </c>
      <c r="K90" s="9">
        <f t="shared" si="63"/>
        <v>4.5</v>
      </c>
      <c r="L90" s="43">
        <f>ROUND(((H90/Stats!$B$8)*100000),0)</f>
        <v>22</v>
      </c>
      <c r="M90" s="96">
        <f>Stats!$B$8-N90</f>
        <v>4783720</v>
      </c>
      <c r="N90" s="97">
        <f>ROUND(Stats!$B$33/(1+(Stats!$B$34*EXP(-1*Stats!$B$32*(X90-$X$25)))),0)</f>
        <v>5255387</v>
      </c>
      <c r="O90" s="101">
        <f t="shared" ref="O90:O153" si="71">IFERROR(ABS((($B90/N90)-1)*100),"")</f>
        <v>99.052895628809068</v>
      </c>
      <c r="P90" s="97">
        <f>ROUND(N90*(Stats!$I$14/100),0)</f>
        <v>127180</v>
      </c>
      <c r="Q90" s="101">
        <f t="shared" si="64"/>
        <v>98.237930492215753</v>
      </c>
      <c r="R90" s="109">
        <f xml:space="preserve"> ROUND(R89 - ((R89 / Stats!$B$27)*(Stats!$B$21*S89)),0)</f>
        <v>2797246</v>
      </c>
      <c r="S90" s="99">
        <f xml:space="preserve"> ROUND(S89 + (R89/Stats!$B$27)*(Stats!$B$21*S89)-(S89*Stats!$B$22),0)</f>
        <v>1763362</v>
      </c>
      <c r="T90" s="101">
        <f t="shared" ref="T90:T153" si="72">IFERROR(ABS((($B90/S90)-1)*100),"")</f>
        <v>97.17732377129596</v>
      </c>
      <c r="U90" s="99">
        <f xml:space="preserve"> ROUND(U89 + (S89 * Stats!$B$22),0)</f>
        <v>5479031</v>
      </c>
      <c r="V90" s="99">
        <f>ROUND(S90*(Stats!$I$14/100),0)</f>
        <v>42673</v>
      </c>
      <c r="W90" s="105">
        <f t="shared" si="65"/>
        <v>94.748435779064039</v>
      </c>
      <c r="X90" s="118">
        <v>88</v>
      </c>
      <c r="Y90" s="115">
        <f>GROWTH($Y$25:Y89,$X$25:X89,X90:$X$186,1)</f>
        <v>225499806.79302526</v>
      </c>
      <c r="AA90" s="14">
        <f>GROWTH($AA$25:AA89,$X$25:X89,X90:$X$186,1)</f>
        <v>5450510.4674777938</v>
      </c>
      <c r="AB90" s="7">
        <f t="shared" si="12"/>
        <v>99.086801129967697</v>
      </c>
      <c r="AC90" s="14">
        <f>GROWTH($AC$25:AC89,$X$25:X89,X90:$X$186,1)</f>
        <v>711101.34190505336</v>
      </c>
      <c r="AD90" s="7">
        <f t="shared" si="16"/>
        <v>93.000435090355111</v>
      </c>
      <c r="AE90" s="124" t="s">
        <v>231</v>
      </c>
      <c r="AF90" s="140">
        <v>1094</v>
      </c>
      <c r="AG90" s="138">
        <f t="shared" si="17"/>
        <v>20</v>
      </c>
      <c r="AH90" s="138">
        <f t="shared" si="18"/>
        <v>1.85</v>
      </c>
      <c r="AI90" s="140">
        <v>48</v>
      </c>
      <c r="AJ90" s="138">
        <f t="shared" si="19"/>
        <v>2</v>
      </c>
      <c r="AK90" s="5">
        <f t="shared" si="20"/>
        <v>4.26</v>
      </c>
      <c r="AL90" s="5" t="str">
        <f t="shared" si="23"/>
        <v>1</v>
      </c>
      <c r="AM90" s="5" t="str">
        <f t="shared" si="24"/>
        <v>4</v>
      </c>
      <c r="AN90" s="5" t="str">
        <f t="shared" si="25"/>
        <v>0</v>
      </c>
      <c r="AO90" s="5" t="str">
        <f t="shared" si="26"/>
        <v>8</v>
      </c>
    </row>
    <row r="91" spans="1:41" x14ac:dyDescent="0.25">
      <c r="A91" s="37">
        <v>43979</v>
      </c>
      <c r="B91" s="121">
        <v>51562</v>
      </c>
      <c r="C91" s="6">
        <f t="shared" si="66"/>
        <v>1788</v>
      </c>
      <c r="D91" s="19">
        <f t="shared" ref="D91" si="73">ROUND(((B91/B90)-1)*100,2)</f>
        <v>3.59</v>
      </c>
      <c r="E91" s="35">
        <f t="shared" si="68"/>
        <v>347</v>
      </c>
      <c r="F91" s="25">
        <f>ROUND((B91/Stats!$B$8)*100000,0)</f>
        <v>514</v>
      </c>
      <c r="G91" s="22">
        <f>ROUND((C91/Stats!$B$8)*100000,0)</f>
        <v>18</v>
      </c>
      <c r="H91" s="213">
        <v>2290</v>
      </c>
      <c r="I91" s="6">
        <f t="shared" ref="I91" si="74">H91-H90</f>
        <v>49</v>
      </c>
      <c r="J91" s="35">
        <f t="shared" ref="J91" si="75">IFERROR(ROUND(((H91/H90)-1)*100,2),"")</f>
        <v>2.19</v>
      </c>
      <c r="K91" s="9">
        <f t="shared" si="63"/>
        <v>4.4400000000000004</v>
      </c>
      <c r="L91" s="43">
        <f>ROUND(((H91/Stats!$B$8)*100000),0)</f>
        <v>23</v>
      </c>
      <c r="M91" s="96">
        <f>Stats!$B$8-N91</f>
        <v>4723735</v>
      </c>
      <c r="N91" s="97">
        <f>ROUND(Stats!$B$33/(1+(Stats!$B$34*EXP(-1*Stats!$B$32*(X91-$X$25)))),0)</f>
        <v>5315372</v>
      </c>
      <c r="O91" s="101">
        <f t="shared" si="71"/>
        <v>99.029945599292006</v>
      </c>
      <c r="P91" s="97">
        <f>ROUND(N91*(Stats!$I$14/100),0)</f>
        <v>128632</v>
      </c>
      <c r="Q91" s="101">
        <f t="shared" si="64"/>
        <v>98.219727594999682</v>
      </c>
      <c r="R91" s="109">
        <f xml:space="preserve"> ROUND(R90 - ((R90 / Stats!$B$27)*(Stats!$B$21*S90)),0)</f>
        <v>2637211</v>
      </c>
      <c r="S91" s="99">
        <f xml:space="preserve"> ROUND(S90 + (R90/Stats!$B$27)*(Stats!$B$21*S90)-(S90*Stats!$B$22),0)</f>
        <v>1671488</v>
      </c>
      <c r="T91" s="101">
        <f t="shared" si="72"/>
        <v>96.915203698740285</v>
      </c>
      <c r="U91" s="99">
        <f xml:space="preserve"> ROUND(U90 + (S90 * Stats!$B$22),0)</f>
        <v>5730940</v>
      </c>
      <c r="V91" s="99">
        <f>ROUND(S91*(Stats!$I$14/100),0)</f>
        <v>40450</v>
      </c>
      <c r="W91" s="105">
        <f t="shared" si="65"/>
        <v>94.338689740420264</v>
      </c>
      <c r="X91" s="118">
        <v>89</v>
      </c>
      <c r="Y91" s="115">
        <f>GROWTH($Y$25:Y90,$X$25:X90,X91:$X$186,1)</f>
        <v>274757588.68447173</v>
      </c>
      <c r="AA91" s="14">
        <f>GROWTH($AA$25:AA90,$X$25:X90,X91:$X$186,1)</f>
        <v>6240737.3748628981</v>
      </c>
      <c r="AB91" s="7">
        <f t="shared" si="12"/>
        <v>99.17378353064997</v>
      </c>
      <c r="AC91" s="14">
        <f>GROWTH($AC$25:AC90,$X$25:X90,X91:$X$186,1)</f>
        <v>785519.91815265699</v>
      </c>
      <c r="AD91" s="7">
        <f t="shared" si="16"/>
        <v>93.435939839531926</v>
      </c>
      <c r="AE91" s="124"/>
      <c r="AF91" s="140">
        <v>1824</v>
      </c>
      <c r="AG91" s="138">
        <f t="shared" si="17"/>
        <v>36</v>
      </c>
      <c r="AH91" s="138">
        <f t="shared" si="18"/>
        <v>1.99</v>
      </c>
      <c r="AI91" s="140">
        <v>50</v>
      </c>
      <c r="AJ91" s="138">
        <f t="shared" si="19"/>
        <v>1</v>
      </c>
      <c r="AK91" s="5">
        <f t="shared" si="20"/>
        <v>2.02</v>
      </c>
      <c r="AL91" s="5" t="str">
        <f t="shared" si="23"/>
        <v>1</v>
      </c>
      <c r="AM91" s="5" t="str">
        <f t="shared" si="24"/>
        <v>5</v>
      </c>
      <c r="AN91" s="5" t="str">
        <f t="shared" si="25"/>
        <v>8</v>
      </c>
      <c r="AO91" s="5" t="str">
        <f t="shared" si="26"/>
        <v>0</v>
      </c>
    </row>
    <row r="92" spans="1:41" ht="90" x14ac:dyDescent="0.25">
      <c r="A92" s="37">
        <v>43980</v>
      </c>
      <c r="B92" s="121">
        <v>53651</v>
      </c>
      <c r="C92" s="6">
        <f t="shared" si="66"/>
        <v>2089</v>
      </c>
      <c r="D92" s="19">
        <f t="shared" ref="D92" si="76">ROUND(((B92/B91)-1)*100,2)</f>
        <v>4.05</v>
      </c>
      <c r="E92" s="35">
        <f t="shared" si="68"/>
        <v>389</v>
      </c>
      <c r="F92" s="25">
        <f>ROUND((B92/Stats!$B$8)*100000,0)</f>
        <v>534</v>
      </c>
      <c r="G92" s="22">
        <f>ROUND((C92/Stats!$B$8)*100000,0)</f>
        <v>21</v>
      </c>
      <c r="H92" s="213">
        <v>2338</v>
      </c>
      <c r="I92" s="6">
        <f t="shared" ref="I92" si="77">H92-H91</f>
        <v>48</v>
      </c>
      <c r="J92" s="35">
        <f t="shared" ref="J92" si="78">IFERROR(ROUND(((H92/H91)-1)*100,2),"")</f>
        <v>2.1</v>
      </c>
      <c r="K92" s="9">
        <f t="shared" si="63"/>
        <v>4.3600000000000003</v>
      </c>
      <c r="L92" s="43">
        <f>ROUND(((H92/Stats!$B$8)*100000),0)</f>
        <v>23</v>
      </c>
      <c r="M92" s="96">
        <f>Stats!$B$8-N92</f>
        <v>4672718</v>
      </c>
      <c r="N92" s="97">
        <f>ROUND(Stats!$B$33/(1+(Stats!$B$34*EXP(-1*Stats!$B$32*(X92-$X$25)))),0)</f>
        <v>5366389</v>
      </c>
      <c r="O92" s="101">
        <f t="shared" si="71"/>
        <v>99.00024019876308</v>
      </c>
      <c r="P92" s="97">
        <f>ROUND(N92*(Stats!$I$14/100),0)</f>
        <v>129867</v>
      </c>
      <c r="Q92" s="101">
        <f t="shared" si="64"/>
        <v>98.199696612688371</v>
      </c>
      <c r="R92" s="109">
        <f xml:space="preserve"> ROUND(R91 - ((R91 / Stats!$B$27)*(Stats!$B$21*S91)),0)</f>
        <v>2494193</v>
      </c>
      <c r="S92" s="99">
        <f xml:space="preserve"> ROUND(S91 + (R91/Stats!$B$27)*(Stats!$B$21*S91)-(S91*Stats!$B$22),0)</f>
        <v>1575722</v>
      </c>
      <c r="T92" s="101">
        <f t="shared" si="72"/>
        <v>96.59514812892121</v>
      </c>
      <c r="U92" s="99">
        <f xml:space="preserve"> ROUND(U91 + (S91 * Stats!$B$22),0)</f>
        <v>5969724</v>
      </c>
      <c r="V92" s="99">
        <f>ROUND(S92*(Stats!$I$14/100),0)</f>
        <v>38132</v>
      </c>
      <c r="W92" s="105">
        <f t="shared" si="65"/>
        <v>93.868666736599181</v>
      </c>
      <c r="X92" s="118">
        <v>90</v>
      </c>
      <c r="Y92" s="115">
        <f>GROWTH($Y$25:Y91,$X$25:X91,X92:$X$186,1)</f>
        <v>334775153.9716177</v>
      </c>
      <c r="AA92" s="14">
        <f>GROWTH($AA$25:AA91,$X$25:X91,X92:$X$186,1)</f>
        <v>7145533.1045411536</v>
      </c>
      <c r="AB92" s="7">
        <f t="shared" si="12"/>
        <v>99.249167287939599</v>
      </c>
      <c r="AC92" s="14">
        <f>GROWTH($AC$25:AC91,$X$25:X91,X92:$X$186,1)</f>
        <v>867726.58895776048</v>
      </c>
      <c r="AD92" s="7">
        <f t="shared" si="16"/>
        <v>93.817061654819057</v>
      </c>
      <c r="AE92" s="125" t="s">
        <v>236</v>
      </c>
      <c r="AF92" s="140">
        <v>2112</v>
      </c>
      <c r="AG92" s="138">
        <f t="shared" si="17"/>
        <v>23</v>
      </c>
      <c r="AH92" s="138">
        <f t="shared" si="18"/>
        <v>1.0900000000000001</v>
      </c>
      <c r="AI92" s="140">
        <v>48</v>
      </c>
      <c r="AJ92" s="138">
        <f t="shared" si="19"/>
        <v>0</v>
      </c>
      <c r="AK92" s="5">
        <f t="shared" si="20"/>
        <v>0</v>
      </c>
      <c r="AL92" s="5" t="str">
        <f t="shared" si="23"/>
        <v>2</v>
      </c>
      <c r="AM92" s="5" t="str">
        <f t="shared" si="24"/>
        <v>4</v>
      </c>
      <c r="AN92" s="5" t="str">
        <f t="shared" si="25"/>
        <v>1</v>
      </c>
      <c r="AO92" s="5" t="str">
        <f t="shared" si="26"/>
        <v>8</v>
      </c>
    </row>
    <row r="93" spans="1:41" ht="45" x14ac:dyDescent="0.25">
      <c r="A93" s="37">
        <v>43981</v>
      </c>
      <c r="B93" s="121">
        <v>54996</v>
      </c>
      <c r="C93" s="6">
        <f t="shared" si="66"/>
        <v>1345</v>
      </c>
      <c r="D93" s="19">
        <f t="shared" ref="D93" si="79">ROUND(((B93/B92)-1)*100,2)</f>
        <v>2.5099999999999998</v>
      </c>
      <c r="E93" s="35">
        <f t="shared" si="68"/>
        <v>245</v>
      </c>
      <c r="F93" s="25">
        <f>ROUND((B93/Stats!$B$8)*100000,0)</f>
        <v>548</v>
      </c>
      <c r="G93" s="22">
        <f>ROUND((C93/Stats!$B$8)*100000,0)</f>
        <v>13</v>
      </c>
      <c r="H93" s="213">
        <v>2362</v>
      </c>
      <c r="I93" s="6">
        <f t="shared" ref="I93" si="80">H93-H92</f>
        <v>24</v>
      </c>
      <c r="J93" s="35">
        <f t="shared" ref="J93" si="81">IFERROR(ROUND(((H93/H92)-1)*100,2),"")</f>
        <v>1.03</v>
      </c>
      <c r="K93" s="9">
        <f t="shared" si="63"/>
        <v>4.29</v>
      </c>
      <c r="L93" s="43">
        <f>ROUND(((H93/Stats!$B$8)*100000),0)</f>
        <v>24</v>
      </c>
      <c r="M93" s="96">
        <f>Stats!$B$8-N93</f>
        <v>4629474</v>
      </c>
      <c r="N93" s="97">
        <f>ROUND(Stats!$B$33/(1+(Stats!$B$34*EXP(-1*Stats!$B$32*(X93-$X$25)))),0)</f>
        <v>5409633</v>
      </c>
      <c r="O93" s="101">
        <f t="shared" si="71"/>
        <v>98.98336911210059</v>
      </c>
      <c r="P93" s="97">
        <f>ROUND(N93*(Stats!$I$14/100),0)</f>
        <v>130913</v>
      </c>
      <c r="Q93" s="101">
        <f t="shared" si="64"/>
        <v>98.195748321404295</v>
      </c>
      <c r="R93" s="109">
        <f xml:space="preserve"> ROUND(R92 - ((R92 / Stats!$B$27)*(Stats!$B$21*S92)),0)</f>
        <v>2366681</v>
      </c>
      <c r="S93" s="99">
        <f xml:space="preserve"> ROUND(S92 + (R92/Stats!$B$27)*(Stats!$B$21*S92)-(S92*Stats!$B$22),0)</f>
        <v>1478131</v>
      </c>
      <c r="T93" s="101">
        <f t="shared" si="72"/>
        <v>96.279355483377316</v>
      </c>
      <c r="U93" s="99">
        <f xml:space="preserve"> ROUND(U92 + (S92 * Stats!$B$22),0)</f>
        <v>6194827</v>
      </c>
      <c r="V93" s="99">
        <f>ROUND(S93*(Stats!$I$14/100),0)</f>
        <v>35771</v>
      </c>
      <c r="W93" s="105">
        <f t="shared" si="65"/>
        <v>93.396885745436251</v>
      </c>
      <c r="X93" s="118">
        <v>91</v>
      </c>
      <c r="Y93" s="115">
        <f>GROWTH($Y$25:Y92,$X$25:X92,X93:$X$186,1)</f>
        <v>407902850.84873497</v>
      </c>
      <c r="AA93" s="14">
        <f>GROWTH($AA$25:AA92,$X$25:X92,X93:$X$186,1)</f>
        <v>8181508.0945006348</v>
      </c>
      <c r="AB93" s="7">
        <f t="shared" si="12"/>
        <v>99.327801190626857</v>
      </c>
      <c r="AC93" s="14">
        <f>GROWTH($AC$25:AC92,$X$25:X92,X93:$X$186,1)</f>
        <v>958536.39835768333</v>
      </c>
      <c r="AD93" s="7">
        <f t="shared" si="16"/>
        <v>94.26250269742205</v>
      </c>
      <c r="AE93" s="125" t="s">
        <v>237</v>
      </c>
      <c r="AF93" s="140">
        <v>1379</v>
      </c>
      <c r="AG93" s="138">
        <f t="shared" si="17"/>
        <v>34</v>
      </c>
      <c r="AH93" s="138">
        <f t="shared" si="18"/>
        <v>2.5</v>
      </c>
      <c r="AI93" s="140">
        <v>25</v>
      </c>
      <c r="AJ93" s="138">
        <f t="shared" si="19"/>
        <v>1</v>
      </c>
      <c r="AK93" s="5">
        <f t="shared" si="20"/>
        <v>4.08</v>
      </c>
      <c r="AL93" s="5" t="str">
        <f t="shared" si="23"/>
        <v>1</v>
      </c>
      <c r="AM93" s="5" t="str">
        <f t="shared" si="24"/>
        <v>2</v>
      </c>
      <c r="AN93" s="5" t="str">
        <f t="shared" si="25"/>
        <v>3</v>
      </c>
      <c r="AO93" s="5" t="str">
        <f t="shared" si="26"/>
        <v>5</v>
      </c>
    </row>
    <row r="94" spans="1:41" ht="30" x14ac:dyDescent="0.25">
      <c r="A94" s="37">
        <v>43982</v>
      </c>
      <c r="B94" s="121">
        <v>55968</v>
      </c>
      <c r="C94" s="6">
        <f t="shared" si="66"/>
        <v>972</v>
      </c>
      <c r="D94" s="19">
        <f t="shared" ref="D94" si="82">ROUND(((B94/B93)-1)*100,2)</f>
        <v>1.77</v>
      </c>
      <c r="E94" s="35">
        <f t="shared" si="68"/>
        <v>174</v>
      </c>
      <c r="F94" s="25">
        <f>ROUND((B94/Stats!$B$8)*100000,0)</f>
        <v>557</v>
      </c>
      <c r="G94" s="22">
        <f>ROUND((C94/Stats!$B$8)*100000,0)</f>
        <v>10</v>
      </c>
      <c r="H94" s="213">
        <v>2384</v>
      </c>
      <c r="I94" s="6">
        <f t="shared" ref="I94" si="83">H94-H93</f>
        <v>22</v>
      </c>
      <c r="J94" s="35">
        <f t="shared" ref="J94" si="84">IFERROR(ROUND(((H94/H93)-1)*100,2),"")</f>
        <v>0.93</v>
      </c>
      <c r="K94" s="9">
        <f t="shared" si="63"/>
        <v>4.26</v>
      </c>
      <c r="L94" s="43">
        <f>ROUND(((H94/Stats!$B$8)*100000),0)</f>
        <v>24</v>
      </c>
      <c r="M94" s="96">
        <f>Stats!$B$8-N94</f>
        <v>4592921</v>
      </c>
      <c r="N94" s="97">
        <f>ROUND(Stats!$B$33/(1+(Stats!$B$34*EXP(-1*Stats!$B$32*(X94-$X$25)))),0)</f>
        <v>5446186</v>
      </c>
      <c r="O94" s="101">
        <f t="shared" si="71"/>
        <v>98.972345050279216</v>
      </c>
      <c r="P94" s="97">
        <f>ROUND(N94*(Stats!$I$14/100),0)</f>
        <v>131798</v>
      </c>
      <c r="Q94" s="101">
        <f t="shared" si="64"/>
        <v>98.191171337956575</v>
      </c>
      <c r="R94" s="109">
        <f xml:space="preserve"> ROUND(R93 - ((R93 / Stats!$B$27)*(Stats!$B$21*S93)),0)</f>
        <v>2253181</v>
      </c>
      <c r="S94" s="99">
        <f xml:space="preserve"> ROUND(S93 + (R93/Stats!$B$27)*(Stats!$B$21*S93)-(S93*Stats!$B$22),0)</f>
        <v>1380469</v>
      </c>
      <c r="T94" s="101">
        <f t="shared" si="72"/>
        <v>95.945725691775763</v>
      </c>
      <c r="U94" s="99">
        <f xml:space="preserve"> ROUND(U93 + (S93 * Stats!$B$22),0)</f>
        <v>6405989</v>
      </c>
      <c r="V94" s="99">
        <f>ROUND(S94*(Stats!$I$14/100),0)</f>
        <v>33407</v>
      </c>
      <c r="W94" s="105">
        <f t="shared" si="65"/>
        <v>92.863771065944263</v>
      </c>
      <c r="X94" s="118">
        <v>92</v>
      </c>
      <c r="Y94" s="115">
        <f>GROWTH($Y$25:Y93,$X$25:X93,X94:$X$186,1)</f>
        <v>497004433.44320607</v>
      </c>
      <c r="AA94" s="14">
        <f>GROWTH($AA$25:AA93,$X$25:X93,X94:$X$186,1)</f>
        <v>9367681.0002936684</v>
      </c>
      <c r="AB94" s="7">
        <f t="shared" si="12"/>
        <v>99.402541568204072</v>
      </c>
      <c r="AC94" s="14">
        <f>GROWTH($AC$25:AC93,$X$25:X93,X94:$X$186,1)</f>
        <v>1058849.6868352215</v>
      </c>
      <c r="AD94" s="7">
        <f t="shared" si="16"/>
        <v>94.714263913390596</v>
      </c>
      <c r="AE94" s="125" t="s">
        <v>238</v>
      </c>
      <c r="AF94" s="140">
        <v>978</v>
      </c>
      <c r="AG94" s="138">
        <f t="shared" si="17"/>
        <v>6</v>
      </c>
      <c r="AH94" s="138">
        <f t="shared" si="18"/>
        <v>0.62</v>
      </c>
      <c r="AI94" s="140">
        <v>22</v>
      </c>
      <c r="AJ94" s="138">
        <f t="shared" si="19"/>
        <v>0</v>
      </c>
      <c r="AK94" s="5">
        <f t="shared" si="20"/>
        <v>0</v>
      </c>
      <c r="AL94" s="5" t="str">
        <f t="shared" si="23"/>
        <v>9</v>
      </c>
      <c r="AM94" s="5" t="str">
        <f t="shared" si="24"/>
        <v>2</v>
      </c>
      <c r="AN94" s="5" t="str">
        <f t="shared" si="25"/>
        <v>7</v>
      </c>
      <c r="AO94" s="5" t="str">
        <f t="shared" si="26"/>
        <v>2</v>
      </c>
    </row>
    <row r="95" spans="1:41" x14ac:dyDescent="0.25">
      <c r="A95" s="37">
        <v>43983</v>
      </c>
      <c r="B95" s="121">
        <v>57118</v>
      </c>
      <c r="C95" s="6">
        <f t="shared" si="66"/>
        <v>1150</v>
      </c>
      <c r="D95" s="19">
        <f t="shared" ref="D95" si="85">ROUND(((B95/B94)-1)*100,2)</f>
        <v>2.0499999999999998</v>
      </c>
      <c r="E95" s="35">
        <f t="shared" si="68"/>
        <v>201</v>
      </c>
      <c r="F95" s="25">
        <f>ROUND((B95/Stats!$B$8)*100000,0)</f>
        <v>569</v>
      </c>
      <c r="G95" s="22">
        <f>ROUND((C95/Stats!$B$8)*100000,0)</f>
        <v>11</v>
      </c>
      <c r="H95" s="213">
        <v>2443</v>
      </c>
      <c r="I95" s="6">
        <f t="shared" ref="I95" si="86">H95-H94</f>
        <v>59</v>
      </c>
      <c r="J95" s="35">
        <f t="shared" ref="J95" si="87">IFERROR(ROUND(((H95/H94)-1)*100,2),"")</f>
        <v>2.4700000000000002</v>
      </c>
      <c r="K95" s="9">
        <f t="shared" si="63"/>
        <v>4.28</v>
      </c>
      <c r="L95" s="43">
        <f>ROUND(((H95/Stats!$B$8)*100000),0)</f>
        <v>24</v>
      </c>
      <c r="M95" s="96">
        <f>Stats!$B$8-N95</f>
        <v>4562097</v>
      </c>
      <c r="N95" s="97">
        <f>ROUND(Stats!$B$33/(1+(Stats!$B$34*EXP(-1*Stats!$B$32*(X95-$X$25)))),0)</f>
        <v>5477010</v>
      </c>
      <c r="O95" s="101">
        <f t="shared" si="71"/>
        <v>98.957131719679168</v>
      </c>
      <c r="P95" s="97">
        <f>ROUND(N95*(Stats!$I$14/100),0)</f>
        <v>132544</v>
      </c>
      <c r="Q95" s="101">
        <f t="shared" si="64"/>
        <v>98.156838483824231</v>
      </c>
      <c r="R95" s="109">
        <f xml:space="preserve"> ROUND(R94 - ((R94 / Stats!$B$27)*(Stats!$B$21*S94)),0)</f>
        <v>2152264</v>
      </c>
      <c r="S95" s="99">
        <f xml:space="preserve"> ROUND(S94 + (R94/Stats!$B$27)*(Stats!$B$21*S94)-(S94*Stats!$B$22),0)</f>
        <v>1284176</v>
      </c>
      <c r="T95" s="101">
        <f t="shared" si="72"/>
        <v>95.55216730417014</v>
      </c>
      <c r="U95" s="99">
        <f xml:space="preserve"> ROUND(U94 + (S94 * Stats!$B$22),0)</f>
        <v>6603199</v>
      </c>
      <c r="V95" s="99">
        <f>ROUND(S95*(Stats!$I$14/100),0)</f>
        <v>31077</v>
      </c>
      <c r="W95" s="105">
        <f t="shared" si="65"/>
        <v>92.138880844354347</v>
      </c>
      <c r="X95" s="118">
        <v>93</v>
      </c>
      <c r="Y95" s="115">
        <f>GROWTH($Y$25:Y94,$X$25:X94,X95:$X$186,1)</f>
        <v>605569209.3061707</v>
      </c>
      <c r="AA95" s="14">
        <f>GROWTH($AA$25:AA94,$X$25:X94,X95:$X$186,1)</f>
        <v>10725827.843676904</v>
      </c>
      <c r="AB95" s="7">
        <f t="shared" si="12"/>
        <v>99.46747234029425</v>
      </c>
      <c r="AC95" s="14">
        <f>GROWTH($AC$25:AC94,$X$25:X94,X95:$X$186,1)</f>
        <v>1169661.0178100658</v>
      </c>
      <c r="AD95" s="7">
        <f t="shared" si="16"/>
        <v>95.116704828981909</v>
      </c>
      <c r="AE95" s="124"/>
      <c r="AF95" s="140">
        <v>1202</v>
      </c>
      <c r="AG95" s="138">
        <f t="shared" si="17"/>
        <v>52</v>
      </c>
      <c r="AH95" s="138">
        <f t="shared" si="18"/>
        <v>4.42</v>
      </c>
      <c r="AI95" s="140">
        <v>60</v>
      </c>
      <c r="AJ95" s="138">
        <f t="shared" si="19"/>
        <v>1</v>
      </c>
      <c r="AK95" s="5">
        <f t="shared" si="20"/>
        <v>1.68</v>
      </c>
      <c r="AL95" s="5" t="str">
        <f t="shared" si="23"/>
        <v>1</v>
      </c>
      <c r="AM95" s="5" t="str">
        <f t="shared" si="24"/>
        <v>6</v>
      </c>
      <c r="AN95" s="5" t="str">
        <f t="shared" si="25"/>
        <v>2</v>
      </c>
      <c r="AO95" s="5" t="str">
        <f t="shared" si="26"/>
        <v>0</v>
      </c>
    </row>
    <row r="96" spans="1:41" x14ac:dyDescent="0.25">
      <c r="A96" s="37">
        <v>43984</v>
      </c>
      <c r="B96" s="121">
        <v>58234</v>
      </c>
      <c r="C96" s="6">
        <f t="shared" si="66"/>
        <v>1116</v>
      </c>
      <c r="D96" s="19">
        <f t="shared" ref="D96:D97" si="88">ROUND(((B96/B95)-1)*100,2)</f>
        <v>1.95</v>
      </c>
      <c r="E96" s="35">
        <f t="shared" si="68"/>
        <v>192</v>
      </c>
      <c r="F96" s="25">
        <f>ROUND((B96/Stats!$B$8)*100000,0)</f>
        <v>580</v>
      </c>
      <c r="G96" s="22">
        <f>ROUND((C96/Stats!$B$8)*100000,0)</f>
        <v>11</v>
      </c>
      <c r="H96" s="213">
        <v>2489</v>
      </c>
      <c r="I96" s="6">
        <f t="shared" ref="I96:I97" si="89">H96-H95</f>
        <v>46</v>
      </c>
      <c r="J96" s="35">
        <f t="shared" ref="J96:J97" si="90">IFERROR(ROUND(((H96/H95)-1)*100,2),"")</f>
        <v>1.88</v>
      </c>
      <c r="K96" s="9">
        <f t="shared" si="63"/>
        <v>4.2699999999999996</v>
      </c>
      <c r="L96" s="43">
        <f>ROUND(((H96/Stats!$B$8)*100000),0)</f>
        <v>25</v>
      </c>
      <c r="M96" s="96">
        <f>Stats!$B$8-N96</f>
        <v>4536156</v>
      </c>
      <c r="N96" s="97">
        <f>ROUND(Stats!$B$33/(1+(Stats!$B$34*EXP(-1*Stats!$B$32*(X96-$X$25)))),0)</f>
        <v>5502951</v>
      </c>
      <c r="O96" s="101">
        <f t="shared" si="71"/>
        <v>98.941767789682302</v>
      </c>
      <c r="P96" s="97">
        <f>ROUND(N96*(Stats!$I$14/100),0)</f>
        <v>133171</v>
      </c>
      <c r="Q96" s="101">
        <f t="shared" si="64"/>
        <v>98.130974461406765</v>
      </c>
      <c r="R96" s="109">
        <f xml:space="preserve"> ROUND(R95 - ((R95 / Stats!$B$27)*(Stats!$B$21*S95)),0)</f>
        <v>2062591</v>
      </c>
      <c r="S96" s="99">
        <f xml:space="preserve"> ROUND(S95 + (R95/Stats!$B$27)*(Stats!$B$21*S95)-(S95*Stats!$B$22),0)</f>
        <v>1190395</v>
      </c>
      <c r="T96" s="101">
        <f t="shared" si="72"/>
        <v>95.108010366306985</v>
      </c>
      <c r="U96" s="99">
        <f xml:space="preserve"> ROUND(U95 + (S95 * Stats!$B$22),0)</f>
        <v>6786653</v>
      </c>
      <c r="V96" s="99">
        <f>ROUND(S96*(Stats!$I$14/100),0)</f>
        <v>28808</v>
      </c>
      <c r="W96" s="105">
        <f t="shared" si="65"/>
        <v>91.360038878089426</v>
      </c>
      <c r="X96" s="118">
        <v>94</v>
      </c>
      <c r="Y96" s="115">
        <f>GROWTH($Y$25:Y95,$X$25:X95,X96:$X$186,1)</f>
        <v>737848684.20415592</v>
      </c>
      <c r="AA96" s="39">
        <f>GROWTH($AA$25:AA95,$X$25:X95,X96:$X$186,1)</f>
        <v>12280881.78158373</v>
      </c>
      <c r="AC96" s="14">
        <f>GROWTH($AC$25:AC95,$X$25:X95,X96:$X$186,1)</f>
        <v>1292069.0383104279</v>
      </c>
      <c r="AD96" s="7">
        <f t="shared" si="16"/>
        <v>95.492965292617058</v>
      </c>
      <c r="AE96" s="124" t="s">
        <v>34</v>
      </c>
      <c r="AF96" s="140">
        <v>1155</v>
      </c>
      <c r="AG96" s="138">
        <f t="shared" si="17"/>
        <v>39</v>
      </c>
      <c r="AH96" s="138">
        <f t="shared" si="18"/>
        <v>3.43</v>
      </c>
      <c r="AI96" s="140">
        <v>46</v>
      </c>
      <c r="AJ96" s="138">
        <f t="shared" si="19"/>
        <v>0</v>
      </c>
      <c r="AK96" s="5">
        <f t="shared" si="20"/>
        <v>0</v>
      </c>
      <c r="AL96" s="5" t="str">
        <f t="shared" si="23"/>
        <v>1</v>
      </c>
      <c r="AM96" s="5" t="str">
        <f t="shared" si="24"/>
        <v>4</v>
      </c>
      <c r="AN96" s="5" t="str">
        <f t="shared" si="25"/>
        <v>1</v>
      </c>
      <c r="AO96" s="5" t="str">
        <f t="shared" si="26"/>
        <v>6</v>
      </c>
    </row>
    <row r="97" spans="1:41" x14ac:dyDescent="0.25">
      <c r="A97" s="37">
        <v>43985</v>
      </c>
      <c r="B97" s="121">
        <v>59650</v>
      </c>
      <c r="C97" s="6">
        <f t="shared" si="66"/>
        <v>1416</v>
      </c>
      <c r="D97" s="19">
        <f t="shared" si="88"/>
        <v>2.4300000000000002</v>
      </c>
      <c r="E97" s="35">
        <f t="shared" si="68"/>
        <v>237</v>
      </c>
      <c r="F97" s="25">
        <f>ROUND((B97/Stats!$B$8)*100000,0)</f>
        <v>594</v>
      </c>
      <c r="G97" s="22">
        <f>ROUND((C97/Stats!$B$8)*100000,0)</f>
        <v>14</v>
      </c>
      <c r="H97" s="213">
        <v>2531</v>
      </c>
      <c r="I97" s="6">
        <f t="shared" si="89"/>
        <v>42</v>
      </c>
      <c r="J97" s="35">
        <f t="shared" si="90"/>
        <v>1.69</v>
      </c>
      <c r="K97" s="9">
        <f t="shared" si="63"/>
        <v>4.24</v>
      </c>
      <c r="L97" s="43">
        <f>ROUND(((H97/Stats!$B$8)*100000),0)</f>
        <v>25</v>
      </c>
      <c r="M97" s="96">
        <f>Stats!$B$8-N97</f>
        <v>4514363</v>
      </c>
      <c r="N97" s="97">
        <f>ROUND(Stats!$B$33/(1+(Stats!$B$34*EXP(-1*Stats!$B$32*(X97-$X$25)))),0)</f>
        <v>5524744</v>
      </c>
      <c r="O97" s="101">
        <f t="shared" si="71"/>
        <v>98.920311963776058</v>
      </c>
      <c r="P97" s="97">
        <f>ROUND(N97*(Stats!$I$14/100),0)</f>
        <v>133699</v>
      </c>
      <c r="Q97" s="101">
        <f t="shared" si="64"/>
        <v>98.106941712353873</v>
      </c>
      <c r="R97" s="109">
        <f xml:space="preserve"> ROUND(R96 - ((R96 / Stats!$B$27)*(Stats!$B$21*S96)),0)</f>
        <v>1982930</v>
      </c>
      <c r="S97" s="99">
        <f xml:space="preserve"> ROUND(S96 + (R96/Stats!$B$27)*(Stats!$B$21*S96)-(S96*Stats!$B$22),0)</f>
        <v>1100000</v>
      </c>
      <c r="T97" s="101">
        <f t="shared" si="72"/>
        <v>94.577272727272728</v>
      </c>
      <c r="U97" s="99">
        <f xml:space="preserve"> ROUND(U96 + (S96 * Stats!$B$22),0)</f>
        <v>6956709</v>
      </c>
      <c r="V97" s="99">
        <f>ROUND(S97*(Stats!$I$14/100),0)</f>
        <v>26620</v>
      </c>
      <c r="W97" s="105">
        <f t="shared" si="65"/>
        <v>90.492111194590535</v>
      </c>
      <c r="X97" s="118">
        <v>95</v>
      </c>
      <c r="Y97" s="115">
        <f>GROWTH($Y$25:Y96,$X$25:X96,X97:$X$186,1)</f>
        <v>899023055.35906053</v>
      </c>
      <c r="AA97" s="39">
        <f>GROWTH($AA$25:AA96,$X$25:X96,X97:$X$186,1)</f>
        <v>14061390.834475072</v>
      </c>
      <c r="AC97" s="14">
        <f>GROWTH($AC$25:AC96,$X$25:X96,X97:$X$186,1)</f>
        <v>1427287.3715891624</v>
      </c>
      <c r="AD97" s="7">
        <f t="shared" si="16"/>
        <v>95.820743517573135</v>
      </c>
      <c r="AE97" s="124"/>
      <c r="AF97" s="140">
        <v>1469</v>
      </c>
      <c r="AG97" s="138">
        <f t="shared" si="17"/>
        <v>53</v>
      </c>
      <c r="AH97" s="138">
        <f t="shared" si="18"/>
        <v>3.67</v>
      </c>
      <c r="AI97" s="140">
        <v>44</v>
      </c>
      <c r="AJ97" s="138">
        <f t="shared" si="19"/>
        <v>2</v>
      </c>
      <c r="AK97" s="5">
        <f t="shared" si="20"/>
        <v>4.6500000000000004</v>
      </c>
      <c r="AL97" s="5" t="str">
        <f t="shared" si="23"/>
        <v>1</v>
      </c>
      <c r="AM97" s="5" t="str">
        <f t="shared" si="24"/>
        <v>4</v>
      </c>
      <c r="AN97" s="5" t="str">
        <f t="shared" si="25"/>
        <v>4</v>
      </c>
      <c r="AO97" s="5" t="str">
        <f t="shared" si="26"/>
        <v>4</v>
      </c>
    </row>
    <row r="98" spans="1:41" x14ac:dyDescent="0.25">
      <c r="A98" s="37">
        <v>43986</v>
      </c>
      <c r="B98" s="121">
        <v>61045</v>
      </c>
      <c r="C98" s="6">
        <f t="shared" si="66"/>
        <v>1395</v>
      </c>
      <c r="D98" s="19">
        <f t="shared" ref="D98" si="91">ROUND(((B98/B97)-1)*100,2)</f>
        <v>2.34</v>
      </c>
      <c r="E98" s="35">
        <f t="shared" si="68"/>
        <v>229</v>
      </c>
      <c r="F98" s="25">
        <f>ROUND((B98/Stats!$B$8)*100000,0)</f>
        <v>608</v>
      </c>
      <c r="G98" s="22">
        <f>ROUND((C98/Stats!$B$8)*100000,0)</f>
        <v>14</v>
      </c>
      <c r="H98" s="213">
        <v>2565</v>
      </c>
      <c r="I98" s="6">
        <f t="shared" ref="I98" si="92">H98-H97</f>
        <v>34</v>
      </c>
      <c r="J98" s="35">
        <f t="shared" ref="J98" si="93">IFERROR(ROUND(((H98/H97)-1)*100,2),"")</f>
        <v>1.34</v>
      </c>
      <c r="K98" s="9">
        <f t="shared" si="63"/>
        <v>4.2</v>
      </c>
      <c r="L98" s="43">
        <f>ROUND(((H98/Stats!$B$8)*100000),0)</f>
        <v>26</v>
      </c>
      <c r="M98" s="96">
        <f>Stats!$B$8-N98</f>
        <v>4496079</v>
      </c>
      <c r="N98" s="97">
        <f>ROUND(Stats!$B$33/(1+(Stats!$B$34*EXP(-1*Stats!$B$32*(X98-$X$25)))),0)</f>
        <v>5543028</v>
      </c>
      <c r="O98" s="101">
        <f t="shared" si="71"/>
        <v>98.898706627496736</v>
      </c>
      <c r="P98" s="97">
        <f>ROUND(N98*(Stats!$I$14/100),0)</f>
        <v>134141</v>
      </c>
      <c r="Q98" s="101">
        <f t="shared" si="64"/>
        <v>98.087832951893901</v>
      </c>
      <c r="R98" s="109">
        <f xml:space="preserve"> ROUND(R97 - ((R97 / Stats!$B$27)*(Stats!$B$21*S97)),0)</f>
        <v>1912161</v>
      </c>
      <c r="S98" s="99">
        <f xml:space="preserve"> ROUND(S97 + (R97/Stats!$B$27)*(Stats!$B$21*S97)-(S97*Stats!$B$22),0)</f>
        <v>1013626</v>
      </c>
      <c r="T98" s="101">
        <f t="shared" si="72"/>
        <v>93.97756174368061</v>
      </c>
      <c r="U98" s="99">
        <f xml:space="preserve"> ROUND(U97 + (S97 * Stats!$B$22),0)</f>
        <v>7113852</v>
      </c>
      <c r="V98" s="99">
        <f>ROUND(S98*(Stats!$I$14/100),0)</f>
        <v>24530</v>
      </c>
      <c r="W98" s="105">
        <f t="shared" si="65"/>
        <v>89.543416225030569</v>
      </c>
      <c r="X98" s="118">
        <v>96</v>
      </c>
      <c r="Y98" s="115">
        <f>GROWTH($Y$25:Y97,$X$25:X97,X98:$X$186,1)</f>
        <v>1095404073.179193</v>
      </c>
      <c r="AA98" s="39">
        <f>GROWTH($AA$25:AA97,$X$25:X97,X98:$X$186,1)</f>
        <v>16100041.977145424</v>
      </c>
      <c r="AC98" s="14">
        <f>GROWTH($AC$25:AC97,$X$25:X97,X98:$X$186,1)</f>
        <v>1576656.6496800943</v>
      </c>
      <c r="AD98" s="7">
        <f t="shared" si="16"/>
        <v>96.128199502892016</v>
      </c>
      <c r="AE98" s="124"/>
      <c r="AF98" s="140">
        <v>1445</v>
      </c>
      <c r="AG98" s="138">
        <f t="shared" si="17"/>
        <v>50</v>
      </c>
      <c r="AH98" s="138">
        <f t="shared" si="18"/>
        <v>3.52</v>
      </c>
      <c r="AI98" s="140">
        <v>36</v>
      </c>
      <c r="AJ98" s="138">
        <f t="shared" si="19"/>
        <v>2</v>
      </c>
      <c r="AK98" s="5">
        <f t="shared" si="20"/>
        <v>5.71</v>
      </c>
      <c r="AL98" s="5" t="str">
        <f t="shared" si="23"/>
        <v>1</v>
      </c>
      <c r="AM98" s="5" t="str">
        <f t="shared" si="24"/>
        <v>3</v>
      </c>
      <c r="AN98" s="5" t="str">
        <f t="shared" si="25"/>
        <v>4</v>
      </c>
      <c r="AO98" s="5" t="str">
        <f t="shared" si="26"/>
        <v>6</v>
      </c>
    </row>
    <row r="99" spans="1:41" x14ac:dyDescent="0.25">
      <c r="A99" s="37">
        <v>43987</v>
      </c>
      <c r="B99" s="121">
        <v>62338</v>
      </c>
      <c r="C99" s="6">
        <f t="shared" si="66"/>
        <v>1293</v>
      </c>
      <c r="D99" s="19">
        <f t="shared" ref="D99" si="94">ROUND(((B99/B98)-1)*100,2)</f>
        <v>2.12</v>
      </c>
      <c r="E99" s="35">
        <f t="shared" si="68"/>
        <v>207</v>
      </c>
      <c r="F99" s="25">
        <f>ROUND((B99/Stats!$B$8)*100000,0)</f>
        <v>621</v>
      </c>
      <c r="G99" s="22">
        <f>ROUND((C99/Stats!$B$8)*100000,0)</f>
        <v>13</v>
      </c>
      <c r="H99" s="213">
        <v>2620</v>
      </c>
      <c r="I99" s="6">
        <f t="shared" ref="I99" si="95">H99-H98</f>
        <v>55</v>
      </c>
      <c r="J99" s="35">
        <f t="shared" ref="J99" si="96">IFERROR(ROUND(((H99/H98)-1)*100,2),"")</f>
        <v>2.14</v>
      </c>
      <c r="K99" s="9">
        <f t="shared" si="63"/>
        <v>4.2</v>
      </c>
      <c r="L99" s="43">
        <f>ROUND(((H99/Stats!$B$8)*100000),0)</f>
        <v>26</v>
      </c>
      <c r="M99" s="96">
        <f>Stats!$B$8-N99</f>
        <v>4480758</v>
      </c>
      <c r="N99" s="97">
        <f>ROUND(Stats!$B$33/(1+(Stats!$B$34*EXP(-1*Stats!$B$32*(X99-$X$25)))),0)</f>
        <v>5558349</v>
      </c>
      <c r="O99" s="101">
        <f t="shared" si="71"/>
        <v>98.878479922725262</v>
      </c>
      <c r="P99" s="97">
        <f>ROUND(N99*(Stats!$I$14/100),0)</f>
        <v>134512</v>
      </c>
      <c r="Q99" s="101">
        <f t="shared" si="64"/>
        <v>98.052218389437371</v>
      </c>
      <c r="R99" s="109">
        <f xml:space="preserve"> ROUND(R98 - ((R98 / Stats!$B$27)*(Stats!$B$21*S98)),0)</f>
        <v>1849276</v>
      </c>
      <c r="S99" s="99">
        <f xml:space="preserve"> ROUND(S98 + (R98/Stats!$B$27)*(Stats!$B$21*S98)-(S98*Stats!$B$22),0)</f>
        <v>931707</v>
      </c>
      <c r="T99" s="101">
        <f t="shared" si="72"/>
        <v>93.309269974358884</v>
      </c>
      <c r="U99" s="99">
        <f xml:space="preserve"> ROUND(U98 + (S98 * Stats!$B$22),0)</f>
        <v>7258656</v>
      </c>
      <c r="V99" s="99">
        <f>ROUND(S99*(Stats!$I$14/100),0)</f>
        <v>22547</v>
      </c>
      <c r="W99" s="105">
        <f t="shared" si="65"/>
        <v>88.379828802057929</v>
      </c>
      <c r="X99" s="118">
        <v>97</v>
      </c>
      <c r="Y99" s="115">
        <f>GROWTH($Y$25:Y98,$X$25:X98,X99:$X$186,1)</f>
        <v>1334682215.7506661</v>
      </c>
      <c r="AA99" s="39">
        <f>GROWTH($AA$25:AA98,$X$25:X98,X99:$X$186,1)</f>
        <v>18434261.213358946</v>
      </c>
      <c r="AC99" s="14">
        <f>GROWTH($AC$25:AC98,$X$25:X98,X99:$X$186,1)</f>
        <v>1741657.8051921562</v>
      </c>
      <c r="AD99" s="7">
        <f t="shared" si="16"/>
        <v>96.420766478112938</v>
      </c>
      <c r="AE99" s="124"/>
      <c r="AF99" s="140">
        <v>1329</v>
      </c>
      <c r="AG99" s="138">
        <f t="shared" si="17"/>
        <v>36</v>
      </c>
      <c r="AH99" s="138">
        <f t="shared" si="18"/>
        <v>2.75</v>
      </c>
      <c r="AI99" s="140">
        <v>56</v>
      </c>
      <c r="AJ99" s="138">
        <f t="shared" si="19"/>
        <v>1</v>
      </c>
      <c r="AK99" s="5">
        <f t="shared" si="20"/>
        <v>1.8</v>
      </c>
      <c r="AL99" s="5" t="str">
        <f t="shared" si="23"/>
        <v>1</v>
      </c>
      <c r="AM99" s="5" t="str">
        <f t="shared" si="24"/>
        <v>5</v>
      </c>
      <c r="AN99" s="5" t="str">
        <f t="shared" si="25"/>
        <v>3</v>
      </c>
      <c r="AO99" s="5" t="str">
        <f t="shared" si="26"/>
        <v>6</v>
      </c>
    </row>
    <row r="100" spans="1:41" x14ac:dyDescent="0.25">
      <c r="A100" s="37">
        <v>43988</v>
      </c>
      <c r="B100" s="121">
        <v>63844</v>
      </c>
      <c r="C100" s="6">
        <f t="shared" si="66"/>
        <v>1506</v>
      </c>
      <c r="D100" s="19">
        <f t="shared" ref="D100" si="97">ROUND(((B100/B99)-1)*100,2)</f>
        <v>2.42</v>
      </c>
      <c r="E100" s="35">
        <f t="shared" si="68"/>
        <v>236</v>
      </c>
      <c r="F100" s="25">
        <f>ROUND((B100/Stats!$B$8)*100000,0)</f>
        <v>636</v>
      </c>
      <c r="G100" s="22">
        <f>ROUND((C100/Stats!$B$8)*100000,0)</f>
        <v>15</v>
      </c>
      <c r="H100" s="213">
        <v>2645</v>
      </c>
      <c r="I100" s="6">
        <f t="shared" ref="I100" si="98">H100-H99</f>
        <v>25</v>
      </c>
      <c r="J100" s="35">
        <f t="shared" ref="J100" si="99">IFERROR(ROUND(((H100/H99)-1)*100,2),"")</f>
        <v>0.95</v>
      </c>
      <c r="K100" s="9">
        <f t="shared" si="63"/>
        <v>4.1399999999999997</v>
      </c>
      <c r="L100" s="43">
        <f>ROUND(((H100/Stats!$B$8)*100000),0)</f>
        <v>26</v>
      </c>
      <c r="M100" s="96">
        <f>Stats!$B$8-N100</f>
        <v>4467932</v>
      </c>
      <c r="N100" s="97">
        <f>ROUND(Stats!$B$33/(1+(Stats!$B$34*EXP(-1*Stats!$B$32*(X100-$X$25)))),0)</f>
        <v>5571175</v>
      </c>
      <c r="O100" s="101">
        <f t="shared" si="71"/>
        <v>98.854029894950344</v>
      </c>
      <c r="P100" s="97">
        <f>ROUND(N100*(Stats!$I$14/100),0)</f>
        <v>134822</v>
      </c>
      <c r="Q100" s="101">
        <f t="shared" si="64"/>
        <v>98.038154010473065</v>
      </c>
      <c r="R100" s="109">
        <f xml:space="preserve"> ROUND(R99 - ((R99 / Stats!$B$27)*(Stats!$B$21*S99)),0)</f>
        <v>1793375</v>
      </c>
      <c r="S100" s="99">
        <f xml:space="preserve"> ROUND(S99 + (R99/Stats!$B$27)*(Stats!$B$21*S99)-(S99*Stats!$B$22),0)</f>
        <v>854507</v>
      </c>
      <c r="T100" s="101">
        <f t="shared" si="72"/>
        <v>92.528557402104369</v>
      </c>
      <c r="U100" s="99">
        <f xml:space="preserve"> ROUND(U99 + (S99 * Stats!$B$22),0)</f>
        <v>7391757</v>
      </c>
      <c r="V100" s="99">
        <f>ROUND(S100*(Stats!$I$14/100),0)</f>
        <v>20679</v>
      </c>
      <c r="W100" s="105">
        <f t="shared" si="65"/>
        <v>87.209246095072302</v>
      </c>
      <c r="X100" s="118">
        <v>98</v>
      </c>
      <c r="Y100" s="115">
        <f>GROWTH($Y$25:Y99,$X$25:X99,X100:$X$186,1)</f>
        <v>1626227855.6907458</v>
      </c>
      <c r="AA100" s="39">
        <f>GROWTH($AA$25:AA99,$X$25:X99,X100:$X$186,1)</f>
        <v>21106900.650615606</v>
      </c>
      <c r="AC100" s="14">
        <f>GROWTH($AC$25:AC99,$X$25:X99,X100:$X$186,1)</f>
        <v>1923926.7541238156</v>
      </c>
      <c r="AD100" s="7">
        <f t="shared" si="16"/>
        <v>96.68157845078278</v>
      </c>
      <c r="AE100" s="124"/>
      <c r="AF100" s="140">
        <v>1523</v>
      </c>
      <c r="AG100" s="138">
        <f t="shared" si="17"/>
        <v>17</v>
      </c>
      <c r="AH100" s="138">
        <f t="shared" si="18"/>
        <v>1.1200000000000001</v>
      </c>
      <c r="AI100" s="140">
        <v>25</v>
      </c>
      <c r="AJ100" s="138">
        <f t="shared" si="19"/>
        <v>0</v>
      </c>
      <c r="AK100" s="5">
        <f t="shared" si="20"/>
        <v>0</v>
      </c>
      <c r="AL100" s="5" t="str">
        <f t="shared" si="23"/>
        <v>1</v>
      </c>
      <c r="AM100" s="5" t="str">
        <f t="shared" si="24"/>
        <v>2</v>
      </c>
      <c r="AN100" s="5" t="str">
        <f t="shared" si="25"/>
        <v>5</v>
      </c>
      <c r="AO100" s="5" t="str">
        <f t="shared" si="26"/>
        <v>5</v>
      </c>
    </row>
    <row r="101" spans="1:41" x14ac:dyDescent="0.25">
      <c r="A101" s="37">
        <v>43989</v>
      </c>
      <c r="B101" s="121">
        <v>64644</v>
      </c>
      <c r="C101" s="6">
        <f t="shared" si="66"/>
        <v>800</v>
      </c>
      <c r="D101" s="19">
        <f t="shared" ref="D101" si="100">ROUND(((B101/B100)-1)*100,2)</f>
        <v>1.25</v>
      </c>
      <c r="E101" s="35">
        <f t="shared" si="68"/>
        <v>124</v>
      </c>
      <c r="F101" s="25">
        <f>ROUND((B101/Stats!$B$8)*100000,0)</f>
        <v>644</v>
      </c>
      <c r="G101" s="22">
        <f>ROUND((C101/Stats!$B$8)*100000,0)</f>
        <v>8</v>
      </c>
      <c r="H101" s="213">
        <v>2655</v>
      </c>
      <c r="I101" s="6">
        <f t="shared" ref="I101" si="101">H101-H100</f>
        <v>10</v>
      </c>
      <c r="J101" s="35">
        <f t="shared" ref="J101" si="102">IFERROR(ROUND(((H101/H100)-1)*100,2),"")</f>
        <v>0.38</v>
      </c>
      <c r="K101" s="9">
        <f t="shared" si="63"/>
        <v>4.1100000000000003</v>
      </c>
      <c r="L101" s="43">
        <f>ROUND(((H101/Stats!$B$8)*100000),0)</f>
        <v>26</v>
      </c>
      <c r="M101" s="96">
        <f>Stats!$B$8-N101</f>
        <v>4457205</v>
      </c>
      <c r="N101" s="97">
        <f>ROUND(Stats!$B$33/(1+(Stats!$B$34*EXP(-1*Stats!$B$32*(X101-$X$25)))),0)</f>
        <v>5581902</v>
      </c>
      <c r="O101" s="101">
        <f t="shared" si="71"/>
        <v>98.841900126516009</v>
      </c>
      <c r="P101" s="97">
        <f>ROUND(N101*(Stats!$I$14/100),0)</f>
        <v>135082</v>
      </c>
      <c r="Q101" s="101">
        <f t="shared" si="64"/>
        <v>98.034527176085646</v>
      </c>
      <c r="R101" s="109">
        <f xml:space="preserve"> ROUND(R100 - ((R100 / Stats!$B$27)*(Stats!$B$21*S100)),0)</f>
        <v>1743655</v>
      </c>
      <c r="S101" s="99">
        <f xml:space="preserve"> ROUND(S100 + (R100/Stats!$B$27)*(Stats!$B$21*S100)-(S100*Stats!$B$22),0)</f>
        <v>782154</v>
      </c>
      <c r="T101" s="101">
        <f t="shared" si="72"/>
        <v>91.735131444702716</v>
      </c>
      <c r="U101" s="99">
        <f xml:space="preserve"> ROUND(U100 + (S100 * Stats!$B$22),0)</f>
        <v>7513829</v>
      </c>
      <c r="V101" s="99">
        <f>ROUND(S101*(Stats!$I$14/100),0)</f>
        <v>18928</v>
      </c>
      <c r="W101" s="105">
        <f t="shared" si="65"/>
        <v>85.973161453930686</v>
      </c>
      <c r="X101" s="118">
        <v>99</v>
      </c>
      <c r="Y101" s="115">
        <f>GROWTH($Y$25:Y100,$X$25:X100,X101:$X$186,1)</f>
        <v>1981458213.3598838</v>
      </c>
      <c r="AA101" s="39">
        <f>GROWTH($AA$25:AA100,$X$25:X100,X101:$X$186,1)</f>
        <v>24167025.188517626</v>
      </c>
      <c r="AC101" s="14">
        <f>GROWTH($AC$25:AC100,$X$25:X100,X101:$X$186,1)</f>
        <v>2125270.6152716512</v>
      </c>
      <c r="AD101" s="7">
        <f t="shared" si="16"/>
        <v>96.958316765145824</v>
      </c>
      <c r="AE101" s="124"/>
      <c r="AF101" s="140">
        <v>823</v>
      </c>
      <c r="AG101" s="138">
        <f t="shared" si="17"/>
        <v>23</v>
      </c>
      <c r="AH101" s="138">
        <f t="shared" si="18"/>
        <v>2.83</v>
      </c>
      <c r="AI101" s="140">
        <v>10</v>
      </c>
      <c r="AJ101" s="138">
        <f t="shared" si="19"/>
        <v>0</v>
      </c>
      <c r="AK101" s="5">
        <f t="shared" si="20"/>
        <v>0</v>
      </c>
      <c r="AL101" s="5" t="str">
        <f t="shared" si="23"/>
        <v>8</v>
      </c>
      <c r="AM101" s="5" t="str">
        <f t="shared" si="24"/>
        <v>1</v>
      </c>
      <c r="AN101" s="5" t="str">
        <f t="shared" si="25"/>
        <v>2</v>
      </c>
      <c r="AO101" s="5" t="str">
        <f t="shared" si="26"/>
        <v>0</v>
      </c>
    </row>
    <row r="102" spans="1:41" x14ac:dyDescent="0.25">
      <c r="A102" s="37">
        <v>43990</v>
      </c>
      <c r="B102" s="121">
        <v>65822</v>
      </c>
      <c r="C102" s="6">
        <f t="shared" si="66"/>
        <v>1178</v>
      </c>
      <c r="D102" s="19">
        <f t="shared" ref="D102" si="103">ROUND(((B102/B101)-1)*100,2)</f>
        <v>1.82</v>
      </c>
      <c r="E102" s="35">
        <f t="shared" si="68"/>
        <v>179</v>
      </c>
      <c r="F102" s="25">
        <f>ROUND((B102/Stats!$B$8)*100000,0)</f>
        <v>656</v>
      </c>
      <c r="G102" s="22">
        <f>ROUND((C102/Stats!$B$8)*100000,0)</f>
        <v>12</v>
      </c>
      <c r="H102" s="213">
        <v>2707</v>
      </c>
      <c r="I102" s="6">
        <f t="shared" ref="I102" si="104">H102-H101</f>
        <v>52</v>
      </c>
      <c r="J102" s="35">
        <f t="shared" ref="J102" si="105">IFERROR(ROUND(((H102/H101)-1)*100,2),"")</f>
        <v>1.96</v>
      </c>
      <c r="K102" s="9">
        <f t="shared" si="63"/>
        <v>4.1100000000000003</v>
      </c>
      <c r="L102" s="43">
        <f>ROUND(((H102/Stats!$B$8)*100000),0)</f>
        <v>27</v>
      </c>
      <c r="M102" s="96">
        <f>Stats!$B$8-N102</f>
        <v>4448238</v>
      </c>
      <c r="N102" s="97">
        <f>ROUND(Stats!$B$33/(1+(Stats!$B$34*EXP(-1*Stats!$B$32*(X102-$X$25)))),0)</f>
        <v>5590869</v>
      </c>
      <c r="O102" s="101">
        <f t="shared" si="71"/>
        <v>98.82268749276723</v>
      </c>
      <c r="P102" s="97">
        <f>ROUND(N102*(Stats!$I$14/100),0)</f>
        <v>135299</v>
      </c>
      <c r="Q102" s="101">
        <f t="shared" si="64"/>
        <v>97.999246114161963</v>
      </c>
      <c r="R102" s="109">
        <f xml:space="preserve"> ROUND(R101 - ((R101 / Stats!$B$27)*(Stats!$B$21*S101)),0)</f>
        <v>1699407</v>
      </c>
      <c r="S102" s="99">
        <f xml:space="preserve"> ROUND(S101 + (R101/Stats!$B$27)*(Stats!$B$21*S101)-(S101*Stats!$B$22),0)</f>
        <v>714666</v>
      </c>
      <c r="T102" s="101">
        <f t="shared" si="72"/>
        <v>90.789823497969678</v>
      </c>
      <c r="U102" s="99">
        <f xml:space="preserve"> ROUND(U101 + (S101 * Stats!$B$22),0)</f>
        <v>7625565</v>
      </c>
      <c r="V102" s="99">
        <f>ROUND(S102*(Stats!$I$14/100),0)</f>
        <v>17295</v>
      </c>
      <c r="W102" s="105">
        <f t="shared" si="65"/>
        <v>84.348077479040185</v>
      </c>
      <c r="X102" s="118">
        <v>100</v>
      </c>
      <c r="Y102" s="115">
        <f>GROWTH($Y$25:Y101,$X$25:X101,X102:$X$186,1)</f>
        <v>2414284466.6891313</v>
      </c>
      <c r="AA102" s="39">
        <f>GROWTH($AA$25:AA101,$X$25:X101,X102:$X$186,1)</f>
        <v>27670813.262932241</v>
      </c>
      <c r="AC102" s="14">
        <f>GROWTH($AC$25:AC101,$X$25:X101,X102:$X$186,1)</f>
        <v>2347685.6270415261</v>
      </c>
      <c r="AD102" s="7">
        <f t="shared" si="16"/>
        <v>97.196302637719569</v>
      </c>
      <c r="AE102" s="124"/>
      <c r="AF102" s="140">
        <v>1225</v>
      </c>
      <c r="AG102" s="138">
        <f t="shared" si="17"/>
        <v>47</v>
      </c>
      <c r="AH102" s="138">
        <f t="shared" si="18"/>
        <v>3.91</v>
      </c>
      <c r="AI102" s="140">
        <v>56</v>
      </c>
      <c r="AJ102" s="138">
        <f t="shared" si="19"/>
        <v>4</v>
      </c>
      <c r="AK102" s="5">
        <f t="shared" si="20"/>
        <v>7.41</v>
      </c>
      <c r="AL102" s="5" t="str">
        <f t="shared" si="23"/>
        <v>1</v>
      </c>
      <c r="AM102" s="5" t="str">
        <f t="shared" si="24"/>
        <v>5</v>
      </c>
      <c r="AN102" s="5" t="str">
        <f t="shared" si="25"/>
        <v>2</v>
      </c>
      <c r="AO102" s="5" t="str">
        <f t="shared" si="26"/>
        <v>6</v>
      </c>
    </row>
    <row r="103" spans="1:41" x14ac:dyDescent="0.25">
      <c r="A103" s="37">
        <v>43991</v>
      </c>
      <c r="B103" s="121">
        <v>67064</v>
      </c>
      <c r="C103" s="6">
        <f t="shared" si="66"/>
        <v>1242</v>
      </c>
      <c r="D103" s="19">
        <f t="shared" ref="D103" si="106">ROUND(((B103/B102)-1)*100,2)</f>
        <v>1.89</v>
      </c>
      <c r="E103" s="35">
        <f t="shared" si="68"/>
        <v>185</v>
      </c>
      <c r="F103" s="25">
        <f>ROUND((B103/Stats!$B$8)*100000,0)</f>
        <v>668</v>
      </c>
      <c r="G103" s="22">
        <f>ROUND((C103/Stats!$B$8)*100000,0)</f>
        <v>12</v>
      </c>
      <c r="H103" s="213">
        <v>2768</v>
      </c>
      <c r="I103" s="6">
        <f t="shared" ref="I103" si="107">H103-H102</f>
        <v>61</v>
      </c>
      <c r="J103" s="35">
        <f t="shared" ref="J103" si="108">IFERROR(ROUND(((H103/H102)-1)*100,2),"")</f>
        <v>2.25</v>
      </c>
      <c r="K103" s="9">
        <f t="shared" si="63"/>
        <v>4.13</v>
      </c>
      <c r="L103" s="43">
        <f>ROUND(((H103/Stats!$B$8)*100000),0)</f>
        <v>28</v>
      </c>
      <c r="M103" s="96">
        <f>Stats!$B$8-N103</f>
        <v>4440748</v>
      </c>
      <c r="N103" s="97">
        <f>ROUND(Stats!$B$33/(1+(Stats!$B$34*EXP(-1*Stats!$B$32*(X103-$X$25)))),0)</f>
        <v>5598359</v>
      </c>
      <c r="O103" s="101">
        <f t="shared" si="71"/>
        <v>98.80207753736407</v>
      </c>
      <c r="P103" s="97">
        <f>ROUND(N103*(Stats!$I$14/100),0)</f>
        <v>135480</v>
      </c>
      <c r="Q103" s="101">
        <f t="shared" si="64"/>
        <v>97.956894006495418</v>
      </c>
      <c r="R103" s="109">
        <f xml:space="preserve"> ROUND(R102 - ((R102 / Stats!$B$27)*(Stats!$B$21*S102)),0)</f>
        <v>1660003</v>
      </c>
      <c r="S103" s="99">
        <f xml:space="preserve"> ROUND(S102 + (R102/Stats!$B$27)*(Stats!$B$21*S102)-(S102*Stats!$B$22),0)</f>
        <v>651975</v>
      </c>
      <c r="T103" s="101">
        <f t="shared" si="72"/>
        <v>89.713716016718436</v>
      </c>
      <c r="U103" s="99">
        <f xml:space="preserve"> ROUND(U102 + (S102 * Stats!$B$22),0)</f>
        <v>7727660</v>
      </c>
      <c r="V103" s="99">
        <f>ROUND(S103*(Stats!$I$14/100),0)</f>
        <v>15778</v>
      </c>
      <c r="W103" s="105">
        <f t="shared" si="65"/>
        <v>82.456585118519456</v>
      </c>
      <c r="X103" s="118">
        <v>101</v>
      </c>
      <c r="Y103" s="115">
        <f>GROWTH($Y$25:Y102,$X$25:X102,X103:$X$186,1)</f>
        <v>2941656526.8933082</v>
      </c>
      <c r="AA103" s="39">
        <f>GROWTH($AA$25:AA102,$X$25:X102,X103:$X$186,1)</f>
        <v>31682588.182009954</v>
      </c>
      <c r="AC103" s="14">
        <f>GROWTH($AC$25:AC102,$X$25:X102,X103:$X$186,1)</f>
        <v>2593376.9392999774</v>
      </c>
      <c r="AD103" s="7">
        <f t="shared" si="16"/>
        <v>97.414028058022978</v>
      </c>
      <c r="AE103" s="124"/>
      <c r="AF103" s="140">
        <v>1275</v>
      </c>
      <c r="AG103" s="138">
        <f t="shared" si="17"/>
        <v>33</v>
      </c>
      <c r="AH103" s="138">
        <f t="shared" si="18"/>
        <v>2.62</v>
      </c>
      <c r="AI103" s="140">
        <v>61</v>
      </c>
      <c r="AJ103" s="138">
        <f t="shared" si="19"/>
        <v>0</v>
      </c>
      <c r="AK103" s="5">
        <f t="shared" si="20"/>
        <v>0</v>
      </c>
      <c r="AL103" s="5" t="str">
        <f t="shared" si="23"/>
        <v>1</v>
      </c>
      <c r="AM103" s="5" t="str">
        <f t="shared" si="24"/>
        <v>6</v>
      </c>
      <c r="AN103" s="5" t="str">
        <f t="shared" si="25"/>
        <v>2</v>
      </c>
      <c r="AO103" s="5" t="str">
        <f t="shared" si="26"/>
        <v>1</v>
      </c>
    </row>
    <row r="104" spans="1:41" x14ac:dyDescent="0.25">
      <c r="A104" s="37">
        <v>43992</v>
      </c>
      <c r="B104" s="121">
        <v>68875</v>
      </c>
      <c r="C104" s="6">
        <f t="shared" si="66"/>
        <v>1811</v>
      </c>
      <c r="D104" s="19">
        <f t="shared" ref="D104" si="109">ROUND(((B104/B103)-1)*100,2)</f>
        <v>2.7</v>
      </c>
      <c r="E104" s="35">
        <f t="shared" si="68"/>
        <v>263</v>
      </c>
      <c r="F104" s="25">
        <f>ROUND((B104/Stats!$B$8)*100000,0)</f>
        <v>686</v>
      </c>
      <c r="G104" s="22">
        <f>ROUND((C104/Stats!$B$8)*100000,0)</f>
        <v>18</v>
      </c>
      <c r="H104" s="213">
        <v>2813</v>
      </c>
      <c r="I104" s="6">
        <f t="shared" ref="I104" si="110">H104-H103</f>
        <v>45</v>
      </c>
      <c r="J104" s="35">
        <f t="shared" ref="J104" si="111">IFERROR(ROUND(((H104/H103)-1)*100,2),"")</f>
        <v>1.63</v>
      </c>
      <c r="K104" s="9">
        <f t="shared" si="63"/>
        <v>4.08</v>
      </c>
      <c r="L104" s="43">
        <f>ROUND(((H104/Stats!$B$8)*100000),0)</f>
        <v>28</v>
      </c>
      <c r="M104" s="96">
        <f>Stats!$B$8-N104</f>
        <v>4434495</v>
      </c>
      <c r="N104" s="97">
        <f>ROUND(Stats!$B$33/(1+(Stats!$B$34*EXP(-1*Stats!$B$32*(X104-$X$25)))),0)</f>
        <v>5604612</v>
      </c>
      <c r="O104" s="101">
        <f t="shared" si="71"/>
        <v>98.771101371513311</v>
      </c>
      <c r="P104" s="97">
        <f>ROUND(N104*(Stats!$I$14/100),0)</f>
        <v>135632</v>
      </c>
      <c r="Q104" s="101">
        <f t="shared" si="64"/>
        <v>97.926005662380561</v>
      </c>
      <c r="R104" s="109">
        <f xml:space="preserve"> ROUND(R103 - ((R103 / Stats!$B$27)*(Stats!$B$21*S103)),0)</f>
        <v>1624889</v>
      </c>
      <c r="S104" s="99">
        <f xml:space="preserve"> ROUND(S103 + (R103/Stats!$B$27)*(Stats!$B$21*S103)-(S103*Stats!$B$22),0)</f>
        <v>593950</v>
      </c>
      <c r="T104" s="101">
        <f t="shared" si="72"/>
        <v>88.403906052698034</v>
      </c>
      <c r="U104" s="99">
        <f xml:space="preserve"> ROUND(U103 + (S103 * Stats!$B$22),0)</f>
        <v>7820799</v>
      </c>
      <c r="V104" s="99">
        <f>ROUND(S104*(Stats!$I$14/100),0)</f>
        <v>14374</v>
      </c>
      <c r="W104" s="105">
        <f t="shared" si="65"/>
        <v>80.429942952553219</v>
      </c>
      <c r="X104" s="118">
        <v>102</v>
      </c>
      <c r="Y104" s="115">
        <f>GROWTH($Y$25:Y103,$X$25:X103,X104:$X$186,1)</f>
        <v>3584226814.0344057</v>
      </c>
      <c r="AA104" s="39">
        <f>GROWTH($AA$25:AA103,$X$25:X103,X104:$X$186,1)</f>
        <v>36275998.987550654</v>
      </c>
      <c r="AC104" s="14">
        <f>GROWTH($AC$25:AC103,$X$25:X103,X104:$X$186,1)</f>
        <v>2864780.4764934727</v>
      </c>
      <c r="AD104" s="7">
        <f t="shared" si="16"/>
        <v>97.595801822682631</v>
      </c>
      <c r="AE104" s="124"/>
      <c r="AF104" s="140">
        <v>1857</v>
      </c>
      <c r="AG104" s="138">
        <f t="shared" si="17"/>
        <v>46</v>
      </c>
      <c r="AH104" s="138">
        <f t="shared" si="18"/>
        <v>2.5099999999999998</v>
      </c>
      <c r="AI104" s="140">
        <v>46</v>
      </c>
      <c r="AJ104" s="138">
        <f t="shared" si="19"/>
        <v>1</v>
      </c>
      <c r="AK104" s="5">
        <f t="shared" si="20"/>
        <v>2.2000000000000002</v>
      </c>
      <c r="AL104" s="5" t="str">
        <f t="shared" si="23"/>
        <v>1</v>
      </c>
      <c r="AM104" s="5" t="str">
        <f t="shared" si="24"/>
        <v>4</v>
      </c>
      <c r="AN104" s="5" t="str">
        <f t="shared" si="25"/>
        <v>8</v>
      </c>
      <c r="AO104" s="5" t="str">
        <f t="shared" si="26"/>
        <v>6</v>
      </c>
    </row>
    <row r="105" spans="1:41" x14ac:dyDescent="0.25">
      <c r="A105" s="37">
        <v>43993</v>
      </c>
      <c r="B105" s="121">
        <v>70476</v>
      </c>
      <c r="C105" s="6">
        <f t="shared" si="66"/>
        <v>1601</v>
      </c>
      <c r="D105" s="19">
        <f t="shared" ref="D105" si="112">ROUND(((B105/B104)-1)*100,2)</f>
        <v>2.3199999999999998</v>
      </c>
      <c r="E105" s="35">
        <f t="shared" si="68"/>
        <v>227</v>
      </c>
      <c r="F105" s="25">
        <f>ROUND((B105/Stats!$B$8)*100000,0)</f>
        <v>702</v>
      </c>
      <c r="G105" s="22">
        <f>ROUND((C105/Stats!$B$8)*100000,0)</f>
        <v>16</v>
      </c>
      <c r="H105" s="213">
        <v>2832</v>
      </c>
      <c r="I105" s="6">
        <f t="shared" ref="I105" si="113">H105-H104</f>
        <v>19</v>
      </c>
      <c r="J105" s="35">
        <f t="shared" ref="J105" si="114">IFERROR(ROUND(((H105/H104)-1)*100,2),"")</f>
        <v>0.68</v>
      </c>
      <c r="K105" s="9">
        <f t="shared" si="63"/>
        <v>4.0199999999999996</v>
      </c>
      <c r="L105" s="43">
        <f>ROUND(((H105/Stats!$B$8)*100000),0)</f>
        <v>28</v>
      </c>
      <c r="M105" s="96">
        <f>Stats!$B$8-N105</f>
        <v>4429275</v>
      </c>
      <c r="N105" s="97">
        <f>ROUND(Stats!$B$33/(1+(Stats!$B$34*EXP(-1*Stats!$B$32*(X105-$X$25)))),0)</f>
        <v>5609832</v>
      </c>
      <c r="O105" s="101">
        <f t="shared" si="71"/>
        <v>98.743705693860349</v>
      </c>
      <c r="P105" s="97">
        <f>ROUND(N105*(Stats!$I$14/100),0)</f>
        <v>135758</v>
      </c>
      <c r="Q105" s="101">
        <f t="shared" si="64"/>
        <v>97.913935090381415</v>
      </c>
      <c r="R105" s="109">
        <f xml:space="preserve"> ROUND(R104 - ((R104 / Stats!$B$27)*(Stats!$B$21*S104)),0)</f>
        <v>1593577</v>
      </c>
      <c r="S105" s="99">
        <f xml:space="preserve"> ROUND(S104 + (R104/Stats!$B$27)*(Stats!$B$21*S104)-(S104*Stats!$B$22),0)</f>
        <v>540412</v>
      </c>
      <c r="T105" s="101">
        <f t="shared" si="72"/>
        <v>86.95883881186947</v>
      </c>
      <c r="U105" s="99">
        <f xml:space="preserve"> ROUND(U104 + (S104 * Stats!$B$22),0)</f>
        <v>7905649</v>
      </c>
      <c r="V105" s="99">
        <f>ROUND(S105*(Stats!$I$14/100),0)</f>
        <v>13078</v>
      </c>
      <c r="W105" s="105">
        <f t="shared" si="65"/>
        <v>78.345312738950909</v>
      </c>
      <c r="X105" s="118">
        <v>103</v>
      </c>
      <c r="Y105" s="115">
        <f>GROWTH($Y$25:Y104,$X$25:X104,X105:$X$186,1)</f>
        <v>4367159026.5538874</v>
      </c>
      <c r="AA105" s="39">
        <f>GROWTH($AA$25:AA104,$X$25:X104,X105:$X$186,1)</f>
        <v>41535372.520228542</v>
      </c>
      <c r="AC105" s="14">
        <f>GROWTH($AC$25:AC104,$X$25:X104,X105:$X$186,1)</f>
        <v>3164587.088799159</v>
      </c>
      <c r="AD105" s="7">
        <f t="shared" si="16"/>
        <v>97.772979601369002</v>
      </c>
      <c r="AE105" s="124"/>
      <c r="AF105" s="140">
        <v>1633</v>
      </c>
      <c r="AG105" s="138">
        <f t="shared" si="17"/>
        <v>32</v>
      </c>
      <c r="AH105" s="138">
        <f t="shared" si="18"/>
        <v>1.98</v>
      </c>
      <c r="AI105" s="140">
        <v>20</v>
      </c>
      <c r="AJ105" s="138">
        <f t="shared" si="19"/>
        <v>1</v>
      </c>
      <c r="AK105" s="5">
        <f t="shared" si="20"/>
        <v>5.13</v>
      </c>
      <c r="AL105" s="5" t="str">
        <f t="shared" si="23"/>
        <v>1</v>
      </c>
      <c r="AM105" s="5" t="str">
        <f t="shared" si="24"/>
        <v>2</v>
      </c>
      <c r="AN105" s="5" t="str">
        <f t="shared" si="25"/>
        <v>6</v>
      </c>
      <c r="AO105" s="5" t="str">
        <f t="shared" si="26"/>
        <v>0</v>
      </c>
    </row>
    <row r="106" spans="1:41" x14ac:dyDescent="0.25">
      <c r="A106" s="37">
        <v>43994</v>
      </c>
      <c r="B106" s="121">
        <v>72023</v>
      </c>
      <c r="C106" s="6">
        <f t="shared" si="66"/>
        <v>1547</v>
      </c>
      <c r="D106" s="19">
        <f t="shared" ref="D106" si="115">ROUND(((B106/B105)-1)*100,2)</f>
        <v>2.2000000000000002</v>
      </c>
      <c r="E106" s="35">
        <f t="shared" si="68"/>
        <v>215</v>
      </c>
      <c r="F106" s="25">
        <f>ROUND((B106/Stats!$B$8)*100000,0)</f>
        <v>717</v>
      </c>
      <c r="G106" s="22">
        <f>ROUND((C106/Stats!$B$8)*100000,0)</f>
        <v>15</v>
      </c>
      <c r="H106" s="213">
        <v>2890</v>
      </c>
      <c r="I106" s="6">
        <f t="shared" ref="I106" si="116">H106-H105</f>
        <v>58</v>
      </c>
      <c r="J106" s="35">
        <f t="shared" ref="J106" si="117">IFERROR(ROUND(((H106/H105)-1)*100,2),"")</f>
        <v>2.0499999999999998</v>
      </c>
      <c r="K106" s="9">
        <f t="shared" si="63"/>
        <v>4.01</v>
      </c>
      <c r="L106" s="43">
        <f>ROUND(((H106/Stats!$B$8)*100000),0)</f>
        <v>29</v>
      </c>
      <c r="M106" s="96">
        <f>Stats!$B$8-N106</f>
        <v>4424921</v>
      </c>
      <c r="N106" s="97">
        <f>ROUND(Stats!$B$33/(1+(Stats!$B$34*EXP(-1*Stats!$B$32*(X106-$X$25)))),0)</f>
        <v>5614186</v>
      </c>
      <c r="O106" s="101">
        <f t="shared" si="71"/>
        <v>98.717124797789026</v>
      </c>
      <c r="P106" s="97">
        <f>ROUND(N106*(Stats!$I$14/100),0)</f>
        <v>135863</v>
      </c>
      <c r="Q106" s="101">
        <f t="shared" si="64"/>
        <v>97.872857216460702</v>
      </c>
      <c r="R106" s="109">
        <f xml:space="preserve"> ROUND(R105 - ((R105 / Stats!$B$27)*(Stats!$B$21*S105)),0)</f>
        <v>1565636</v>
      </c>
      <c r="S106" s="99">
        <f xml:space="preserve"> ROUND(S105 + (R105/Stats!$B$27)*(Stats!$B$21*S105)-(S105*Stats!$B$22),0)</f>
        <v>491151</v>
      </c>
      <c r="T106" s="101">
        <f t="shared" si="72"/>
        <v>85.33587430342196</v>
      </c>
      <c r="U106" s="99">
        <f xml:space="preserve"> ROUND(U105 + (S105 * Stats!$B$22),0)</f>
        <v>7982851</v>
      </c>
      <c r="V106" s="99">
        <f>ROUND(S106*(Stats!$I$14/100),0)</f>
        <v>11886</v>
      </c>
      <c r="W106" s="105">
        <f t="shared" si="65"/>
        <v>75.685680632677105</v>
      </c>
      <c r="X106" s="118">
        <v>104</v>
      </c>
      <c r="Y106" s="115">
        <f>GROWTH($Y$25:Y105,$X$25:X105,X106:$X$186,1)</f>
        <v>5321113577.0014248</v>
      </c>
      <c r="AA106" s="39">
        <f>GROWTH($AA$25:AA105,$X$25:X105,X106:$X$186,1)</f>
        <v>47557261.510185272</v>
      </c>
      <c r="AC106" s="14">
        <f>GROWTH($AC$25:AC105,$X$25:X105,X106:$X$186,1)</f>
        <v>3495769.23075527</v>
      </c>
      <c r="AD106" s="7">
        <f t="shared" si="16"/>
        <v>97.939709538994961</v>
      </c>
      <c r="AE106" s="124"/>
      <c r="AF106" s="140">
        <v>1568</v>
      </c>
      <c r="AG106" s="138">
        <f t="shared" si="17"/>
        <v>21</v>
      </c>
      <c r="AH106" s="138">
        <f t="shared" si="18"/>
        <v>1.35</v>
      </c>
      <c r="AI106" s="140">
        <v>58</v>
      </c>
      <c r="AJ106" s="138">
        <f t="shared" si="19"/>
        <v>0</v>
      </c>
      <c r="AK106" s="5">
        <f t="shared" si="20"/>
        <v>0</v>
      </c>
      <c r="AL106" s="5" t="str">
        <f t="shared" si="23"/>
        <v>1</v>
      </c>
      <c r="AM106" s="5" t="str">
        <f t="shared" si="24"/>
        <v>5</v>
      </c>
      <c r="AN106" s="5" t="str">
        <f t="shared" si="25"/>
        <v>5</v>
      </c>
      <c r="AO106" s="5" t="str">
        <f t="shared" si="26"/>
        <v>8</v>
      </c>
    </row>
    <row r="107" spans="1:41" x14ac:dyDescent="0.25">
      <c r="A107" s="37">
        <v>43995</v>
      </c>
      <c r="B107" s="121">
        <v>73018</v>
      </c>
      <c r="C107" s="6">
        <f t="shared" si="66"/>
        <v>995</v>
      </c>
      <c r="D107" s="19">
        <f t="shared" ref="D107" si="118">ROUND(((B107/B106)-1)*100,2)</f>
        <v>1.38</v>
      </c>
      <c r="E107" s="35">
        <f t="shared" si="68"/>
        <v>136</v>
      </c>
      <c r="F107" s="25">
        <f>ROUND((B107/Stats!$B$8)*100000,0)</f>
        <v>727</v>
      </c>
      <c r="G107" s="22">
        <f>ROUND((C107/Stats!$B$8)*100000,0)</f>
        <v>10</v>
      </c>
      <c r="H107" s="213">
        <v>2907</v>
      </c>
      <c r="I107" s="6">
        <f t="shared" ref="I107" si="119">H107-H106</f>
        <v>17</v>
      </c>
      <c r="J107" s="35">
        <f t="shared" ref="J107" si="120">IFERROR(ROUND(((H107/H106)-1)*100,2),"")</f>
        <v>0.59</v>
      </c>
      <c r="K107" s="9">
        <f t="shared" si="63"/>
        <v>3.98</v>
      </c>
      <c r="L107" s="43">
        <f>ROUND(((H107/Stats!$B$8)*100000),0)</f>
        <v>29</v>
      </c>
      <c r="M107" s="96">
        <f>Stats!$B$8-N107</f>
        <v>4421289</v>
      </c>
      <c r="N107" s="97">
        <f>ROUND(Stats!$B$33/(1+(Stats!$B$34*EXP(-1*Stats!$B$32*(X107-$X$25)))),0)</f>
        <v>5617818</v>
      </c>
      <c r="O107" s="101">
        <f t="shared" si="71"/>
        <v>98.700242692091493</v>
      </c>
      <c r="P107" s="97">
        <f>ROUND(N107*(Stats!$I$14/100),0)</f>
        <v>135951</v>
      </c>
      <c r="Q107" s="101">
        <f t="shared" si="64"/>
        <v>97.861729593750695</v>
      </c>
      <c r="R107" s="109">
        <f xml:space="preserve"> ROUND(R106 - ((R106 / Stats!$B$27)*(Stats!$B$21*S106)),0)</f>
        <v>1540687</v>
      </c>
      <c r="S107" s="99">
        <f xml:space="preserve"> ROUND(S106 + (R106/Stats!$B$27)*(Stats!$B$21*S106)-(S106*Stats!$B$22),0)</f>
        <v>445935</v>
      </c>
      <c r="T107" s="101">
        <f t="shared" si="72"/>
        <v>83.625864756074321</v>
      </c>
      <c r="U107" s="99">
        <f xml:space="preserve"> ROUND(U106 + (S106 * Stats!$B$22),0)</f>
        <v>8053015</v>
      </c>
      <c r="V107" s="99">
        <f>ROUND(S107*(Stats!$I$14/100),0)</f>
        <v>10792</v>
      </c>
      <c r="W107" s="105">
        <f t="shared" si="65"/>
        <v>73.063380281690144</v>
      </c>
      <c r="X107" s="118">
        <v>105</v>
      </c>
      <c r="Y107" s="115">
        <f>GROWTH($Y$25:Y106,$X$25:X106,X107:$X$186,1)</f>
        <v>6483448284.6144104</v>
      </c>
      <c r="AA107" s="39">
        <f>GROWTH($AA$25:AA106,$X$25:X106,X107:$X$186,1)</f>
        <v>54452217.113176495</v>
      </c>
      <c r="AC107" s="14">
        <f>GROWTH($AC$25:AC106,$X$25:X106,X107:$X$186,1)</f>
        <v>3861610.4318786548</v>
      </c>
      <c r="AD107" s="7">
        <f t="shared" si="16"/>
        <v>98.10913085905257</v>
      </c>
      <c r="AE107" s="124"/>
      <c r="AF107" s="140">
        <v>1003</v>
      </c>
      <c r="AG107" s="138">
        <f t="shared" si="17"/>
        <v>8</v>
      </c>
      <c r="AH107" s="138">
        <f t="shared" si="18"/>
        <v>0.8</v>
      </c>
      <c r="AI107" s="140">
        <v>17</v>
      </c>
      <c r="AJ107" s="138">
        <f t="shared" si="19"/>
        <v>0</v>
      </c>
      <c r="AK107" s="5">
        <f t="shared" si="20"/>
        <v>0</v>
      </c>
      <c r="AL107" s="5" t="str">
        <f t="shared" si="23"/>
        <v>1</v>
      </c>
      <c r="AM107" s="5" t="str">
        <f t="shared" si="24"/>
        <v>1</v>
      </c>
      <c r="AN107" s="5" t="str">
        <f t="shared" si="25"/>
        <v>0</v>
      </c>
      <c r="AO107" s="5" t="str">
        <f t="shared" si="26"/>
        <v>7</v>
      </c>
    </row>
    <row r="108" spans="1:41" x14ac:dyDescent="0.25">
      <c r="A108" s="37">
        <v>43996</v>
      </c>
      <c r="B108" s="121">
        <v>73791</v>
      </c>
      <c r="C108" s="6">
        <f t="shared" si="66"/>
        <v>773</v>
      </c>
      <c r="D108" s="19">
        <f t="shared" ref="D108" si="121">ROUND(((B108/B107)-1)*100,2)</f>
        <v>1.06</v>
      </c>
      <c r="E108" s="35">
        <f t="shared" si="68"/>
        <v>105</v>
      </c>
      <c r="F108" s="25">
        <f>ROUND((B108/Stats!$B$8)*100000,0)</f>
        <v>735</v>
      </c>
      <c r="G108" s="22">
        <f>ROUND((C108/Stats!$B$8)*100000,0)</f>
        <v>8</v>
      </c>
      <c r="H108" s="213">
        <v>2926</v>
      </c>
      <c r="I108" s="6">
        <f t="shared" ref="I108" si="122">H108-H107</f>
        <v>19</v>
      </c>
      <c r="J108" s="35">
        <f t="shared" ref="J108" si="123">IFERROR(ROUND(((H108/H107)-1)*100,2),"")</f>
        <v>0.65</v>
      </c>
      <c r="K108" s="9">
        <f t="shared" si="63"/>
        <v>3.97</v>
      </c>
      <c r="L108" s="43">
        <f>ROUND(((H108/Stats!$B$8)*100000),0)</f>
        <v>29</v>
      </c>
      <c r="M108" s="96">
        <f>Stats!$B$8-N108</f>
        <v>4418260</v>
      </c>
      <c r="N108" s="97">
        <f>ROUND(Stats!$B$33/(1+(Stats!$B$34*EXP(-1*Stats!$B$32*(X108-$X$25)))),0)</f>
        <v>5620847</v>
      </c>
      <c r="O108" s="101">
        <f t="shared" si="71"/>
        <v>98.687190738335346</v>
      </c>
      <c r="P108" s="97">
        <f>ROUND(N108*(Stats!$I$14/100),0)</f>
        <v>136024</v>
      </c>
      <c r="Q108" s="101">
        <f t="shared" si="64"/>
        <v>97.848909016055984</v>
      </c>
      <c r="R108" s="109">
        <f xml:space="preserve"> ROUND(R107 - ((R107 / Stats!$B$27)*(Stats!$B$21*S107)),0)</f>
        <v>1518396</v>
      </c>
      <c r="S108" s="99">
        <f xml:space="preserve"> ROUND(S107 + (R107/Stats!$B$27)*(Stats!$B$21*S107)-(S107*Stats!$B$22),0)</f>
        <v>404521</v>
      </c>
      <c r="T108" s="101">
        <f t="shared" si="72"/>
        <v>81.758425396950969</v>
      </c>
      <c r="U108" s="99">
        <f xml:space="preserve"> ROUND(U107 + (S107 * Stats!$B$22),0)</f>
        <v>8116720</v>
      </c>
      <c r="V108" s="99">
        <f>ROUND(S108*(Stats!$I$14/100),0)</f>
        <v>9789</v>
      </c>
      <c r="W108" s="105">
        <f t="shared" si="65"/>
        <v>70.109306364286454</v>
      </c>
      <c r="X108" s="118">
        <v>106</v>
      </c>
      <c r="Y108" s="115">
        <f>GROWTH($Y$25:Y107,$X$25:X107,X108:$X$186,1)</f>
        <v>7899681345.0760746</v>
      </c>
      <c r="AA108" s="39">
        <f>GROWTH($AA$25:AA107,$X$25:X107,X108:$X$186,1)</f>
        <v>62346818.43287985</v>
      </c>
      <c r="AC108" s="14">
        <f>GROWTH($AC$25:AC107,$X$25:X107,X108:$X$186,1)</f>
        <v>4265737.8514577243</v>
      </c>
      <c r="AD108" s="7">
        <f t="shared" si="16"/>
        <v>98.270146863929213</v>
      </c>
      <c r="AE108" s="124" t="s">
        <v>280</v>
      </c>
      <c r="AF108" s="140">
        <v>1071</v>
      </c>
      <c r="AG108" s="138">
        <f t="shared" ref="AG108:AG125" si="124">AF108-C108</f>
        <v>298</v>
      </c>
      <c r="AH108" s="138">
        <f t="shared" ref="AH108:AH125" si="125">IFERROR(ROUND(100*(AG108/AVERAGE(AF108,C108)),2),"")</f>
        <v>32.32</v>
      </c>
      <c r="AI108" s="140">
        <v>19</v>
      </c>
      <c r="AJ108" s="138">
        <f t="shared" ref="AJ108:AJ125" si="126">AI108-I108</f>
        <v>0</v>
      </c>
      <c r="AK108" s="5">
        <f t="shared" ref="AK108:AK125" si="127">IFERROR(ROUND(100*(AJ108/AVERAGE(AI108,I108)),2),"")</f>
        <v>0</v>
      </c>
      <c r="AL108" s="5" t="str">
        <f t="shared" si="23"/>
        <v>1</v>
      </c>
      <c r="AM108" s="5" t="str">
        <f t="shared" si="24"/>
        <v>1</v>
      </c>
      <c r="AN108" s="5" t="str">
        <f t="shared" si="25"/>
        <v>0</v>
      </c>
      <c r="AO108" s="5" t="str">
        <f t="shared" si="26"/>
        <v>9</v>
      </c>
    </row>
    <row r="109" spans="1:41" x14ac:dyDescent="0.25">
      <c r="A109" s="37">
        <v>43997</v>
      </c>
      <c r="B109" s="121">
        <v>75084</v>
      </c>
      <c r="C109" s="6">
        <f t="shared" si="66"/>
        <v>1293</v>
      </c>
      <c r="D109" s="19">
        <f t="shared" ref="D109" si="128">ROUND(((B109/B108)-1)*100,2)</f>
        <v>1.75</v>
      </c>
      <c r="E109" s="35">
        <f t="shared" si="68"/>
        <v>172</v>
      </c>
      <c r="F109" s="25">
        <f>ROUND((B109/Stats!$B$8)*100000,0)</f>
        <v>748</v>
      </c>
      <c r="G109" s="22">
        <f>ROUND((C109/Stats!$B$8)*100000,0)</f>
        <v>13</v>
      </c>
      <c r="H109" s="213">
        <v>2959</v>
      </c>
      <c r="I109" s="6">
        <f t="shared" ref="I109" si="129">H109-H108</f>
        <v>33</v>
      </c>
      <c r="J109" s="35">
        <f t="shared" ref="J109" si="130">IFERROR(ROUND(((H109/H108)-1)*100,2),"")</f>
        <v>1.1299999999999999</v>
      </c>
      <c r="K109" s="9">
        <f t="shared" si="63"/>
        <v>3.94</v>
      </c>
      <c r="L109" s="43">
        <f>ROUND(((H109/Stats!$B$8)*100000),0)</f>
        <v>29</v>
      </c>
      <c r="M109" s="96">
        <f>Stats!$B$8-N109</f>
        <v>4415735</v>
      </c>
      <c r="N109" s="97">
        <f>ROUND(Stats!$B$33/(1+(Stats!$B$34*EXP(-1*Stats!$B$32*(X109-$X$25)))),0)</f>
        <v>5623372</v>
      </c>
      <c r="O109" s="101">
        <f t="shared" si="71"/>
        <v>98.664786892988758</v>
      </c>
      <c r="P109" s="97">
        <f>ROUND(N109*(Stats!$I$14/100),0)</f>
        <v>136086</v>
      </c>
      <c r="Q109" s="101">
        <f t="shared" si="64"/>
        <v>97.82563966903281</v>
      </c>
      <c r="R109" s="109">
        <f xml:space="preserve"> ROUND(R108 - ((R108 / Stats!$B$27)*(Stats!$B$21*S108)),0)</f>
        <v>1498468</v>
      </c>
      <c r="S109" s="99">
        <f xml:space="preserve"> ROUND(S108 + (R108/Stats!$B$27)*(Stats!$B$21*S108)-(S108*Stats!$B$22),0)</f>
        <v>366660</v>
      </c>
      <c r="T109" s="101">
        <f t="shared" si="72"/>
        <v>79.522173130420555</v>
      </c>
      <c r="U109" s="99">
        <f xml:space="preserve"> ROUND(U108 + (S108 * Stats!$B$22),0)</f>
        <v>8174509</v>
      </c>
      <c r="V109" s="99">
        <f>ROUND(S109*(Stats!$I$14/100),0)</f>
        <v>8873</v>
      </c>
      <c r="W109" s="105">
        <f t="shared" si="65"/>
        <v>66.651639806153497</v>
      </c>
      <c r="X109" s="118">
        <v>107</v>
      </c>
      <c r="Y109" s="115">
        <f>GROWTH($Y$25:Y108,$X$25:X108,X109:$X$186,1)</f>
        <v>9625273868.8196716</v>
      </c>
      <c r="AA109" s="39">
        <f>GROWTH($AA$25:AA108,$X$25:X108,X109:$X$186,1)</f>
        <v>71385996.287778005</v>
      </c>
      <c r="AC109" s="14">
        <f>GROWTH($AC$25:AC108,$X$25:X108,X109:$X$186,1)</f>
        <v>4712158.2402880248</v>
      </c>
      <c r="AD109" s="7">
        <f t="shared" si="16"/>
        <v>98.406590013084738</v>
      </c>
      <c r="AE109" s="124"/>
      <c r="AF109" s="140">
        <v>1337</v>
      </c>
      <c r="AG109" s="138">
        <f t="shared" si="124"/>
        <v>44</v>
      </c>
      <c r="AH109" s="138">
        <f t="shared" si="125"/>
        <v>3.35</v>
      </c>
      <c r="AI109" s="140">
        <v>33</v>
      </c>
      <c r="AJ109" s="138">
        <f t="shared" si="126"/>
        <v>0</v>
      </c>
      <c r="AK109" s="5">
        <f t="shared" si="127"/>
        <v>0</v>
      </c>
      <c r="AL109" s="5" t="str">
        <f t="shared" si="23"/>
        <v>1</v>
      </c>
      <c r="AM109" s="5" t="str">
        <f t="shared" si="24"/>
        <v>3</v>
      </c>
      <c r="AN109" s="5" t="str">
        <f t="shared" si="25"/>
        <v>3</v>
      </c>
      <c r="AO109" s="5" t="str">
        <f t="shared" si="26"/>
        <v>3</v>
      </c>
    </row>
    <row r="110" spans="1:41" ht="75" x14ac:dyDescent="0.25">
      <c r="A110" s="37">
        <v>43998</v>
      </c>
      <c r="B110" s="121">
        <v>77189</v>
      </c>
      <c r="C110" s="6">
        <f t="shared" si="66"/>
        <v>2105</v>
      </c>
      <c r="D110" s="19">
        <f t="shared" ref="D110" si="131">ROUND(((B110/B109)-1)*100,2)</f>
        <v>2.8</v>
      </c>
      <c r="E110" s="35">
        <f t="shared" si="68"/>
        <v>273</v>
      </c>
      <c r="F110" s="25">
        <f>ROUND((B110/Stats!$B$8)*100000,0)</f>
        <v>769</v>
      </c>
      <c r="G110" s="22">
        <f>ROUND((C110/Stats!$B$8)*100000,0)</f>
        <v>21</v>
      </c>
      <c r="H110" s="213">
        <v>2991</v>
      </c>
      <c r="I110" s="6">
        <f t="shared" ref="I110" si="132">H110-H109</f>
        <v>32</v>
      </c>
      <c r="J110" s="35">
        <f t="shared" ref="J110" si="133">IFERROR(ROUND(((H110/H109)-1)*100,2),"")</f>
        <v>1.08</v>
      </c>
      <c r="K110" s="9">
        <f t="shared" si="63"/>
        <v>3.87</v>
      </c>
      <c r="L110" s="43">
        <f>ROUND(((H110/Stats!$B$8)*100000),0)</f>
        <v>30</v>
      </c>
      <c r="M110" s="96">
        <f>Stats!$B$8-N110</f>
        <v>4413631</v>
      </c>
      <c r="N110" s="97">
        <f>ROUND(Stats!$B$33/(1+(Stats!$B$34*EXP(-1*Stats!$B$32*(X110-$X$25)))),0)</f>
        <v>5625476</v>
      </c>
      <c r="O110" s="101">
        <f t="shared" si="71"/>
        <v>98.627867224035796</v>
      </c>
      <c r="P110" s="97">
        <f>ROUND(N110*(Stats!$I$14/100),0)</f>
        <v>136137</v>
      </c>
      <c r="Q110" s="101">
        <f t="shared" si="64"/>
        <v>97.80294850040768</v>
      </c>
      <c r="R110" s="109">
        <f xml:space="preserve"> ROUND(R109 - ((R109 / Stats!$B$27)*(Stats!$B$21*S109)),0)</f>
        <v>1480642</v>
      </c>
      <c r="S110" s="99">
        <f xml:space="preserve"> ROUND(S109 + (R109/Stats!$B$27)*(Stats!$B$21*S109)-(S109*Stats!$B$22),0)</f>
        <v>332106</v>
      </c>
      <c r="T110" s="101">
        <f t="shared" si="72"/>
        <v>76.757721932154183</v>
      </c>
      <c r="U110" s="99">
        <f xml:space="preserve"> ROUND(U109 + (S109 * Stats!$B$22),0)</f>
        <v>8226889</v>
      </c>
      <c r="V110" s="99">
        <f>ROUND(S110*(Stats!$I$14/100),0)</f>
        <v>8037</v>
      </c>
      <c r="W110" s="105">
        <f t="shared" si="65"/>
        <v>62.7846211272863</v>
      </c>
      <c r="X110" s="118">
        <v>108</v>
      </c>
      <c r="Y110" s="115">
        <f>GROWTH($Y$25:Y109,$X$25:X109,X110:$X$186,1)</f>
        <v>11727801793.869864</v>
      </c>
      <c r="AA110" s="39">
        <f>GROWTH($AA$25:AA109,$X$25:X109,X110:$X$186,1)</f>
        <v>81735693.882836506</v>
      </c>
      <c r="AC110" s="14">
        <f>GROWTH($AC$25:AC109,$X$25:X109,X110:$X$186,1)</f>
        <v>5205297.6658953484</v>
      </c>
      <c r="AD110" s="7">
        <f t="shared" si="16"/>
        <v>98.517106898501964</v>
      </c>
      <c r="AE110" s="125" t="s">
        <v>281</v>
      </c>
      <c r="AF110" s="140">
        <v>2129</v>
      </c>
      <c r="AG110" s="138">
        <f t="shared" si="124"/>
        <v>24</v>
      </c>
      <c r="AH110" s="138">
        <f t="shared" si="125"/>
        <v>1.1299999999999999</v>
      </c>
      <c r="AI110" s="140">
        <v>34</v>
      </c>
      <c r="AJ110" s="138">
        <f t="shared" si="126"/>
        <v>2</v>
      </c>
      <c r="AK110" s="5">
        <f t="shared" si="127"/>
        <v>6.06</v>
      </c>
      <c r="AL110" s="5" t="str">
        <f t="shared" si="23"/>
        <v>2</v>
      </c>
      <c r="AM110" s="5" t="str">
        <f t="shared" si="24"/>
        <v>3</v>
      </c>
      <c r="AN110" s="5" t="str">
        <f t="shared" si="25"/>
        <v>1</v>
      </c>
      <c r="AO110" s="5" t="str">
        <f t="shared" si="26"/>
        <v>4</v>
      </c>
    </row>
    <row r="111" spans="1:41" x14ac:dyDescent="0.25">
      <c r="A111" s="37">
        <v>43999</v>
      </c>
      <c r="B111" s="121">
        <v>78227</v>
      </c>
      <c r="C111" s="6">
        <f t="shared" si="66"/>
        <v>1038</v>
      </c>
      <c r="D111" s="19">
        <f t="shared" ref="D111" si="134">ROUND(((B111/B110)-1)*100,2)</f>
        <v>1.34</v>
      </c>
      <c r="E111" s="35">
        <f t="shared" si="68"/>
        <v>133</v>
      </c>
      <c r="F111" s="25">
        <f>ROUND((B111/Stats!$B$8)*100000,0)</f>
        <v>779</v>
      </c>
      <c r="G111" s="22">
        <f>ROUND((C111/Stats!$B$8)*100000,0)</f>
        <v>10</v>
      </c>
      <c r="H111" s="213">
        <v>3027</v>
      </c>
      <c r="I111" s="6">
        <f t="shared" ref="I111" si="135">H111-H110</f>
        <v>36</v>
      </c>
      <c r="J111" s="35">
        <f t="shared" ref="J111" si="136">IFERROR(ROUND(((H111/H110)-1)*100,2),"")</f>
        <v>1.2</v>
      </c>
      <c r="K111" s="9">
        <f t="shared" si="63"/>
        <v>3.87</v>
      </c>
      <c r="L111" s="43">
        <f>ROUND(((H111/Stats!$B$8)*100000),0)</f>
        <v>30</v>
      </c>
      <c r="M111" s="96">
        <f>Stats!$B$8-N111</f>
        <v>4411876</v>
      </c>
      <c r="N111" s="97">
        <f>ROUND(Stats!$B$33/(1+(Stats!$B$34*EXP(-1*Stats!$B$32*(X111-$X$25)))),0)</f>
        <v>5627231</v>
      </c>
      <c r="O111" s="101">
        <f t="shared" si="71"/>
        <v>98.60984914250011</v>
      </c>
      <c r="P111" s="97">
        <f>ROUND(N111*(Stats!$I$14/100),0)</f>
        <v>136179</v>
      </c>
      <c r="Q111" s="101">
        <f t="shared" si="64"/>
        <v>97.777190315687449</v>
      </c>
      <c r="R111" s="109">
        <f xml:space="preserve"> ROUND(R110 - ((R110 / Stats!$B$27)*(Stats!$B$21*S110)),0)</f>
        <v>1464688</v>
      </c>
      <c r="S111" s="99">
        <f xml:space="preserve"> ROUND(S110 + (R110/Stats!$B$27)*(Stats!$B$21*S110)-(S110*Stats!$B$22),0)</f>
        <v>300616</v>
      </c>
      <c r="T111" s="101">
        <f t="shared" si="72"/>
        <v>73.977765654522727</v>
      </c>
      <c r="U111" s="99">
        <f xml:space="preserve"> ROUND(U110 + (S110 * Stats!$B$22),0)</f>
        <v>8274333</v>
      </c>
      <c r="V111" s="99">
        <f>ROUND(S111*(Stats!$I$14/100),0)</f>
        <v>7275</v>
      </c>
      <c r="W111" s="105">
        <f t="shared" si="65"/>
        <v>58.391752577319586</v>
      </c>
      <c r="X111" s="118">
        <v>109</v>
      </c>
      <c r="Y111" s="115">
        <f>GROWTH($Y$25:Y110,$X$25:X110,X111:$X$186,1)</f>
        <v>14289602227.511726</v>
      </c>
      <c r="AA111" s="39">
        <f>GROWTH($AA$25:AA110,$X$25:X110,X111:$X$186,1)</f>
        <v>93585913.231171638</v>
      </c>
      <c r="AC111" s="14">
        <f>GROWTH($AC$25:AC110,$X$25:X110,X111:$X$186,1)</f>
        <v>5750045.3951052753</v>
      </c>
      <c r="AD111" s="7">
        <f t="shared" si="16"/>
        <v>98.639541175334188</v>
      </c>
      <c r="AE111" s="124"/>
      <c r="AF111" s="140">
        <v>1051</v>
      </c>
      <c r="AG111" s="138">
        <f t="shared" si="124"/>
        <v>13</v>
      </c>
      <c r="AH111" s="138">
        <f t="shared" si="125"/>
        <v>1.24</v>
      </c>
      <c r="AI111" s="140">
        <v>36</v>
      </c>
      <c r="AJ111" s="138">
        <f t="shared" si="126"/>
        <v>0</v>
      </c>
      <c r="AK111" s="5">
        <f t="shared" si="127"/>
        <v>0</v>
      </c>
      <c r="AL111" s="5" t="str">
        <f t="shared" si="23"/>
        <v>1</v>
      </c>
      <c r="AM111" s="5" t="str">
        <f t="shared" si="24"/>
        <v>3</v>
      </c>
      <c r="AN111" s="5" t="str">
        <f t="shared" si="25"/>
        <v>0</v>
      </c>
      <c r="AO111" s="5" t="str">
        <f t="shared" si="26"/>
        <v>6</v>
      </c>
    </row>
    <row r="112" spans="1:41" x14ac:dyDescent="0.25">
      <c r="A112" s="37">
        <v>44000</v>
      </c>
      <c r="B112" s="121">
        <v>79609</v>
      </c>
      <c r="C112" s="6">
        <f t="shared" si="66"/>
        <v>1382</v>
      </c>
      <c r="D112" s="19">
        <f t="shared" ref="D112" si="137">ROUND(((B112/B111)-1)*100,2)</f>
        <v>1.77</v>
      </c>
      <c r="E112" s="35">
        <f t="shared" si="68"/>
        <v>174</v>
      </c>
      <c r="F112" s="25">
        <f>ROUND((B112/Stats!$B$8)*100000,0)</f>
        <v>793</v>
      </c>
      <c r="G112" s="22">
        <f>ROUND((C112/Stats!$B$8)*100000,0)</f>
        <v>14</v>
      </c>
      <c r="H112" s="213">
        <v>3063</v>
      </c>
      <c r="I112" s="6">
        <f t="shared" ref="I112" si="138">H112-H111</f>
        <v>36</v>
      </c>
      <c r="J112" s="35">
        <f t="shared" ref="J112" si="139">IFERROR(ROUND(((H112/H111)-1)*100,2),"")</f>
        <v>1.19</v>
      </c>
      <c r="K112" s="9">
        <f t="shared" si="63"/>
        <v>3.85</v>
      </c>
      <c r="L112" s="43">
        <f>ROUND(((H112/Stats!$B$8)*100000),0)</f>
        <v>31</v>
      </c>
      <c r="M112" s="96">
        <f>Stats!$B$8-N112</f>
        <v>4410414</v>
      </c>
      <c r="N112" s="97">
        <f>ROUND(Stats!$B$33/(1+(Stats!$B$34*EXP(-1*Stats!$B$32*(X112-$X$25)))),0)</f>
        <v>5628693</v>
      </c>
      <c r="O112" s="101">
        <f t="shared" si="71"/>
        <v>98.585657451916447</v>
      </c>
      <c r="P112" s="97">
        <f>ROUND(N112*(Stats!$I$14/100),0)</f>
        <v>136214</v>
      </c>
      <c r="Q112" s="101">
        <f t="shared" si="64"/>
        <v>97.751332462155133</v>
      </c>
      <c r="R112" s="109">
        <f xml:space="preserve"> ROUND(R111 - ((R111 / Stats!$B$27)*(Stats!$B$21*S111)),0)</f>
        <v>1450402</v>
      </c>
      <c r="S112" s="99">
        <f xml:space="preserve"> ROUND(S111 + (R111/Stats!$B$27)*(Stats!$B$21*S111)-(S111*Stats!$B$22),0)</f>
        <v>271956</v>
      </c>
      <c r="T112" s="101">
        <f t="shared" si="72"/>
        <v>70.727249996322939</v>
      </c>
      <c r="U112" s="99">
        <f xml:space="preserve"> ROUND(U111 + (S111 * Stats!$B$22),0)</f>
        <v>8317278</v>
      </c>
      <c r="V112" s="99">
        <f>ROUND(S112*(Stats!$I$14/100),0)</f>
        <v>6581</v>
      </c>
      <c r="W112" s="105">
        <f t="shared" si="65"/>
        <v>53.456921440510563</v>
      </c>
      <c r="X112" s="118">
        <v>110</v>
      </c>
      <c r="Y112" s="115">
        <f>GROWTH($Y$25:Y111,$X$25:X111,X112:$X$186,1)</f>
        <v>17410997850.188786</v>
      </c>
      <c r="AA112" s="39">
        <f>GROWTH($AA$25:AA111,$X$25:X111,X112:$X$186,1)</f>
        <v>107154203.25258304</v>
      </c>
      <c r="AC112" s="14">
        <f>GROWTH($AC$25:AC111,$X$25:X111,X112:$X$186,1)</f>
        <v>6351802.3690359462</v>
      </c>
      <c r="AD112" s="7">
        <f t="shared" si="16"/>
        <v>98.746670702664147</v>
      </c>
      <c r="AE112" s="124"/>
      <c r="AF112" s="140">
        <v>1414</v>
      </c>
      <c r="AG112" s="138">
        <f t="shared" si="124"/>
        <v>32</v>
      </c>
      <c r="AH112" s="138">
        <f t="shared" si="125"/>
        <v>2.29</v>
      </c>
      <c r="AI112" s="140">
        <v>38</v>
      </c>
      <c r="AJ112" s="138">
        <f t="shared" si="126"/>
        <v>2</v>
      </c>
      <c r="AK112" s="5">
        <f t="shared" si="127"/>
        <v>5.41</v>
      </c>
      <c r="AL112" s="5" t="str">
        <f t="shared" si="23"/>
        <v>1</v>
      </c>
      <c r="AM112" s="5" t="str">
        <f t="shared" si="24"/>
        <v>3</v>
      </c>
      <c r="AN112" s="5" t="str">
        <f t="shared" si="25"/>
        <v>4</v>
      </c>
      <c r="AO112" s="5" t="str">
        <f t="shared" si="26"/>
        <v>8</v>
      </c>
    </row>
    <row r="113" spans="1:41" x14ac:dyDescent="0.25">
      <c r="A113" s="37">
        <v>44001</v>
      </c>
      <c r="B113" s="121">
        <v>81636</v>
      </c>
      <c r="C113" s="6">
        <f t="shared" si="66"/>
        <v>2027</v>
      </c>
      <c r="D113" s="19">
        <f t="shared" ref="D113" si="140">ROUND(((B113/B112)-1)*100,2)</f>
        <v>2.5499999999999998</v>
      </c>
      <c r="E113" s="35">
        <f t="shared" si="68"/>
        <v>248</v>
      </c>
      <c r="F113" s="25">
        <f>ROUND((B113/Stats!$B$8)*100000,0)</f>
        <v>813</v>
      </c>
      <c r="G113" s="22">
        <f>ROUND((C113/Stats!$B$8)*100000,0)</f>
        <v>20</v>
      </c>
      <c r="H113" s="213">
        <v>3110</v>
      </c>
      <c r="I113" s="6">
        <f t="shared" ref="I113" si="141">H113-H112</f>
        <v>47</v>
      </c>
      <c r="J113" s="35">
        <f t="shared" ref="J113" si="142">IFERROR(ROUND(((H113/H112)-1)*100,2),"")</f>
        <v>1.53</v>
      </c>
      <c r="K113" s="9">
        <f t="shared" si="63"/>
        <v>3.81</v>
      </c>
      <c r="L113" s="43">
        <f>ROUND(((H113/Stats!$B$8)*100000),0)</f>
        <v>31</v>
      </c>
      <c r="M113" s="96">
        <f>Stats!$B$8-N113</f>
        <v>4409196</v>
      </c>
      <c r="N113" s="97">
        <f>ROUND(Stats!$B$33/(1+(Stats!$B$34*EXP(-1*Stats!$B$32*(X113-$X$25)))),0)</f>
        <v>5629911</v>
      </c>
      <c r="O113" s="101">
        <f t="shared" si="71"/>
        <v>98.549959315520269</v>
      </c>
      <c r="P113" s="97">
        <f>ROUND(N113*(Stats!$I$14/100),0)</f>
        <v>136244</v>
      </c>
      <c r="Q113" s="101">
        <f t="shared" si="64"/>
        <v>97.717330671442411</v>
      </c>
      <c r="R113" s="109">
        <f xml:space="preserve"> ROUND(R112 - ((R112 / Stats!$B$27)*(Stats!$B$21*S112)),0)</f>
        <v>1437604</v>
      </c>
      <c r="S113" s="99">
        <f xml:space="preserve"> ROUND(S112 + (R112/Stats!$B$27)*(Stats!$B$21*S112)-(S112*Stats!$B$22),0)</f>
        <v>245903</v>
      </c>
      <c r="T113" s="101">
        <f t="shared" si="72"/>
        <v>66.801543698124874</v>
      </c>
      <c r="U113" s="99">
        <f xml:space="preserve"> ROUND(U112 + (S112 * Stats!$B$22),0)</f>
        <v>8356129</v>
      </c>
      <c r="V113" s="99">
        <f>ROUND(S113*(Stats!$I$14/100),0)</f>
        <v>5951</v>
      </c>
      <c r="W113" s="105">
        <f t="shared" si="65"/>
        <v>47.739875651151067</v>
      </c>
      <c r="X113" s="118">
        <v>111</v>
      </c>
      <c r="Y113" s="115">
        <f>GROWTH($Y$25:Y112,$X$25:X112,X113:$X$186,1)</f>
        <v>21214225652.526619</v>
      </c>
      <c r="AA113" s="39">
        <f>GROWTH($AA$25:AA112,$X$25:X112,X113:$X$186,1)</f>
        <v>122689653.5842264</v>
      </c>
      <c r="AC113" s="14">
        <f>GROWTH($AC$25:AC112,$X$25:X112,X113:$X$186,1)</f>
        <v>7016534.751122945</v>
      </c>
      <c r="AD113" s="7">
        <f t="shared" si="16"/>
        <v>98.836519693899689</v>
      </c>
      <c r="AE113" s="124"/>
      <c r="AF113" s="140">
        <v>2056</v>
      </c>
      <c r="AG113" s="138">
        <f t="shared" si="124"/>
        <v>29</v>
      </c>
      <c r="AH113" s="138">
        <f t="shared" si="125"/>
        <v>1.42</v>
      </c>
      <c r="AI113" s="140">
        <v>48</v>
      </c>
      <c r="AJ113" s="138">
        <f t="shared" si="126"/>
        <v>1</v>
      </c>
      <c r="AK113" s="5">
        <f t="shared" si="127"/>
        <v>2.11</v>
      </c>
      <c r="AL113" s="5" t="str">
        <f t="shared" si="23"/>
        <v>2</v>
      </c>
      <c r="AM113" s="5" t="str">
        <f t="shared" si="24"/>
        <v>4</v>
      </c>
      <c r="AN113" s="5" t="str">
        <f t="shared" si="25"/>
        <v>0</v>
      </c>
      <c r="AO113" s="5" t="str">
        <f t="shared" si="26"/>
        <v>8</v>
      </c>
    </row>
    <row r="114" spans="1:41" x14ac:dyDescent="0.25">
      <c r="A114" s="37">
        <v>44002</v>
      </c>
      <c r="B114" s="121">
        <v>83397</v>
      </c>
      <c r="C114" s="6">
        <f t="shared" si="66"/>
        <v>1761</v>
      </c>
      <c r="D114" s="19">
        <f t="shared" ref="D114" si="143">ROUND(((B114/B113)-1)*100,2)</f>
        <v>2.16</v>
      </c>
      <c r="E114" s="35">
        <f t="shared" si="68"/>
        <v>211</v>
      </c>
      <c r="F114" s="25">
        <f>ROUND((B114/Stats!$B$8)*100000,0)</f>
        <v>831</v>
      </c>
      <c r="G114" s="22">
        <f>ROUND((C114/Stats!$B$8)*100000,0)</f>
        <v>18</v>
      </c>
      <c r="H114" s="213">
        <v>3120</v>
      </c>
      <c r="I114" s="6">
        <f t="shared" ref="I114" si="144">H114-H113</f>
        <v>10</v>
      </c>
      <c r="J114" s="35">
        <f t="shared" ref="J114" si="145">IFERROR(ROUND(((H114/H113)-1)*100,2),"")</f>
        <v>0.32</v>
      </c>
      <c r="K114" s="9">
        <f t="shared" si="63"/>
        <v>3.74</v>
      </c>
      <c r="L114" s="43">
        <f>ROUND(((H114/Stats!$B$8)*100000),0)</f>
        <v>31</v>
      </c>
      <c r="M114" s="96">
        <f>Stats!$B$8-N114</f>
        <v>4408181</v>
      </c>
      <c r="N114" s="97">
        <f>ROUND(Stats!$B$33/(1+(Stats!$B$34*EXP(-1*Stats!$B$32*(X114-$X$25)))),0)</f>
        <v>5630926</v>
      </c>
      <c r="O114" s="101">
        <f t="shared" si="71"/>
        <v>98.518946972487299</v>
      </c>
      <c r="P114" s="97">
        <f>ROUND(N114*(Stats!$I$14/100),0)</f>
        <v>136268</v>
      </c>
      <c r="Q114" s="101">
        <f t="shared" si="64"/>
        <v>97.710394223148498</v>
      </c>
      <c r="R114" s="109">
        <f xml:space="preserve"> ROUND(R113 - ((R113 / Stats!$B$27)*(Stats!$B$21*S113)),0)</f>
        <v>1426134</v>
      </c>
      <c r="S114" s="99">
        <f xml:space="preserve"> ROUND(S113 + (R113/Stats!$B$27)*(Stats!$B$21*S113)-(S113*Stats!$B$22),0)</f>
        <v>222244</v>
      </c>
      <c r="T114" s="101">
        <f t="shared" si="72"/>
        <v>62.475027447310168</v>
      </c>
      <c r="U114" s="99">
        <f xml:space="preserve"> ROUND(U113 + (S113 * Stats!$B$22),0)</f>
        <v>8391258</v>
      </c>
      <c r="V114" s="99">
        <f>ROUND(S114*(Stats!$I$14/100),0)</f>
        <v>5378</v>
      </c>
      <c r="W114" s="105">
        <f t="shared" si="65"/>
        <v>41.985868352547421</v>
      </c>
      <c r="X114" s="118">
        <v>112</v>
      </c>
      <c r="Y114" s="115">
        <f>GROWTH($Y$25:Y113,$X$25:X113,X114:$X$186,1)</f>
        <v>25848223858.774284</v>
      </c>
      <c r="AA114" s="39">
        <f>GROWTH($AA$25:AA113,$X$25:X113,X114:$X$186,1)</f>
        <v>140477467.42267597</v>
      </c>
      <c r="AC114" s="14">
        <f>GROWTH($AC$25:AC113,$X$25:X113,X114:$X$186,1)</f>
        <v>7750833.079082136</v>
      </c>
      <c r="AD114" s="7">
        <f t="shared" si="16"/>
        <v>98.924025338320448</v>
      </c>
      <c r="AE114" s="124"/>
      <c r="AF114" s="140">
        <v>1784</v>
      </c>
      <c r="AG114" s="138">
        <f t="shared" si="124"/>
        <v>23</v>
      </c>
      <c r="AH114" s="138">
        <f t="shared" si="125"/>
        <v>1.3</v>
      </c>
      <c r="AI114" s="140">
        <v>11</v>
      </c>
      <c r="AJ114" s="138">
        <f t="shared" si="126"/>
        <v>1</v>
      </c>
      <c r="AK114" s="5">
        <f t="shared" si="127"/>
        <v>9.52</v>
      </c>
      <c r="AL114" s="5" t="str">
        <f t="shared" si="23"/>
        <v>1</v>
      </c>
      <c r="AM114" s="5" t="str">
        <f t="shared" si="24"/>
        <v>1</v>
      </c>
      <c r="AN114" s="5" t="str">
        <f t="shared" si="25"/>
        <v>7</v>
      </c>
      <c r="AO114" s="5" t="str">
        <f t="shared" si="26"/>
        <v>1</v>
      </c>
    </row>
    <row r="115" spans="1:41" x14ac:dyDescent="0.25">
      <c r="A115" s="37">
        <v>44003</v>
      </c>
      <c r="B115" s="121">
        <v>85942</v>
      </c>
      <c r="C115" s="6">
        <f t="shared" si="66"/>
        <v>2545</v>
      </c>
      <c r="D115" s="19">
        <f t="shared" ref="D115" si="146">ROUND(((B115/B114)-1)*100,2)</f>
        <v>3.05</v>
      </c>
      <c r="E115" s="35">
        <f t="shared" si="68"/>
        <v>296</v>
      </c>
      <c r="F115" s="25">
        <f>ROUND((B115/Stats!$B$8)*100000,0)</f>
        <v>856</v>
      </c>
      <c r="G115" s="22">
        <f>ROUND((C115/Stats!$B$8)*100000,0)</f>
        <v>25</v>
      </c>
      <c r="H115" s="213">
        <v>3137</v>
      </c>
      <c r="I115" s="6">
        <f t="shared" ref="I115" si="147">H115-H114</f>
        <v>17</v>
      </c>
      <c r="J115" s="35">
        <f t="shared" ref="J115" si="148">IFERROR(ROUND(((H115/H114)-1)*100,2),"")</f>
        <v>0.54</v>
      </c>
      <c r="K115" s="9">
        <f t="shared" si="63"/>
        <v>3.65</v>
      </c>
      <c r="L115" s="43">
        <f>ROUND(((H115/Stats!$B$8)*100000),0)</f>
        <v>31</v>
      </c>
      <c r="M115" s="96">
        <f>Stats!$B$8-N115</f>
        <v>4407336</v>
      </c>
      <c r="N115" s="97">
        <f>ROUND(Stats!$B$33/(1+(Stats!$B$34*EXP(-1*Stats!$B$32*(X115-$X$25)))),0)</f>
        <v>5631771</v>
      </c>
      <c r="O115" s="101">
        <f t="shared" si="71"/>
        <v>98.473979144393482</v>
      </c>
      <c r="P115" s="97">
        <f>ROUND(N115*(Stats!$I$14/100),0)</f>
        <v>136289</v>
      </c>
      <c r="Q115" s="101">
        <f t="shared" si="64"/>
        <v>97.698273521707549</v>
      </c>
      <c r="R115" s="109">
        <f xml:space="preserve"> ROUND(R114 - ((R114 / Stats!$B$27)*(Stats!$B$21*S114)),0)</f>
        <v>1415851</v>
      </c>
      <c r="S115" s="99">
        <f xml:space="preserve"> ROUND(S114 + (R114/Stats!$B$27)*(Stats!$B$21*S114)-(S114*Stats!$B$22),0)</f>
        <v>200778</v>
      </c>
      <c r="T115" s="101">
        <f t="shared" si="72"/>
        <v>57.195509468168822</v>
      </c>
      <c r="U115" s="99">
        <f xml:space="preserve"> ROUND(U114 + (S114 * Stats!$B$22),0)</f>
        <v>8423007</v>
      </c>
      <c r="V115" s="99">
        <f>ROUND(S115*(Stats!$I$14/100),0)</f>
        <v>4859</v>
      </c>
      <c r="W115" s="105">
        <f t="shared" si="65"/>
        <v>35.439390821156614</v>
      </c>
      <c r="X115" s="118">
        <v>113</v>
      </c>
      <c r="Y115" s="115">
        <f>GROWTH($Y$25:Y114,$X$25:X114,X115:$X$186,1)</f>
        <v>31494464497.398823</v>
      </c>
      <c r="AA115" s="39">
        <f>GROWTH($AA$25:AA114,$X$25:X114,X115:$X$186,1)</f>
        <v>160844197.34661257</v>
      </c>
      <c r="AC115" s="14">
        <f>GROWTH($AC$25:AC114,$X$25:X114,X115:$X$186,1)</f>
        <v>8561977.6072767451</v>
      </c>
      <c r="AD115" s="7">
        <f t="shared" si="16"/>
        <v>98.996236571245419</v>
      </c>
      <c r="AE115" s="124"/>
      <c r="AF115" s="140">
        <v>2571</v>
      </c>
      <c r="AG115" s="138">
        <f t="shared" si="124"/>
        <v>26</v>
      </c>
      <c r="AH115" s="138">
        <f t="shared" si="125"/>
        <v>1.02</v>
      </c>
      <c r="AI115" s="140">
        <v>18</v>
      </c>
      <c r="AJ115" s="138">
        <f t="shared" si="126"/>
        <v>1</v>
      </c>
      <c r="AK115" s="5">
        <f t="shared" si="127"/>
        <v>5.71</v>
      </c>
      <c r="AL115" s="5" t="str">
        <f t="shared" si="23"/>
        <v>2</v>
      </c>
      <c r="AM115" s="5" t="str">
        <f t="shared" si="24"/>
        <v>1</v>
      </c>
      <c r="AN115" s="5" t="str">
        <f t="shared" si="25"/>
        <v>5</v>
      </c>
      <c r="AO115" s="5" t="str">
        <f t="shared" si="26"/>
        <v>8</v>
      </c>
    </row>
    <row r="116" spans="1:41" x14ac:dyDescent="0.25">
      <c r="A116" s="37">
        <v>44004</v>
      </c>
      <c r="B116" s="121">
        <v>88262</v>
      </c>
      <c r="C116" s="6">
        <f t="shared" si="66"/>
        <v>2320</v>
      </c>
      <c r="D116" s="19">
        <f t="shared" ref="D116" si="149">ROUND(((B116/B115)-1)*100,2)</f>
        <v>2.7</v>
      </c>
      <c r="E116" s="35">
        <f t="shared" si="68"/>
        <v>263</v>
      </c>
      <c r="F116" s="25">
        <f>ROUND((B116/Stats!$B$8)*100000,0)</f>
        <v>879</v>
      </c>
      <c r="G116" s="22">
        <f>ROUND((C116/Stats!$B$8)*100000,0)</f>
        <v>23</v>
      </c>
      <c r="H116" s="213">
        <v>3171</v>
      </c>
      <c r="I116" s="6">
        <f t="shared" ref="I116" si="150">H116-H115</f>
        <v>34</v>
      </c>
      <c r="J116" s="35">
        <f t="shared" ref="J116" si="151">IFERROR(ROUND(((H116/H115)-1)*100,2),"")</f>
        <v>1.08</v>
      </c>
      <c r="K116" s="9">
        <f t="shared" si="63"/>
        <v>3.59</v>
      </c>
      <c r="L116" s="43">
        <f>ROUND(((H116/Stats!$B$8)*100000),0)</f>
        <v>32</v>
      </c>
      <c r="M116" s="96">
        <f>Stats!$B$8-N116</f>
        <v>4406631</v>
      </c>
      <c r="N116" s="97">
        <f>ROUND(Stats!$B$33/(1+(Stats!$B$34*EXP(-1*Stats!$B$32*(X116-$X$25)))),0)</f>
        <v>5632476</v>
      </c>
      <c r="O116" s="101">
        <f t="shared" si="71"/>
        <v>98.432980451226072</v>
      </c>
      <c r="P116" s="97">
        <f>ROUND(N116*(Stats!$I$14/100),0)</f>
        <v>136306</v>
      </c>
      <c r="Q116" s="101">
        <f t="shared" si="64"/>
        <v>97.673616715331676</v>
      </c>
      <c r="R116" s="109">
        <f xml:space="preserve"> ROUND(R115 - ((R115 / Stats!$B$27)*(Stats!$B$21*S115)),0)</f>
        <v>1406628</v>
      </c>
      <c r="S116" s="99">
        <f xml:space="preserve"> ROUND(S115 + (R115/Stats!$B$27)*(Stats!$B$21*S115)-(S115*Stats!$B$22),0)</f>
        <v>181318</v>
      </c>
      <c r="T116" s="101">
        <f t="shared" si="72"/>
        <v>51.321986785647326</v>
      </c>
      <c r="U116" s="99">
        <f xml:space="preserve"> ROUND(U115 + (S115 * Stats!$B$22),0)</f>
        <v>8451690</v>
      </c>
      <c r="V116" s="99">
        <f>ROUND(S116*(Stats!$I$14/100),0)</f>
        <v>4388</v>
      </c>
      <c r="W116" s="105">
        <f t="shared" si="65"/>
        <v>27.734731084776666</v>
      </c>
      <c r="X116" s="118">
        <v>114</v>
      </c>
      <c r="Y116" s="115">
        <f>GROWTH($Y$25:Y115,$X$25:X115,X116:$X$186,1)</f>
        <v>38374060028.15966</v>
      </c>
      <c r="AA116" s="39">
        <f>GROWTH($AA$25:AA115,$X$25:X115,X116:$X$186,1)</f>
        <v>184163740.24052176</v>
      </c>
      <c r="AC116" s="14">
        <f>GROWTH($AC$25:AC115,$X$25:X115,X116:$X$186,1)</f>
        <v>9458010.4873306602</v>
      </c>
      <c r="AD116" s="7">
        <f t="shared" si="16"/>
        <v>99.06680162685133</v>
      </c>
      <c r="AE116" s="124"/>
      <c r="AF116" s="140">
        <v>2364</v>
      </c>
      <c r="AG116" s="138">
        <f t="shared" si="124"/>
        <v>44</v>
      </c>
      <c r="AH116" s="138">
        <f t="shared" si="125"/>
        <v>1.88</v>
      </c>
      <c r="AI116" s="140">
        <v>34</v>
      </c>
      <c r="AJ116" s="138">
        <f t="shared" si="126"/>
        <v>0</v>
      </c>
      <c r="AK116" s="5">
        <f t="shared" si="127"/>
        <v>0</v>
      </c>
      <c r="AL116" s="5" t="str">
        <f t="shared" si="23"/>
        <v>2</v>
      </c>
      <c r="AM116" s="5" t="str">
        <f t="shared" si="24"/>
        <v>3</v>
      </c>
      <c r="AN116" s="5" t="str">
        <f t="shared" si="25"/>
        <v>3</v>
      </c>
      <c r="AO116" s="5" t="str">
        <f t="shared" si="26"/>
        <v>4</v>
      </c>
    </row>
    <row r="117" spans="1:41" x14ac:dyDescent="0.25">
      <c r="A117" s="37">
        <v>44005</v>
      </c>
      <c r="B117" s="121">
        <v>89490</v>
      </c>
      <c r="C117" s="6">
        <f t="shared" si="66"/>
        <v>1228</v>
      </c>
      <c r="D117" s="19">
        <f t="shared" ref="D117" si="152">ROUND(((B117/B116)-1)*100,2)</f>
        <v>1.39</v>
      </c>
      <c r="E117" s="35">
        <f t="shared" si="68"/>
        <v>137</v>
      </c>
      <c r="F117" s="25">
        <f>ROUND((B117/Stats!$B$8)*100000,0)</f>
        <v>891</v>
      </c>
      <c r="G117" s="22">
        <f>ROUND((C117/Stats!$B$8)*100000,0)</f>
        <v>12</v>
      </c>
      <c r="H117" s="213">
        <v>3205</v>
      </c>
      <c r="I117" s="6">
        <f t="shared" ref="I117" si="153">H117-H116</f>
        <v>34</v>
      </c>
      <c r="J117" s="35">
        <f t="shared" ref="J117" si="154">IFERROR(ROUND(((H117/H116)-1)*100,2),"")</f>
        <v>1.07</v>
      </c>
      <c r="K117" s="9">
        <f t="shared" si="63"/>
        <v>3.58</v>
      </c>
      <c r="L117" s="43">
        <f>ROUND(((H117/Stats!$B$8)*100000),0)</f>
        <v>32</v>
      </c>
      <c r="M117" s="96">
        <f>Stats!$B$8-N117</f>
        <v>4406044</v>
      </c>
      <c r="N117" s="97">
        <f>ROUND(Stats!$B$33/(1+(Stats!$B$34*EXP(-1*Stats!$B$32*(X117-$X$25)))),0)</f>
        <v>5633063</v>
      </c>
      <c r="O117" s="101">
        <f t="shared" si="71"/>
        <v>98.411343881650183</v>
      </c>
      <c r="P117" s="97">
        <f>ROUND(N117*(Stats!$I$14/100),0)</f>
        <v>136320</v>
      </c>
      <c r="Q117" s="101">
        <f t="shared" si="64"/>
        <v>97.648914319248831</v>
      </c>
      <c r="R117" s="109">
        <f xml:space="preserve"> ROUND(R116 - ((R116 / Stats!$B$27)*(Stats!$B$21*S116)),0)</f>
        <v>1398353</v>
      </c>
      <c r="S117" s="99">
        <f xml:space="preserve"> ROUND(S116 + (R116/Stats!$B$27)*(Stats!$B$21*S116)-(S116*Stats!$B$22),0)</f>
        <v>163690</v>
      </c>
      <c r="T117" s="101">
        <f t="shared" si="72"/>
        <v>45.329586413342291</v>
      </c>
      <c r="U117" s="99">
        <f xml:space="preserve"> ROUND(U116 + (S116 * Stats!$B$22),0)</f>
        <v>8477593</v>
      </c>
      <c r="V117" s="99">
        <f>ROUND(S117*(Stats!$I$14/100),0)</f>
        <v>3961</v>
      </c>
      <c r="W117" s="105">
        <f t="shared" si="65"/>
        <v>19.086089371370861</v>
      </c>
      <c r="X117" s="118">
        <v>115</v>
      </c>
      <c r="Y117" s="115">
        <f>GROWTH($Y$25:Y116,$X$25:X116,X117:$X$186,1)</f>
        <v>46756422328.32473</v>
      </c>
      <c r="AA117" s="39">
        <f>GROWTH($AA$25:AA116,$X$25:X116,X117:$X$186,1)</f>
        <v>210864201.37551141</v>
      </c>
      <c r="AC117" s="14">
        <f>GROWTH($AC$25:AC116,$X$25:X116,X117:$X$186,1)</f>
        <v>10447815.502627676</v>
      </c>
      <c r="AD117" s="7">
        <f t="shared" si="16"/>
        <v>99.143457309544829</v>
      </c>
      <c r="AE117" s="124"/>
      <c r="AF117" s="140">
        <v>1260</v>
      </c>
      <c r="AG117" s="138">
        <f t="shared" si="124"/>
        <v>32</v>
      </c>
      <c r="AH117" s="138">
        <f t="shared" si="125"/>
        <v>2.57</v>
      </c>
      <c r="AI117" s="140">
        <v>34</v>
      </c>
      <c r="AJ117" s="138">
        <f t="shared" si="126"/>
        <v>0</v>
      </c>
      <c r="AK117" s="5">
        <f t="shared" si="127"/>
        <v>0</v>
      </c>
      <c r="AL117" s="5" t="str">
        <f t="shared" si="23"/>
        <v>1</v>
      </c>
      <c r="AM117" s="5" t="str">
        <f t="shared" si="24"/>
        <v>3</v>
      </c>
      <c r="AN117" s="5" t="str">
        <f t="shared" si="25"/>
        <v>2</v>
      </c>
      <c r="AO117" s="5" t="str">
        <f t="shared" si="26"/>
        <v>4</v>
      </c>
    </row>
    <row r="118" spans="1:41" x14ac:dyDescent="0.25">
      <c r="A118" s="37">
        <v>44006</v>
      </c>
      <c r="B118" s="121">
        <v>91467</v>
      </c>
      <c r="C118" s="6">
        <f t="shared" si="66"/>
        <v>1977</v>
      </c>
      <c r="D118" s="19">
        <f t="shared" ref="D118" si="155">ROUND(((B118/B117)-1)*100,2)</f>
        <v>2.21</v>
      </c>
      <c r="E118" s="35">
        <f t="shared" si="68"/>
        <v>216</v>
      </c>
      <c r="F118" s="25">
        <f>ROUND((B118/Stats!$B$8)*100000,0)</f>
        <v>911</v>
      </c>
      <c r="G118" s="22">
        <f>ROUND((C118/Stats!$B$8)*100000,0)</f>
        <v>20</v>
      </c>
      <c r="H118" s="213">
        <v>3246</v>
      </c>
      <c r="I118" s="6">
        <f t="shared" ref="I118" si="156">H118-H117</f>
        <v>41</v>
      </c>
      <c r="J118" s="35">
        <f t="shared" ref="J118" si="157">IFERROR(ROUND(((H118/H117)-1)*100,2),"")</f>
        <v>1.28</v>
      </c>
      <c r="K118" s="9">
        <f t="shared" si="63"/>
        <v>3.55</v>
      </c>
      <c r="L118" s="43">
        <f>ROUND(((H118/Stats!$B$8)*100000),0)</f>
        <v>32</v>
      </c>
      <c r="M118" s="96">
        <f>Stats!$B$8-N118</f>
        <v>4405555</v>
      </c>
      <c r="N118" s="97">
        <f>ROUND(Stats!$B$33/(1+(Stats!$B$34*EXP(-1*Stats!$B$32*(X118-$X$25)))),0)</f>
        <v>5633552</v>
      </c>
      <c r="O118" s="101">
        <f t="shared" si="71"/>
        <v>98.376388466814547</v>
      </c>
      <c r="P118" s="97">
        <f>ROUND(N118*(Stats!$I$14/100),0)</f>
        <v>136332</v>
      </c>
      <c r="Q118" s="101">
        <f t="shared" si="64"/>
        <v>97.61904761904762</v>
      </c>
      <c r="R118" s="109">
        <f xml:space="preserve"> ROUND(R117 - ((R117 / Stats!$B$27)*(Stats!$B$21*S117)),0)</f>
        <v>1390927</v>
      </c>
      <c r="S118" s="99">
        <f xml:space="preserve"> ROUND(S117 + (R117/Stats!$B$27)*(Stats!$B$21*S117)-(S117*Stats!$B$22),0)</f>
        <v>147732</v>
      </c>
      <c r="T118" s="101">
        <f t="shared" si="72"/>
        <v>38.085858175615307</v>
      </c>
      <c r="U118" s="99">
        <f xml:space="preserve"> ROUND(U117 + (S117 * Stats!$B$22),0)</f>
        <v>8500977</v>
      </c>
      <c r="V118" s="99">
        <f>ROUND(S118*(Stats!$I$14/100),0)</f>
        <v>3575</v>
      </c>
      <c r="W118" s="105">
        <f t="shared" si="65"/>
        <v>9.2027972027972087</v>
      </c>
      <c r="X118" s="118">
        <v>116</v>
      </c>
      <c r="Y118" s="115">
        <f>GROWTH($Y$25:Y117,$X$25:X117,X118:$X$186,1)</f>
        <v>56969813132.631615</v>
      </c>
      <c r="AA118" s="39">
        <f>GROWTH($AA$25:AA117,$X$25:X117,X118:$X$186,1)</f>
        <v>241435753.65955013</v>
      </c>
      <c r="AC118" s="39">
        <f>GROWTH($AC$25:AC117,$X$25:X117,X118:$X$186,1)</f>
        <v>11541206.147230089</v>
      </c>
      <c r="AE118" s="124" t="s">
        <v>35</v>
      </c>
      <c r="AF118" s="140">
        <v>2012</v>
      </c>
      <c r="AG118" s="138">
        <f t="shared" si="124"/>
        <v>35</v>
      </c>
      <c r="AH118" s="138">
        <f t="shared" si="125"/>
        <v>1.75</v>
      </c>
      <c r="AI118" s="140">
        <v>42</v>
      </c>
      <c r="AJ118" s="138">
        <f t="shared" si="126"/>
        <v>1</v>
      </c>
      <c r="AK118" s="5">
        <f t="shared" si="127"/>
        <v>2.41</v>
      </c>
      <c r="AL118" s="5" t="str">
        <f t="shared" si="23"/>
        <v>2</v>
      </c>
      <c r="AM118" s="5" t="str">
        <f t="shared" si="24"/>
        <v>4</v>
      </c>
      <c r="AN118" s="5" t="str">
        <f t="shared" si="25"/>
        <v>0</v>
      </c>
      <c r="AO118" s="5" t="str">
        <f t="shared" si="26"/>
        <v>2</v>
      </c>
    </row>
    <row r="119" spans="1:41" x14ac:dyDescent="0.25">
      <c r="A119" s="37">
        <v>44007</v>
      </c>
      <c r="B119" s="121">
        <v>93232</v>
      </c>
      <c r="C119" s="6">
        <f t="shared" si="66"/>
        <v>1765</v>
      </c>
      <c r="D119" s="19">
        <f t="shared" ref="D119" si="158">ROUND(((B119/B118)-1)*100,2)</f>
        <v>1.93</v>
      </c>
      <c r="E119" s="35">
        <f t="shared" si="68"/>
        <v>189</v>
      </c>
      <c r="F119" s="25">
        <f>ROUND((B119/Stats!$B$8)*100000,0)</f>
        <v>929</v>
      </c>
      <c r="G119" s="22">
        <f>ROUND((C119/Stats!$B$8)*100000,0)</f>
        <v>18</v>
      </c>
      <c r="H119" s="213">
        <v>3267</v>
      </c>
      <c r="I119" s="6">
        <f t="shared" ref="I119" si="159">H119-H118</f>
        <v>21</v>
      </c>
      <c r="J119" s="35">
        <f t="shared" ref="J119" si="160">IFERROR(ROUND(((H119/H118)-1)*100,2),"")</f>
        <v>0.65</v>
      </c>
      <c r="K119" s="9">
        <f t="shared" si="63"/>
        <v>3.5</v>
      </c>
      <c r="L119" s="43">
        <f>ROUND(((H119/Stats!$B$8)*100000),0)</f>
        <v>33</v>
      </c>
      <c r="M119" s="96">
        <f>Stats!$B$8-N119</f>
        <v>4405148</v>
      </c>
      <c r="N119" s="97">
        <f>ROUND(Stats!$B$33/(1+(Stats!$B$34*EXP(-1*Stats!$B$32*(X119-$X$25)))),0)</f>
        <v>5633959</v>
      </c>
      <c r="O119" s="101">
        <f t="shared" si="71"/>
        <v>98.345177875806328</v>
      </c>
      <c r="P119" s="97">
        <f>ROUND(N119*(Stats!$I$14/100),0)</f>
        <v>136342</v>
      </c>
      <c r="Q119" s="101">
        <f t="shared" si="64"/>
        <v>97.603819806075904</v>
      </c>
      <c r="R119" s="109">
        <f xml:space="preserve"> ROUND(R118 - ((R118 / Stats!$B$27)*(Stats!$B$21*S118)),0)</f>
        <v>1384260</v>
      </c>
      <c r="S119" s="99">
        <f xml:space="preserve"> ROUND(S118 + (R118/Stats!$B$27)*(Stats!$B$21*S118)-(S118*Stats!$B$22),0)</f>
        <v>133294</v>
      </c>
      <c r="T119" s="101">
        <f t="shared" si="72"/>
        <v>30.055366333068257</v>
      </c>
      <c r="U119" s="99">
        <f xml:space="preserve"> ROUND(U118 + (S118 * Stats!$B$22),0)</f>
        <v>8522082</v>
      </c>
      <c r="V119" s="99">
        <f>ROUND(S119*(Stats!$I$14/100),0)</f>
        <v>3226</v>
      </c>
      <c r="W119" s="105">
        <f t="shared" si="65"/>
        <v>1.2709237445753363</v>
      </c>
      <c r="X119" s="118">
        <v>117</v>
      </c>
      <c r="Y119" s="115">
        <f>GROWTH($Y$25:Y118,$X$25:X118,X119:$X$186,1)</f>
        <v>69414199092.834946</v>
      </c>
      <c r="AA119" s="39">
        <f>GROWTH($AA$25:AA118,$X$25:X118,X119:$X$186,1)</f>
        <v>276439636.33897555</v>
      </c>
      <c r="AC119" s="39">
        <f>GROWTH($AC$25:AC118,$X$25:X118,X119:$X$186,1)</f>
        <v>12749022.922481831</v>
      </c>
      <c r="AE119" s="124"/>
      <c r="AF119" s="140">
        <v>1809</v>
      </c>
      <c r="AG119" s="138">
        <f t="shared" si="124"/>
        <v>44</v>
      </c>
      <c r="AH119" s="138">
        <f t="shared" si="125"/>
        <v>2.46</v>
      </c>
      <c r="AI119" s="140">
        <v>25</v>
      </c>
      <c r="AJ119" s="138">
        <f t="shared" si="126"/>
        <v>4</v>
      </c>
      <c r="AK119" s="5">
        <f t="shared" si="127"/>
        <v>17.39</v>
      </c>
      <c r="AL119" s="5" t="str">
        <f t="shared" si="23"/>
        <v>1</v>
      </c>
      <c r="AM119" s="5" t="str">
        <f t="shared" si="24"/>
        <v>2</v>
      </c>
      <c r="AN119" s="5" t="str">
        <f t="shared" si="25"/>
        <v>8</v>
      </c>
      <c r="AO119" s="5" t="str">
        <f t="shared" si="26"/>
        <v>5</v>
      </c>
    </row>
    <row r="120" spans="1:41" x14ac:dyDescent="0.25">
      <c r="A120" s="37">
        <v>44008</v>
      </c>
      <c r="B120" s="121">
        <v>95371</v>
      </c>
      <c r="C120" s="6">
        <f t="shared" si="66"/>
        <v>2139</v>
      </c>
      <c r="D120" s="19">
        <f t="shared" ref="D120" si="161">ROUND(((B120/B119)-1)*100,2)</f>
        <v>2.29</v>
      </c>
      <c r="E120" s="35">
        <f t="shared" si="68"/>
        <v>224</v>
      </c>
      <c r="F120" s="25">
        <f>ROUND((B120/Stats!$B$8)*100000,0)</f>
        <v>950</v>
      </c>
      <c r="G120" s="22">
        <f>ROUND((C120/Stats!$B$8)*100000,0)</f>
        <v>21</v>
      </c>
      <c r="H120" s="213">
        <v>3285</v>
      </c>
      <c r="I120" s="6">
        <f t="shared" ref="I120" si="162">H120-H119</f>
        <v>18</v>
      </c>
      <c r="J120" s="35">
        <f t="shared" ref="J120" si="163">IFERROR(ROUND(((H120/H119)-1)*100,2),"")</f>
        <v>0.55000000000000004</v>
      </c>
      <c r="K120" s="9">
        <f t="shared" si="63"/>
        <v>3.44</v>
      </c>
      <c r="L120" s="43">
        <f>ROUND(((H120/Stats!$B$8)*100000),0)</f>
        <v>33</v>
      </c>
      <c r="M120" s="96">
        <f>Stats!$B$8-N120</f>
        <v>4404809</v>
      </c>
      <c r="N120" s="97">
        <f>ROUND(Stats!$B$33/(1+(Stats!$B$34*EXP(-1*Stats!$B$32*(X120-$X$25)))),0)</f>
        <v>5634298</v>
      </c>
      <c r="O120" s="101">
        <f t="shared" si="71"/>
        <v>98.307313528677398</v>
      </c>
      <c r="P120" s="97">
        <f>ROUND(N120*(Stats!$I$14/100),0)</f>
        <v>136350</v>
      </c>
      <c r="Q120" s="101">
        <f t="shared" si="64"/>
        <v>97.590759075907599</v>
      </c>
      <c r="R120" s="109">
        <f xml:space="preserve"> ROUND(R119 - ((R119 / Stats!$B$27)*(Stats!$B$21*S119)),0)</f>
        <v>1378274</v>
      </c>
      <c r="S120" s="99">
        <f xml:space="preserve"> ROUND(S119 + (R119/Stats!$B$27)*(Stats!$B$21*S119)-(S119*Stats!$B$22),0)</f>
        <v>120238</v>
      </c>
      <c r="T120" s="101">
        <f t="shared" si="72"/>
        <v>20.681481727906316</v>
      </c>
      <c r="U120" s="99">
        <f xml:space="preserve"> ROUND(U119 + (S119 * Stats!$B$22),0)</f>
        <v>8541124</v>
      </c>
      <c r="V120" s="99">
        <f>ROUND(S120*(Stats!$I$14/100),0)</f>
        <v>2910</v>
      </c>
      <c r="W120" s="105">
        <f t="shared" si="65"/>
        <v>12.886597938144329</v>
      </c>
      <c r="X120" s="118">
        <v>118</v>
      </c>
      <c r="Y120" s="115">
        <f>GROWTH($Y$25:Y119,$X$25:X119,X120:$X$186,1)</f>
        <v>84576914873.884521</v>
      </c>
      <c r="AA120" s="39">
        <f>GROWTH($AA$25:AA119,$X$25:X119,X120:$X$186,1)</f>
        <v>316518458.35138446</v>
      </c>
      <c r="AC120" s="39">
        <f>GROWTH($AC$25:AC119,$X$25:X119,X120:$X$186,1)</f>
        <v>14083240.815950349</v>
      </c>
      <c r="AE120" s="124"/>
      <c r="AF120" s="140">
        <v>2169</v>
      </c>
      <c r="AG120" s="138">
        <f t="shared" si="124"/>
        <v>30</v>
      </c>
      <c r="AH120" s="138">
        <f t="shared" si="125"/>
        <v>1.39</v>
      </c>
      <c r="AI120" s="140">
        <v>23</v>
      </c>
      <c r="AJ120" s="138">
        <f t="shared" si="126"/>
        <v>5</v>
      </c>
      <c r="AK120" s="5">
        <f t="shared" si="127"/>
        <v>24.39</v>
      </c>
      <c r="AL120" s="5" t="str">
        <f t="shared" si="23"/>
        <v>2</v>
      </c>
      <c r="AM120" s="5" t="str">
        <f t="shared" si="24"/>
        <v>2</v>
      </c>
      <c r="AN120" s="5" t="str">
        <f t="shared" si="25"/>
        <v>1</v>
      </c>
      <c r="AO120" s="5" t="str">
        <f t="shared" si="26"/>
        <v>3</v>
      </c>
    </row>
    <row r="121" spans="1:41" x14ac:dyDescent="0.25">
      <c r="A121" s="37">
        <v>44009</v>
      </c>
      <c r="B121" s="121">
        <v>97894</v>
      </c>
      <c r="C121" s="6">
        <f t="shared" si="66"/>
        <v>2523</v>
      </c>
      <c r="D121" s="19">
        <f t="shared" ref="D121" si="164">ROUND(((B121/B120)-1)*100,2)</f>
        <v>2.65</v>
      </c>
      <c r="E121" s="35">
        <f t="shared" si="68"/>
        <v>258</v>
      </c>
      <c r="F121" s="25">
        <f>ROUND((B121/Stats!$B$8)*100000,0)</f>
        <v>975</v>
      </c>
      <c r="G121" s="22">
        <f>ROUND((C121/Stats!$B$8)*100000,0)</f>
        <v>25</v>
      </c>
      <c r="H121" s="213">
        <v>3305</v>
      </c>
      <c r="I121" s="6">
        <f t="shared" ref="I121" si="165">H121-H120</f>
        <v>20</v>
      </c>
      <c r="J121" s="35">
        <f t="shared" ref="J121" si="166">IFERROR(ROUND(((H121/H120)-1)*100,2),"")</f>
        <v>0.61</v>
      </c>
      <c r="K121" s="9">
        <f t="shared" ref="K121:K152" si="167">IFERROR(ROUND(100*(H121/B121),2),"")</f>
        <v>3.38</v>
      </c>
      <c r="L121" s="43">
        <f>ROUND(((H121/Stats!$B$8)*100000),0)</f>
        <v>33</v>
      </c>
      <c r="M121" s="96">
        <f>Stats!$B$8-N121</f>
        <v>4404526</v>
      </c>
      <c r="N121" s="97">
        <f>ROUND(Stats!$B$33/(1+(Stats!$B$34*EXP(-1*Stats!$B$32*(X121-$X$25)))),0)</f>
        <v>5634581</v>
      </c>
      <c r="O121" s="101">
        <f t="shared" si="71"/>
        <v>98.262621479751559</v>
      </c>
      <c r="P121" s="97">
        <f>ROUND(N121*(Stats!$I$14/100),0)</f>
        <v>136357</v>
      </c>
      <c r="Q121" s="101">
        <f t="shared" si="64"/>
        <v>97.576215375814954</v>
      </c>
      <c r="R121" s="109">
        <f xml:space="preserve"> ROUND(R120 - ((R120 / Stats!$B$27)*(Stats!$B$21*S120)),0)</f>
        <v>1372897</v>
      </c>
      <c r="S121" s="99">
        <f xml:space="preserve"> ROUND(S120 + (R120/Stats!$B$27)*(Stats!$B$21*S120)-(S120*Stats!$B$22),0)</f>
        <v>108438</v>
      </c>
      <c r="T121" s="101">
        <f t="shared" si="72"/>
        <v>9.723528652317448</v>
      </c>
      <c r="U121" s="99">
        <f xml:space="preserve"> ROUND(U120 + (S120 * Stats!$B$22),0)</f>
        <v>8558301</v>
      </c>
      <c r="V121" s="99">
        <f>ROUND(S121*(Stats!$I$14/100),0)</f>
        <v>2624</v>
      </c>
      <c r="W121" s="105">
        <f t="shared" si="65"/>
        <v>25.952743902439025</v>
      </c>
      <c r="X121" s="118">
        <v>119</v>
      </c>
      <c r="Y121" s="115">
        <f>GROWTH($Y$25:Y120,$X$25:X120,X121:$X$186,1)</f>
        <v>103051747669.34222</v>
      </c>
      <c r="AA121" s="39">
        <f>GROWTH($AA$25:AA120,$X$25:X120,X121:$X$186,1)</f>
        <v>362407995.48111713</v>
      </c>
      <c r="AC121" s="39">
        <f>GROWTH($AC$25:AC120,$X$25:X120,X121:$X$186,1)</f>
        <v>15557088.028314479</v>
      </c>
      <c r="AE121" s="124"/>
      <c r="AF121" s="140">
        <v>2542</v>
      </c>
      <c r="AG121" s="138">
        <f t="shared" si="124"/>
        <v>19</v>
      </c>
      <c r="AH121" s="138">
        <f t="shared" si="125"/>
        <v>0.75</v>
      </c>
      <c r="AI121" s="140">
        <v>20</v>
      </c>
      <c r="AJ121" s="138">
        <f t="shared" si="126"/>
        <v>0</v>
      </c>
      <c r="AK121" s="5">
        <f t="shared" si="127"/>
        <v>0</v>
      </c>
      <c r="AL121" s="5" t="str">
        <f t="shared" si="23"/>
        <v>2</v>
      </c>
      <c r="AM121" s="5" t="str">
        <f t="shared" si="24"/>
        <v>2</v>
      </c>
      <c r="AN121" s="5" t="str">
        <f t="shared" si="25"/>
        <v>5</v>
      </c>
      <c r="AO121" s="5" t="str">
        <f t="shared" si="26"/>
        <v>0</v>
      </c>
    </row>
    <row r="122" spans="1:41" x14ac:dyDescent="0.25">
      <c r="A122" s="37">
        <v>44010</v>
      </c>
      <c r="B122" s="121">
        <v>100772</v>
      </c>
      <c r="C122" s="6">
        <f t="shared" ref="C122:C125" si="168">B122-B121</f>
        <v>2878</v>
      </c>
      <c r="D122" s="19">
        <f t="shared" ref="D122" si="169">ROUND(((B122/B121)-1)*100,2)</f>
        <v>2.94</v>
      </c>
      <c r="E122" s="35">
        <f t="shared" ref="E122:E130" si="170">IFERROR(ROUND((C122/B122)*10000,0),"")</f>
        <v>286</v>
      </c>
      <c r="F122" s="25">
        <f>ROUND((B122/Stats!$B$8)*100000,0)</f>
        <v>1004</v>
      </c>
      <c r="G122" s="22">
        <f>ROUND((C122/Stats!$B$8)*100000,0)</f>
        <v>29</v>
      </c>
      <c r="H122" s="213">
        <v>3326</v>
      </c>
      <c r="I122" s="6">
        <f t="shared" ref="I122" si="171">H122-H121</f>
        <v>21</v>
      </c>
      <c r="J122" s="35">
        <f t="shared" ref="J122" si="172">IFERROR(ROUND(((H122/H121)-1)*100,2),"")</f>
        <v>0.64</v>
      </c>
      <c r="K122" s="9">
        <f t="shared" si="167"/>
        <v>3.3</v>
      </c>
      <c r="L122" s="43">
        <f>ROUND(((H122/Stats!$B$8)*100000),0)</f>
        <v>33</v>
      </c>
      <c r="M122" s="96">
        <f>Stats!$B$8-N122</f>
        <v>4404291</v>
      </c>
      <c r="N122" s="97">
        <f>ROUND(Stats!$B$33/(1+(Stats!$B$34*EXP(-1*Stats!$B$32*(X122-$X$25)))),0)</f>
        <v>5634816</v>
      </c>
      <c r="O122" s="101">
        <f t="shared" si="71"/>
        <v>98.211618622506919</v>
      </c>
      <c r="P122" s="97">
        <f>ROUND(N122*(Stats!$I$14/100),0)</f>
        <v>136363</v>
      </c>
      <c r="Q122" s="101">
        <f t="shared" si="64"/>
        <v>97.560921950969103</v>
      </c>
      <c r="R122" s="109">
        <f xml:space="preserve"> ROUND(R121 - ((R121 / Stats!$B$27)*(Stats!$B$21*S121)),0)</f>
        <v>1368067</v>
      </c>
      <c r="S122" s="99">
        <f xml:space="preserve"> ROUND(S121 + (R121/Stats!$B$27)*(Stats!$B$21*S121)-(S121*Stats!$B$22),0)</f>
        <v>97777</v>
      </c>
      <c r="T122" s="101">
        <f t="shared" si="72"/>
        <v>3.0630925473270842</v>
      </c>
      <c r="U122" s="99">
        <f xml:space="preserve"> ROUND(U121 + (S121 * Stats!$B$22),0)</f>
        <v>8573792</v>
      </c>
      <c r="V122" s="99">
        <f>ROUND(S122*(Stats!$I$14/100),0)</f>
        <v>2366</v>
      </c>
      <c r="W122" s="105">
        <f t="shared" si="65"/>
        <v>40.574809805579036</v>
      </c>
      <c r="X122" s="118">
        <v>120</v>
      </c>
      <c r="Y122" s="115">
        <f>GROWTH($Y$25:Y121,$X$25:X121,X122:$X$186,1)</f>
        <v>125562190504.8331</v>
      </c>
      <c r="AA122" s="39">
        <f>GROWTH($AA$25:AA121,$X$25:X121,X122:$X$186,1)</f>
        <v>414950697.89210677</v>
      </c>
      <c r="AC122" s="39">
        <f>GROWTH($AC$25:AC121,$X$25:X121,X122:$X$186,1)</f>
        <v>17185177.125325911</v>
      </c>
      <c r="AE122" s="124"/>
      <c r="AF122" s="140">
        <v>2903</v>
      </c>
      <c r="AG122" s="138">
        <f t="shared" si="124"/>
        <v>25</v>
      </c>
      <c r="AH122" s="138">
        <f t="shared" si="125"/>
        <v>0.86</v>
      </c>
      <c r="AI122" s="140">
        <v>22</v>
      </c>
      <c r="AJ122" s="138">
        <f t="shared" si="126"/>
        <v>1</v>
      </c>
      <c r="AK122" s="5">
        <f t="shared" si="127"/>
        <v>4.6500000000000004</v>
      </c>
      <c r="AL122" s="5" t="str">
        <f t="shared" si="23"/>
        <v>2</v>
      </c>
      <c r="AM122" s="5" t="str">
        <f t="shared" si="24"/>
        <v>2</v>
      </c>
      <c r="AN122" s="5" t="str">
        <f t="shared" si="25"/>
        <v>9</v>
      </c>
      <c r="AO122" s="5" t="str">
        <f t="shared" si="26"/>
        <v>2</v>
      </c>
    </row>
    <row r="123" spans="1:41" x14ac:dyDescent="0.25">
      <c r="A123" s="37">
        <v>44011</v>
      </c>
      <c r="B123" s="121">
        <v>103529</v>
      </c>
      <c r="C123" s="6">
        <f t="shared" si="168"/>
        <v>2757</v>
      </c>
      <c r="D123" s="19">
        <f t="shared" ref="D123" si="173">ROUND(((B123/B122)-1)*100,2)</f>
        <v>2.74</v>
      </c>
      <c r="E123" s="35">
        <f t="shared" si="170"/>
        <v>266</v>
      </c>
      <c r="F123" s="25">
        <f>ROUND((B123/Stats!$B$8)*100000,0)</f>
        <v>1031</v>
      </c>
      <c r="G123" s="22">
        <f>ROUND((C123/Stats!$B$8)*100000,0)</f>
        <v>27</v>
      </c>
      <c r="H123" s="213">
        <v>3369</v>
      </c>
      <c r="I123" s="6">
        <f t="shared" ref="I123" si="174">H123-H122</f>
        <v>43</v>
      </c>
      <c r="J123" s="35">
        <f t="shared" ref="J123" si="175">IFERROR(ROUND(((H123/H122)-1)*100,2),"")</f>
        <v>1.29</v>
      </c>
      <c r="K123" s="9">
        <f t="shared" si="167"/>
        <v>3.25</v>
      </c>
      <c r="L123" s="43">
        <f>ROUND(((H123/Stats!$B$8)*100000),0)</f>
        <v>34</v>
      </c>
      <c r="M123" s="96">
        <f>Stats!$B$8-N123</f>
        <v>4404094</v>
      </c>
      <c r="N123" s="97">
        <f>ROUND(Stats!$B$33/(1+(Stats!$B$34*EXP(-1*Stats!$B$32*(X123-$X$25)))),0)</f>
        <v>5635013</v>
      </c>
      <c r="O123" s="101">
        <f t="shared" si="71"/>
        <v>98.162754904025945</v>
      </c>
      <c r="P123" s="97">
        <f>ROUND(N123*(Stats!$I$14/100),0)</f>
        <v>136367</v>
      </c>
      <c r="Q123" s="101">
        <f t="shared" si="64"/>
        <v>97.529460939963485</v>
      </c>
      <c r="R123" s="109">
        <f xml:space="preserve"> ROUND(R122 - ((R122 / Stats!$B$27)*(Stats!$B$21*S122)),0)</f>
        <v>1363727</v>
      </c>
      <c r="S123" s="99">
        <f xml:space="preserve"> ROUND(S122 + (R122/Stats!$B$27)*(Stats!$B$21*S122)-(S122*Stats!$B$22),0)</f>
        <v>88149</v>
      </c>
      <c r="T123" s="101">
        <f t="shared" si="72"/>
        <v>17.44773054714177</v>
      </c>
      <c r="U123" s="99">
        <f xml:space="preserve"> ROUND(U122 + (S122 * Stats!$B$22),0)</f>
        <v>8587760</v>
      </c>
      <c r="V123" s="99">
        <f>ROUND(S123*(Stats!$I$14/100),0)</f>
        <v>2133</v>
      </c>
      <c r="W123" s="105">
        <f t="shared" si="65"/>
        <v>57.946554149085806</v>
      </c>
      <c r="X123" s="118">
        <v>121</v>
      </c>
      <c r="Y123" s="115">
        <f>GROWTH($Y$25:Y122,$X$25:X122,X123:$X$186,1)</f>
        <v>152989774952.2821</v>
      </c>
      <c r="AA123" s="39">
        <f>GROWTH($AA$25:AA122,$X$25:X122,X123:$X$186,1)</f>
        <v>475111156.01233703</v>
      </c>
      <c r="AC123" s="39">
        <f>GROWTH($AC$25:AC122,$X$25:X122,X123:$X$186,1)</f>
        <v>18983649.915158495</v>
      </c>
      <c r="AE123" s="124"/>
      <c r="AF123" s="140">
        <v>2779</v>
      </c>
      <c r="AG123" s="138">
        <f t="shared" si="124"/>
        <v>22</v>
      </c>
      <c r="AH123" s="138">
        <f t="shared" si="125"/>
        <v>0.79</v>
      </c>
      <c r="AI123" s="140">
        <v>45</v>
      </c>
      <c r="AJ123" s="138">
        <f t="shared" si="126"/>
        <v>2</v>
      </c>
      <c r="AK123" s="5">
        <f t="shared" si="127"/>
        <v>4.55</v>
      </c>
      <c r="AL123" s="5" t="str">
        <f t="shared" si="23"/>
        <v>2</v>
      </c>
      <c r="AM123" s="5" t="str">
        <f t="shared" si="24"/>
        <v>4</v>
      </c>
      <c r="AN123" s="5" t="str">
        <f t="shared" si="25"/>
        <v>7</v>
      </c>
      <c r="AO123" s="5" t="str">
        <f t="shared" si="26"/>
        <v>5</v>
      </c>
    </row>
    <row r="124" spans="1:41" x14ac:dyDescent="0.25">
      <c r="A124" s="37">
        <v>44012</v>
      </c>
      <c r="B124" s="121">
        <v>105507</v>
      </c>
      <c r="C124" s="6">
        <f t="shared" si="168"/>
        <v>1978</v>
      </c>
      <c r="D124" s="19">
        <f t="shared" ref="D124" si="176">ROUND(((B124/B123)-1)*100,2)</f>
        <v>1.91</v>
      </c>
      <c r="E124" s="35">
        <f t="shared" si="170"/>
        <v>187</v>
      </c>
      <c r="F124" s="25">
        <f>ROUND((B124/Stats!$B$8)*100000,0)</f>
        <v>1051</v>
      </c>
      <c r="G124" s="22">
        <f>ROUND((C124/Stats!$B$8)*100000,0)</f>
        <v>20</v>
      </c>
      <c r="H124" s="213">
        <v>3402</v>
      </c>
      <c r="I124" s="6">
        <f t="shared" ref="I124" si="177">H124-H123</f>
        <v>33</v>
      </c>
      <c r="J124" s="35">
        <f t="shared" ref="J124" si="178">IFERROR(ROUND(((H124/H123)-1)*100,2),"")</f>
        <v>0.98</v>
      </c>
      <c r="K124" s="9">
        <f t="shared" si="167"/>
        <v>3.22</v>
      </c>
      <c r="L124" s="43">
        <f>ROUND(((H124/Stats!$B$8)*100000),0)</f>
        <v>34</v>
      </c>
      <c r="M124" s="96">
        <f>Stats!$B$8-N124</f>
        <v>4403931</v>
      </c>
      <c r="N124" s="97">
        <f>ROUND(Stats!$B$33/(1+(Stats!$B$34*EXP(-1*Stats!$B$32*(X124-$X$25)))),0)</f>
        <v>5635176</v>
      </c>
      <c r="O124" s="101">
        <f t="shared" si="71"/>
        <v>98.127707102670797</v>
      </c>
      <c r="P124" s="97">
        <f>ROUND(N124*(Stats!$I$14/100),0)</f>
        <v>136371</v>
      </c>
      <c r="Q124" s="101">
        <f t="shared" si="64"/>
        <v>97.505334711925556</v>
      </c>
      <c r="R124" s="109">
        <f xml:space="preserve"> ROUND(R123 - ((R123 / Stats!$B$27)*(Stats!$B$21*S123)),0)</f>
        <v>1359827</v>
      </c>
      <c r="S124" s="99">
        <f xml:space="preserve"> ROUND(S123 + (R123/Stats!$B$27)*(Stats!$B$21*S123)-(S123*Stats!$B$22),0)</f>
        <v>79456</v>
      </c>
      <c r="T124" s="101">
        <f t="shared" si="72"/>
        <v>32.786699556987521</v>
      </c>
      <c r="U124" s="99">
        <f xml:space="preserve"> ROUND(U123 + (S123 * Stats!$B$22),0)</f>
        <v>8600353</v>
      </c>
      <c r="V124" s="99">
        <f>ROUND(S124*(Stats!$I$14/100),0)</f>
        <v>1923</v>
      </c>
      <c r="W124" s="105">
        <f t="shared" si="65"/>
        <v>76.911076443057723</v>
      </c>
      <c r="X124" s="118">
        <v>122</v>
      </c>
      <c r="Y124" s="115">
        <f>GROWTH($Y$25:Y123,$X$25:X123,X124:$X$186,1)</f>
        <v>186408592792.50211</v>
      </c>
      <c r="AA124" s="39">
        <f>GROWTH($AA$25:AA123,$X$25:X123,X124:$X$186,1)</f>
        <v>543993808.69597411</v>
      </c>
      <c r="AC124" s="39">
        <f>GROWTH($AC$25:AC123,$X$25:X123,X124:$X$186,1)</f>
        <v>20970337.487543475</v>
      </c>
      <c r="AE124" s="124"/>
      <c r="AF124" s="140">
        <v>2002</v>
      </c>
      <c r="AG124" s="138">
        <f t="shared" si="124"/>
        <v>24</v>
      </c>
      <c r="AH124" s="138">
        <f t="shared" si="125"/>
        <v>1.21</v>
      </c>
      <c r="AI124" s="140">
        <v>35</v>
      </c>
      <c r="AJ124" s="138">
        <f t="shared" si="126"/>
        <v>2</v>
      </c>
      <c r="AK124" s="5">
        <f t="shared" si="127"/>
        <v>5.88</v>
      </c>
      <c r="AL124" s="5" t="str">
        <f t="shared" si="23"/>
        <v>2</v>
      </c>
      <c r="AM124" s="5" t="str">
        <f t="shared" si="24"/>
        <v>3</v>
      </c>
      <c r="AN124" s="5" t="str">
        <f t="shared" si="25"/>
        <v>0</v>
      </c>
      <c r="AO124" s="5" t="str">
        <f t="shared" si="26"/>
        <v>5</v>
      </c>
    </row>
    <row r="125" spans="1:41" ht="45" x14ac:dyDescent="0.25">
      <c r="A125" s="37">
        <v>44013</v>
      </c>
      <c r="B125" s="121">
        <v>107667</v>
      </c>
      <c r="C125" s="6">
        <f t="shared" si="168"/>
        <v>2160</v>
      </c>
      <c r="D125" s="19">
        <f t="shared" ref="D125:D126" si="179">ROUND(((B125/B124)-1)*100,2)</f>
        <v>2.0499999999999998</v>
      </c>
      <c r="E125" s="35">
        <f t="shared" si="170"/>
        <v>201</v>
      </c>
      <c r="F125" s="25">
        <f>ROUND((B125/Stats!$B$8)*100000,0)</f>
        <v>1072</v>
      </c>
      <c r="G125" s="22">
        <f>ROUND((C125/Stats!$B$8)*100000,0)</f>
        <v>22</v>
      </c>
      <c r="H125" s="213">
        <v>3454</v>
      </c>
      <c r="I125" s="6">
        <f t="shared" ref="I125" si="180">H125-H124</f>
        <v>52</v>
      </c>
      <c r="J125" s="35">
        <f t="shared" ref="J125" si="181">IFERROR(ROUND(((H125/H124)-1)*100,2),"")</f>
        <v>1.53</v>
      </c>
      <c r="K125" s="9">
        <f t="shared" si="167"/>
        <v>3.21</v>
      </c>
      <c r="L125" s="43">
        <f>ROUND(((H125/Stats!$B$8)*100000),0)</f>
        <v>34</v>
      </c>
      <c r="M125" s="96">
        <f>Stats!$B$8-N125</f>
        <v>4403795</v>
      </c>
      <c r="N125" s="97">
        <f>ROUND(Stats!$B$33/(1+(Stats!$B$34*EXP(-1*Stats!$B$32*(X125-$X$25)))),0)</f>
        <v>5635312</v>
      </c>
      <c r="O125" s="101">
        <f t="shared" si="71"/>
        <v>98.089422555485839</v>
      </c>
      <c r="P125" s="97">
        <f>ROUND(N125*(Stats!$I$14/100),0)</f>
        <v>136375</v>
      </c>
      <c r="Q125" s="101">
        <f t="shared" si="64"/>
        <v>97.467277726856096</v>
      </c>
      <c r="R125" s="109">
        <f xml:space="preserve"> ROUND(R124 - ((R124 / Stats!$B$27)*(Stats!$B$21*S124)),0)</f>
        <v>1356321</v>
      </c>
      <c r="S125" s="99">
        <f xml:space="preserve"> ROUND(S124 + (R124/Stats!$B$27)*(Stats!$B$21*S124)-(S124*Stats!$B$22),0)</f>
        <v>71611</v>
      </c>
      <c r="T125" s="101">
        <f t="shared" si="72"/>
        <v>50.349806593959023</v>
      </c>
      <c r="U125" s="99">
        <f xml:space="preserve"> ROUND(U124 + (S124 * Stats!$B$22),0)</f>
        <v>8611704</v>
      </c>
      <c r="V125" s="99">
        <f>ROUND(S125*(Stats!$I$14/100),0)</f>
        <v>1733</v>
      </c>
      <c r="W125" s="105">
        <f t="shared" si="65"/>
        <v>99.307559145989615</v>
      </c>
      <c r="X125" s="118">
        <v>123</v>
      </c>
      <c r="Y125" s="115">
        <f>GROWTH($Y$25:Y124,$X$25:X124,X125:$X$186,1)</f>
        <v>227127358529.14951</v>
      </c>
      <c r="AA125" s="39">
        <f>GROWTH($AA$25:AA124,$X$25:X124,X125:$X$186,1)</f>
        <v>622863218.75351858</v>
      </c>
      <c r="AC125" s="39">
        <f>GROWTH($AC$25:AC124,$X$25:X124,X125:$X$186,1)</f>
        <v>23164937.001410142</v>
      </c>
      <c r="AE125" s="125" t="s">
        <v>282</v>
      </c>
      <c r="AF125" s="140">
        <v>2204</v>
      </c>
      <c r="AG125" s="138">
        <f t="shared" si="124"/>
        <v>44</v>
      </c>
      <c r="AH125" s="138">
        <f t="shared" si="125"/>
        <v>2.02</v>
      </c>
      <c r="AI125" s="140">
        <v>55</v>
      </c>
      <c r="AJ125" s="138">
        <f t="shared" si="126"/>
        <v>3</v>
      </c>
      <c r="AK125" s="5">
        <f t="shared" si="127"/>
        <v>5.61</v>
      </c>
      <c r="AL125" s="5" t="str">
        <f t="shared" si="23"/>
        <v>2</v>
      </c>
      <c r="AM125" s="5" t="str">
        <f t="shared" si="24"/>
        <v>5</v>
      </c>
      <c r="AN125" s="5" t="str">
        <f t="shared" si="25"/>
        <v>2</v>
      </c>
      <c r="AO125" s="5" t="str">
        <f t="shared" si="26"/>
        <v>5</v>
      </c>
    </row>
    <row r="126" spans="1:41" ht="30" x14ac:dyDescent="0.25">
      <c r="A126" s="159">
        <v>44014</v>
      </c>
      <c r="B126" s="166">
        <f>B125+C126</f>
        <v>110109</v>
      </c>
      <c r="C126" s="160">
        <f>(B128-B125)/3</f>
        <v>2442</v>
      </c>
      <c r="D126" s="160">
        <f t="shared" si="179"/>
        <v>2.27</v>
      </c>
      <c r="E126" s="160">
        <f t="shared" si="170"/>
        <v>222</v>
      </c>
      <c r="F126" s="160">
        <f>ROUND((B126/Stats!$B$8)*100000,0)</f>
        <v>1097</v>
      </c>
      <c r="G126" s="160">
        <f>ROUND((C126/Stats!$B$8)*100000,0)</f>
        <v>24</v>
      </c>
      <c r="H126" s="166">
        <f>H125+I126</f>
        <v>3465</v>
      </c>
      <c r="I126" s="160">
        <f>(H128-H125)/3</f>
        <v>11</v>
      </c>
      <c r="J126" s="160">
        <f t="shared" ref="J126" si="182">IFERROR(ROUND(((H126/H125)-1)*100,2),"")</f>
        <v>0.32</v>
      </c>
      <c r="K126" s="160">
        <f t="shared" si="167"/>
        <v>3.15</v>
      </c>
      <c r="L126" s="160">
        <f>ROUND(((H126/Stats!$B$8)*100000),0)</f>
        <v>35</v>
      </c>
      <c r="M126" s="168">
        <f>Stats!$B$8-N126</f>
        <v>4403682</v>
      </c>
      <c r="N126" s="169">
        <f>ROUND(Stats!$B$33/(1+(Stats!$B$34*EXP(-1*Stats!$B$32*(X126-$X$25)))),0)</f>
        <v>5635425</v>
      </c>
      <c r="O126" s="170">
        <f t="shared" si="71"/>
        <v>98.046127843064184</v>
      </c>
      <c r="P126" s="169">
        <f>ROUND(N126*(Stats!$I$14/100),0)</f>
        <v>136377</v>
      </c>
      <c r="Q126" s="170">
        <f t="shared" si="64"/>
        <v>97.459248993598621</v>
      </c>
      <c r="R126" s="171">
        <f xml:space="preserve"> ROUND(R125 - ((R125 / Stats!$B$27)*(Stats!$B$21*S125)),0)</f>
        <v>1353170</v>
      </c>
      <c r="S126" s="172">
        <f xml:space="preserve"> ROUND(S125 + (R125/Stats!$B$27)*(Stats!$B$21*S125)-(S125*Stats!$B$22),0)</f>
        <v>64532</v>
      </c>
      <c r="T126" s="170">
        <f t="shared" si="72"/>
        <v>70.626975763962065</v>
      </c>
      <c r="U126" s="172">
        <f xml:space="preserve"> ROUND(U125 + (S125 * Stats!$B$22),0)</f>
        <v>8621934</v>
      </c>
      <c r="V126" s="172">
        <f>ROUND(S126*(Stats!$I$14/100),0)</f>
        <v>1562</v>
      </c>
      <c r="W126" s="173">
        <f t="shared" si="65"/>
        <v>121.83098591549295</v>
      </c>
      <c r="X126" s="161">
        <v>124</v>
      </c>
      <c r="Y126" s="115">
        <f>GROWTH($Y$25:Y125,$X$25:X125,X126:$X$186,1)</f>
        <v>276740659964.38123</v>
      </c>
      <c r="Z126" s="174"/>
      <c r="AA126" s="39">
        <f>GROWTH($AA$25:AA125,$X$25:X125,X126:$X$186,1)</f>
        <v>713167288.07260323</v>
      </c>
      <c r="AB126" s="174"/>
      <c r="AC126" s="39">
        <f>GROWTH($AC$25:AC125,$X$25:X125,X126:$X$186,1)</f>
        <v>25589206.973805375</v>
      </c>
      <c r="AD126" s="174"/>
      <c r="AE126" s="165" t="s">
        <v>285</v>
      </c>
      <c r="AF126" s="163"/>
      <c r="AG126" s="164" t="s">
        <v>283</v>
      </c>
      <c r="AH126" s="164" t="s">
        <v>283</v>
      </c>
      <c r="AI126" s="163"/>
      <c r="AJ126" s="164" t="s">
        <v>283</v>
      </c>
      <c r="AK126" s="164" t="s">
        <v>283</v>
      </c>
      <c r="AL126" s="5" t="str">
        <f t="shared" si="23"/>
        <v/>
      </c>
      <c r="AM126" s="5" t="str">
        <f t="shared" si="24"/>
        <v/>
      </c>
      <c r="AN126" s="5" t="str">
        <f t="shared" si="25"/>
        <v/>
      </c>
      <c r="AO126" s="5" t="str">
        <f t="shared" si="26"/>
        <v/>
      </c>
    </row>
    <row r="127" spans="1:41" x14ac:dyDescent="0.25">
      <c r="A127" s="159">
        <v>44015</v>
      </c>
      <c r="B127" s="166">
        <f>B126+C127</f>
        <v>112551</v>
      </c>
      <c r="C127" s="160">
        <v>2442</v>
      </c>
      <c r="D127" s="160">
        <f t="shared" ref="D127" si="183">ROUND(((B127/B126)-1)*100,2)</f>
        <v>2.2200000000000002</v>
      </c>
      <c r="E127" s="160">
        <f t="shared" si="170"/>
        <v>217</v>
      </c>
      <c r="F127" s="160">
        <f>ROUND((B127/Stats!$B$8)*100000,0)</f>
        <v>1121</v>
      </c>
      <c r="G127" s="160">
        <f>ROUND((C127/Stats!$B$8)*100000,0)</f>
        <v>24</v>
      </c>
      <c r="H127" s="166">
        <f>H126+I127</f>
        <v>3476</v>
      </c>
      <c r="I127" s="160">
        <v>11</v>
      </c>
      <c r="J127" s="160">
        <f t="shared" ref="J127" si="184">IFERROR(ROUND(((H127/H126)-1)*100,2),"")</f>
        <v>0.32</v>
      </c>
      <c r="K127" s="160">
        <f t="shared" si="167"/>
        <v>3.09</v>
      </c>
      <c r="L127" s="160">
        <f>ROUND(((H127/Stats!$B$8)*100000),0)</f>
        <v>35</v>
      </c>
      <c r="M127" s="168">
        <f>Stats!$B$8-N127</f>
        <v>4403587</v>
      </c>
      <c r="N127" s="169">
        <f>ROUND(Stats!$B$33/(1+(Stats!$B$34*EXP(-1*Stats!$B$32*(X127-$X$25)))),0)</f>
        <v>5635520</v>
      </c>
      <c r="O127" s="170">
        <f t="shared" si="71"/>
        <v>98.002828487876897</v>
      </c>
      <c r="P127" s="169">
        <f>ROUND(N127*(Stats!$I$14/100),0)</f>
        <v>136380</v>
      </c>
      <c r="Q127" s="170">
        <f t="shared" si="64"/>
        <v>97.451239184631177</v>
      </c>
      <c r="R127" s="171">
        <f xml:space="preserve"> ROUND(R126 - ((R126 / Stats!$B$27)*(Stats!$B$21*S126)),0)</f>
        <v>1350337</v>
      </c>
      <c r="S127" s="172">
        <f xml:space="preserve"> ROUND(S126 + (R126/Stats!$B$27)*(Stats!$B$21*S126)-(S126*Stats!$B$22),0)</f>
        <v>58146</v>
      </c>
      <c r="T127" s="170">
        <f t="shared" si="72"/>
        <v>93.566195439067172</v>
      </c>
      <c r="U127" s="172">
        <f xml:space="preserve"> ROUND(U126 + (S126 * Stats!$B$22),0)</f>
        <v>8631153</v>
      </c>
      <c r="V127" s="172">
        <f>ROUND(S127*(Stats!$I$14/100),0)</f>
        <v>1407</v>
      </c>
      <c r="W127" s="173">
        <f t="shared" si="65"/>
        <v>147.05046197583508</v>
      </c>
      <c r="X127" s="161">
        <v>125</v>
      </c>
      <c r="Y127" s="115">
        <f>GROWTH($Y$25:Y126,$X$25:X126,X127:$X$186,1)</f>
        <v>337191403860.28094</v>
      </c>
      <c r="Z127" s="174"/>
      <c r="AA127" s="39">
        <f>GROWTH($AA$25:AA126,$X$25:X126,X127:$X$186,1)</f>
        <v>816563838.51765358</v>
      </c>
      <c r="AB127" s="174"/>
      <c r="AC127" s="39">
        <f>GROWTH($AC$25:AC126,$X$25:X126,X127:$X$186,1)</f>
        <v>28267183.006299108</v>
      </c>
      <c r="AD127" s="174"/>
      <c r="AE127" s="162"/>
      <c r="AF127" s="163"/>
      <c r="AG127" s="164" t="s">
        <v>283</v>
      </c>
      <c r="AH127" s="164" t="s">
        <v>283</v>
      </c>
      <c r="AI127" s="163"/>
      <c r="AJ127" s="164" t="s">
        <v>283</v>
      </c>
      <c r="AK127" s="164" t="s">
        <v>283</v>
      </c>
      <c r="AL127" s="5" t="str">
        <f t="shared" si="23"/>
        <v/>
      </c>
      <c r="AM127" s="5" t="str">
        <f t="shared" si="24"/>
        <v/>
      </c>
      <c r="AN127" s="5" t="str">
        <f t="shared" si="25"/>
        <v/>
      </c>
      <c r="AO127" s="5" t="str">
        <f t="shared" si="26"/>
        <v/>
      </c>
    </row>
    <row r="128" spans="1:41" ht="60" x14ac:dyDescent="0.25">
      <c r="A128" s="159">
        <v>44016</v>
      </c>
      <c r="B128" s="167">
        <v>114993</v>
      </c>
      <c r="C128" s="160">
        <f>B128-B127</f>
        <v>2442</v>
      </c>
      <c r="D128" s="160">
        <f t="shared" ref="D128" si="185">ROUND(((B128/B127)-1)*100,2)</f>
        <v>2.17</v>
      </c>
      <c r="E128" s="160">
        <f t="shared" si="170"/>
        <v>212</v>
      </c>
      <c r="F128" s="160">
        <f>ROUND((B128/Stats!$B$8)*100000,0)</f>
        <v>1145</v>
      </c>
      <c r="G128" s="160">
        <f>ROUND((C128/Stats!$B$8)*100000,0)</f>
        <v>24</v>
      </c>
      <c r="H128" s="215">
        <v>3487</v>
      </c>
      <c r="I128" s="160">
        <f t="shared" ref="I128" si="186">H128-H127</f>
        <v>11</v>
      </c>
      <c r="J128" s="160">
        <f t="shared" ref="J128" si="187">IFERROR(ROUND(((H128/H127)-1)*100,2),"")</f>
        <v>0.32</v>
      </c>
      <c r="K128" s="160">
        <f t="shared" si="167"/>
        <v>3.03</v>
      </c>
      <c r="L128" s="160">
        <f>ROUND(((H128/Stats!$B$8)*100000),0)</f>
        <v>35</v>
      </c>
      <c r="M128" s="168">
        <f>Stats!$B$8-N128</f>
        <v>4403509</v>
      </c>
      <c r="N128" s="169">
        <f>ROUND(Stats!$B$33/(1+(Stats!$B$34*EXP(-1*Stats!$B$32*(X128-$X$25)))),0)</f>
        <v>5635598</v>
      </c>
      <c r="O128" s="170">
        <f t="shared" si="71"/>
        <v>97.959524437335659</v>
      </c>
      <c r="P128" s="169">
        <f>ROUND(N128*(Stats!$I$14/100),0)</f>
        <v>136381</v>
      </c>
      <c r="Q128" s="170">
        <f t="shared" si="64"/>
        <v>97.443192233522268</v>
      </c>
      <c r="R128" s="171">
        <f xml:space="preserve"> ROUND(R127 - ((R127 / Stats!$B$27)*(Stats!$B$21*S127)),0)</f>
        <v>1347790</v>
      </c>
      <c r="S128" s="172">
        <f xml:space="preserve"> ROUND(S127 + (R127/Stats!$B$27)*(Stats!$B$21*S127)-(S127*Stats!$B$22),0)</f>
        <v>52387</v>
      </c>
      <c r="T128" s="170">
        <f t="shared" si="72"/>
        <v>119.50674785729282</v>
      </c>
      <c r="U128" s="172">
        <f xml:space="preserve"> ROUND(U127 + (S127 * Stats!$B$22),0)</f>
        <v>8639460</v>
      </c>
      <c r="V128" s="172">
        <f>ROUND(S128*(Stats!$I$14/100),0)</f>
        <v>1268</v>
      </c>
      <c r="W128" s="173">
        <f t="shared" si="65"/>
        <v>175</v>
      </c>
      <c r="X128" s="161">
        <v>126</v>
      </c>
      <c r="Y128" s="115">
        <f>GROWTH($Y$25:Y127,$X$25:X127,X128:$X$186,1)</f>
        <v>410846902120.9278</v>
      </c>
      <c r="Z128" s="174"/>
      <c r="AA128" s="39">
        <f>GROWTH($AA$25:AA127,$X$25:X127,X128:$X$186,1)</f>
        <v>934951046.58642423</v>
      </c>
      <c r="AB128" s="174"/>
      <c r="AC128" s="39">
        <f>GROWTH($AC$25:AC127,$X$25:X127,X128:$X$186,1)</f>
        <v>31225416.087710015</v>
      </c>
      <c r="AD128" s="174"/>
      <c r="AE128" s="165" t="s">
        <v>286</v>
      </c>
      <c r="AF128" s="163">
        <v>1402</v>
      </c>
      <c r="AG128" s="164" t="s">
        <v>283</v>
      </c>
      <c r="AH128" s="164" t="s">
        <v>283</v>
      </c>
      <c r="AI128" s="163">
        <v>30</v>
      </c>
      <c r="AJ128" s="164" t="s">
        <v>283</v>
      </c>
      <c r="AK128" s="164" t="s">
        <v>283</v>
      </c>
      <c r="AL128" s="5" t="str">
        <f t="shared" si="23"/>
        <v>1</v>
      </c>
      <c r="AM128" s="5" t="str">
        <f t="shared" si="24"/>
        <v>3</v>
      </c>
      <c r="AN128" s="5" t="str">
        <f t="shared" si="25"/>
        <v>4</v>
      </c>
      <c r="AO128" s="5" t="str">
        <f t="shared" si="26"/>
        <v>0</v>
      </c>
    </row>
    <row r="129" spans="1:41" ht="90" x14ac:dyDescent="0.25">
      <c r="A129" s="37">
        <v>44017</v>
      </c>
      <c r="B129" s="121">
        <v>116570</v>
      </c>
      <c r="C129" s="6">
        <f>B129-B128</f>
        <v>1577</v>
      </c>
      <c r="D129" s="19">
        <f t="shared" ref="D129" si="188">ROUND(((B129/B128)-1)*100,2)</f>
        <v>1.37</v>
      </c>
      <c r="E129" s="35">
        <f t="shared" si="170"/>
        <v>135</v>
      </c>
      <c r="F129" s="25">
        <f>ROUND((B129/Stats!$B$8)*100000,0)</f>
        <v>1161</v>
      </c>
      <c r="G129" s="22">
        <f>ROUND((C129/Stats!$B$8)*100000,0)</f>
        <v>16</v>
      </c>
      <c r="H129" s="213">
        <v>3534</v>
      </c>
      <c r="I129" s="6">
        <f t="shared" ref="I129" si="189">H129-H128</f>
        <v>47</v>
      </c>
      <c r="J129" s="35">
        <f t="shared" ref="J129" si="190">IFERROR(ROUND(((H129/H128)-1)*100,2),"")</f>
        <v>1.35</v>
      </c>
      <c r="K129" s="9">
        <f t="shared" si="167"/>
        <v>3.03</v>
      </c>
      <c r="L129" s="43">
        <f>ROUND(((H129/Stats!$B$8)*100000),0)</f>
        <v>35</v>
      </c>
      <c r="M129" s="96">
        <f>Stats!$B$8-N129</f>
        <v>4403443</v>
      </c>
      <c r="N129" s="97">
        <f>ROUND(Stats!$B$33/(1+(Stats!$B$34*EXP(-1*Stats!$B$32*(X129-$X$25)))),0)</f>
        <v>5635664</v>
      </c>
      <c r="O129" s="101">
        <f t="shared" si="71"/>
        <v>97.93156582791309</v>
      </c>
      <c r="P129" s="97">
        <f>ROUND(N129*(Stats!$I$14/100),0)</f>
        <v>136383</v>
      </c>
      <c r="Q129" s="101">
        <f t="shared" si="64"/>
        <v>97.408767954950392</v>
      </c>
      <c r="R129" s="109">
        <f xml:space="preserve"> ROUND(R128 - ((R128 / Stats!$B$27)*(Stats!$B$21*S128)),0)</f>
        <v>1345499</v>
      </c>
      <c r="S129" s="99">
        <f xml:space="preserve"> ROUND(S128 + (R128/Stats!$B$27)*(Stats!$B$21*S128)-(S128*Stats!$B$22),0)</f>
        <v>47194</v>
      </c>
      <c r="T129" s="101">
        <f t="shared" si="72"/>
        <v>147.00173750900541</v>
      </c>
      <c r="U129" s="99">
        <f xml:space="preserve"> ROUND(U128 + (S128 * Stats!$B$22),0)</f>
        <v>8646944</v>
      </c>
      <c r="V129" s="99">
        <f>ROUND(S129*(Stats!$I$14/100),0)</f>
        <v>1142</v>
      </c>
      <c r="W129" s="105">
        <f t="shared" si="65"/>
        <v>209.4570928196147</v>
      </c>
      <c r="X129" s="118">
        <v>127</v>
      </c>
      <c r="Y129" s="115">
        <f>GROWTH($Y$25:Y128,$X$25:X128,X129:$X$186,1)</f>
        <v>500591578106.50055</v>
      </c>
      <c r="AA129" s="39">
        <f>GROWTH($AA$25:AA128,$X$25:X128,X129:$X$186,1)</f>
        <v>1070502290.5495176</v>
      </c>
      <c r="AC129" s="39">
        <f>GROWTH($AC$25:AC128,$X$25:X128,X129:$X$186,1)</f>
        <v>34493235.835822307</v>
      </c>
      <c r="AE129" s="125" t="s">
        <v>330</v>
      </c>
      <c r="AF129" s="140">
        <v>1584</v>
      </c>
      <c r="AG129" s="138">
        <f t="shared" ref="AG129:AG160" si="191">AF129-C129</f>
        <v>7</v>
      </c>
      <c r="AH129" s="138">
        <f t="shared" ref="AH129:AH160" si="192">IFERROR(ROUND(100*(AG129/AVERAGE(AF129,C129)),2),"")</f>
        <v>0.44</v>
      </c>
      <c r="AI129" s="140">
        <v>48</v>
      </c>
      <c r="AJ129" s="138">
        <f t="shared" ref="AJ129:AJ160" si="193">AI129-I129</f>
        <v>1</v>
      </c>
      <c r="AK129" s="5">
        <f t="shared" ref="AK129:AK160" si="194">IFERROR(ROUND(100*(AJ129/AVERAGE(AI129,I129)),2),"")</f>
        <v>2.11</v>
      </c>
      <c r="AL129" s="5" t="str">
        <f t="shared" si="23"/>
        <v>1</v>
      </c>
      <c r="AM129" s="5" t="str">
        <f t="shared" si="24"/>
        <v>4</v>
      </c>
      <c r="AN129" s="5" t="str">
        <f t="shared" si="25"/>
        <v>5</v>
      </c>
      <c r="AO129" s="5" t="str">
        <f t="shared" si="26"/>
        <v>8</v>
      </c>
    </row>
    <row r="130" spans="1:41" ht="30" x14ac:dyDescent="0.25">
      <c r="A130" s="37">
        <v>44018</v>
      </c>
      <c r="B130" s="166">
        <v>120539</v>
      </c>
      <c r="C130" s="160">
        <f>B130-B129</f>
        <v>3969</v>
      </c>
      <c r="D130" s="160">
        <f t="shared" ref="D130" si="195">ROUND(((B130/B129)-1)*100,2)</f>
        <v>3.4</v>
      </c>
      <c r="E130" s="160">
        <f t="shared" si="170"/>
        <v>329</v>
      </c>
      <c r="F130" s="160">
        <f>ROUND((B130/Stats!$B$8)*100000,0)</f>
        <v>1201</v>
      </c>
      <c r="G130" s="160">
        <f>ROUND((C130/Stats!$B$8)*100000,0)</f>
        <v>40</v>
      </c>
      <c r="H130" s="213">
        <v>3579</v>
      </c>
      <c r="I130" s="6">
        <f t="shared" ref="I130" si="196">H130-H129</f>
        <v>45</v>
      </c>
      <c r="J130" s="35">
        <f t="shared" ref="J130" si="197">IFERROR(ROUND(((H130/H129)-1)*100,2),"")</f>
        <v>1.27</v>
      </c>
      <c r="K130" s="9">
        <f t="shared" si="167"/>
        <v>2.97</v>
      </c>
      <c r="L130" s="43">
        <f>ROUND(((H130/Stats!$B$8)*100000),0)</f>
        <v>36</v>
      </c>
      <c r="M130" s="96">
        <f>Stats!$B$8-N130</f>
        <v>4403389</v>
      </c>
      <c r="N130" s="97">
        <f>ROUND(Stats!$B$33/(1+(Stats!$B$34*EXP(-1*Stats!$B$32*(X130-$X$25)))),0)</f>
        <v>5635718</v>
      </c>
      <c r="O130" s="101">
        <f t="shared" si="71"/>
        <v>97.861159838018864</v>
      </c>
      <c r="P130" s="97">
        <f>ROUND(N130*(Stats!$I$14/100),0)</f>
        <v>136384</v>
      </c>
      <c r="Q130" s="101">
        <f t="shared" si="64"/>
        <v>97.375791881745656</v>
      </c>
      <c r="R130" s="109">
        <f xml:space="preserve"> ROUND(R129 - ((R129 / Stats!$B$27)*(Stats!$B$21*S129)),0)</f>
        <v>1343439</v>
      </c>
      <c r="S130" s="99">
        <f xml:space="preserve"> ROUND(S129 + (R129/Stats!$B$27)*(Stats!$B$21*S129)-(S129*Stats!$B$22),0)</f>
        <v>42512</v>
      </c>
      <c r="T130" s="101">
        <f t="shared" si="72"/>
        <v>183.54111780203235</v>
      </c>
      <c r="U130" s="99">
        <f xml:space="preserve"> ROUND(U129 + (S129 * Stats!$B$22),0)</f>
        <v>8653686</v>
      </c>
      <c r="V130" s="99">
        <f>ROUND(S130*(Stats!$I$14/100),0)</f>
        <v>1029</v>
      </c>
      <c r="W130" s="105">
        <f t="shared" si="65"/>
        <v>247.81341107871722</v>
      </c>
      <c r="X130" s="118">
        <v>128</v>
      </c>
      <c r="Y130" s="115">
        <f>GROWTH($Y$25:Y129,$X$25:X129,X130:$X$186,1)</f>
        <v>609939923551.85217</v>
      </c>
      <c r="AA130" s="39">
        <f>GROWTH($AA$25:AA129,$X$25:X129,X130:$X$186,1)</f>
        <v>1225706049.8042097</v>
      </c>
      <c r="AC130" s="39">
        <f>GROWTH($AC$25:AC129,$X$25:X129,X130:$X$186,1)</f>
        <v>38103041.28802117</v>
      </c>
      <c r="AE130" s="165" t="s">
        <v>284</v>
      </c>
      <c r="AF130" s="140">
        <v>4015</v>
      </c>
      <c r="AG130" s="138">
        <f t="shared" si="191"/>
        <v>46</v>
      </c>
      <c r="AH130" s="138">
        <f t="shared" si="192"/>
        <v>1.1499999999999999</v>
      </c>
      <c r="AI130" s="140">
        <v>46</v>
      </c>
      <c r="AJ130" s="138">
        <f t="shared" si="193"/>
        <v>1</v>
      </c>
      <c r="AK130" s="5">
        <f t="shared" si="194"/>
        <v>2.2000000000000002</v>
      </c>
      <c r="AL130" s="5" t="str">
        <f t="shared" si="23"/>
        <v>4</v>
      </c>
      <c r="AM130" s="5" t="str">
        <f t="shared" si="24"/>
        <v>4</v>
      </c>
      <c r="AN130" s="5" t="str">
        <f t="shared" si="25"/>
        <v>0</v>
      </c>
      <c r="AO130" s="5" t="str">
        <f t="shared" si="26"/>
        <v>6</v>
      </c>
    </row>
    <row r="131" spans="1:41" x14ac:dyDescent="0.25">
      <c r="A131" s="37">
        <v>44019</v>
      </c>
      <c r="B131" s="121">
        <v>123004</v>
      </c>
      <c r="C131" s="6">
        <f>B131-B130</f>
        <v>2465</v>
      </c>
      <c r="D131" s="19">
        <f t="shared" ref="D131" si="198">ROUND(((B131/B130)-1)*100,2)</f>
        <v>2.04</v>
      </c>
      <c r="E131" s="35">
        <f t="shared" ref="E131" si="199">IFERROR(ROUND((C131/B131)*10000,0),"")</f>
        <v>200</v>
      </c>
      <c r="F131" s="25">
        <f>ROUND((B131/Stats!$B$8)*100000,0)</f>
        <v>1225</v>
      </c>
      <c r="G131" s="22">
        <f>ROUND((C131/Stats!$B$8)*100000,0)</f>
        <v>25</v>
      </c>
      <c r="H131" s="213">
        <v>3642</v>
      </c>
      <c r="I131" s="6">
        <f t="shared" ref="I131" si="200">H131-H130</f>
        <v>63</v>
      </c>
      <c r="J131" s="35">
        <f t="shared" ref="J131" si="201">IFERROR(ROUND(((H131/H130)-1)*100,2),"")</f>
        <v>1.76</v>
      </c>
      <c r="K131" s="9">
        <f t="shared" si="167"/>
        <v>2.96</v>
      </c>
      <c r="L131" s="43">
        <f>ROUND(((H131/Stats!$B$8)*100000),0)</f>
        <v>36</v>
      </c>
      <c r="M131" s="96">
        <f>Stats!$B$8-N131</f>
        <v>4403343</v>
      </c>
      <c r="N131" s="97">
        <f>ROUND(Stats!$B$33/(1+(Stats!$B$34*EXP(-1*Stats!$B$32*(X131-$X$25)))),0)</f>
        <v>5635764</v>
      </c>
      <c r="O131" s="101">
        <f t="shared" si="71"/>
        <v>97.817438771389291</v>
      </c>
      <c r="P131" s="97">
        <f>ROUND(N131*(Stats!$I$14/100),0)</f>
        <v>136385</v>
      </c>
      <c r="Q131" s="101">
        <f t="shared" si="64"/>
        <v>97.329618359790302</v>
      </c>
      <c r="R131" s="109">
        <f xml:space="preserve"> ROUND(R130 - ((R130 / Stats!$B$27)*(Stats!$B$21*S130)),0)</f>
        <v>1341586</v>
      </c>
      <c r="S131" s="99">
        <f xml:space="preserve"> ROUND(S130 + (R130/Stats!$B$27)*(Stats!$B$21*S130)-(S130*Stats!$B$22),0)</f>
        <v>38292</v>
      </c>
      <c r="T131" s="101">
        <f t="shared" si="72"/>
        <v>221.22636582053696</v>
      </c>
      <c r="U131" s="99">
        <f xml:space="preserve"> ROUND(U130 + (S130 * Stats!$B$22),0)</f>
        <v>8659759</v>
      </c>
      <c r="V131" s="99">
        <f>ROUND(S131*(Stats!$I$14/100),0)</f>
        <v>927</v>
      </c>
      <c r="W131" s="105">
        <f t="shared" si="65"/>
        <v>292.88025889967639</v>
      </c>
      <c r="X131" s="118">
        <v>129</v>
      </c>
      <c r="Y131" s="115">
        <f>GROWTH($Y$25:Y130,$X$25:X130,X131:$X$186,1)</f>
        <v>743174129596.10388</v>
      </c>
      <c r="AA131" s="39">
        <f>GROWTH($AA$25:AA130,$X$25:X130,X131:$X$186,1)</f>
        <v>1403411588.9237781</v>
      </c>
      <c r="AC131" s="39">
        <f>GROWTH($AC$25:AC130,$X$25:X130,X131:$X$186,1)</f>
        <v>42090622.123913683</v>
      </c>
      <c r="AE131" s="124"/>
      <c r="AF131" s="140">
        <v>2496</v>
      </c>
      <c r="AG131" s="138">
        <f t="shared" si="191"/>
        <v>31</v>
      </c>
      <c r="AH131" s="138">
        <f t="shared" si="192"/>
        <v>1.25</v>
      </c>
      <c r="AI131" s="140">
        <v>65</v>
      </c>
      <c r="AJ131" s="138">
        <f t="shared" si="193"/>
        <v>2</v>
      </c>
      <c r="AK131" s="5">
        <f t="shared" si="194"/>
        <v>3.13</v>
      </c>
      <c r="AL131" s="5" t="str">
        <f t="shared" si="23"/>
        <v>2</v>
      </c>
      <c r="AM131" s="5" t="str">
        <f t="shared" si="24"/>
        <v>6</v>
      </c>
      <c r="AN131" s="5" t="str">
        <f t="shared" si="25"/>
        <v>4</v>
      </c>
      <c r="AO131" s="5" t="str">
        <f t="shared" si="26"/>
        <v>5</v>
      </c>
    </row>
    <row r="132" spans="1:41" x14ac:dyDescent="0.25">
      <c r="A132" s="37">
        <v>44020</v>
      </c>
      <c r="B132" s="121">
        <v>124738</v>
      </c>
      <c r="C132" s="6">
        <f>B132-B131</f>
        <v>1734</v>
      </c>
      <c r="D132" s="19">
        <f t="shared" ref="D132" si="202">ROUND(((B132/B131)-1)*100,2)</f>
        <v>1.41</v>
      </c>
      <c r="E132" s="35">
        <f t="shared" ref="E132" si="203">IFERROR(ROUND((C132/B132)*10000,0),"")</f>
        <v>139</v>
      </c>
      <c r="F132" s="25">
        <f>ROUND((B132/Stats!$B$8)*100000,0)</f>
        <v>1243</v>
      </c>
      <c r="G132" s="22">
        <f>ROUND((C132/Stats!$B$8)*100000,0)</f>
        <v>17</v>
      </c>
      <c r="H132" s="213">
        <v>3689</v>
      </c>
      <c r="I132" s="6">
        <f t="shared" ref="I132" si="204">H132-H131</f>
        <v>47</v>
      </c>
      <c r="J132" s="35">
        <f t="shared" ref="J132" si="205">IFERROR(ROUND(((H132/H131)-1)*100,2),"")</f>
        <v>1.29</v>
      </c>
      <c r="K132" s="9">
        <f t="shared" si="167"/>
        <v>2.96</v>
      </c>
      <c r="L132" s="43">
        <f>ROUND(((H132/Stats!$B$8)*100000),0)</f>
        <v>37</v>
      </c>
      <c r="M132" s="96">
        <f>Stats!$B$8-N132</f>
        <v>4403306</v>
      </c>
      <c r="N132" s="97">
        <f>ROUND(Stats!$B$33/(1+(Stats!$B$34*EXP(-1*Stats!$B$32*(X132-$X$25)))),0)</f>
        <v>5635801</v>
      </c>
      <c r="O132" s="101">
        <f t="shared" si="71"/>
        <v>97.786685512849019</v>
      </c>
      <c r="P132" s="97">
        <f>ROUND(N132*(Stats!$I$14/100),0)</f>
        <v>136386</v>
      </c>
      <c r="Q132" s="101">
        <f t="shared" si="64"/>
        <v>97.295176924317744</v>
      </c>
      <c r="R132" s="109">
        <f xml:space="preserve"> ROUND(R131 - ((R131 / Stats!$B$27)*(Stats!$B$21*S131)),0)</f>
        <v>1339919</v>
      </c>
      <c r="S132" s="99">
        <f xml:space="preserve"> ROUND(S131 + (R131/Stats!$B$27)*(Stats!$B$21*S131)-(S131*Stats!$B$22),0)</f>
        <v>34488</v>
      </c>
      <c r="T132" s="101">
        <f t="shared" si="72"/>
        <v>261.68522384597537</v>
      </c>
      <c r="U132" s="99">
        <f xml:space="preserve"> ROUND(U131 + (S131 * Stats!$B$22),0)</f>
        <v>8665229</v>
      </c>
      <c r="V132" s="99">
        <f>ROUND(S132*(Stats!$I$14/100),0)</f>
        <v>835</v>
      </c>
      <c r="W132" s="105">
        <f t="shared" si="65"/>
        <v>341.79640718562877</v>
      </c>
      <c r="X132" s="118">
        <v>130</v>
      </c>
      <c r="Y132" s="115">
        <f>GROWTH($Y$25:Y131,$X$25:X131,X132:$X$186,1)</f>
        <v>905511781692.68445</v>
      </c>
      <c r="AA132" s="39">
        <f>GROWTH($AA$25:AA131,$X$25:X131,X132:$X$186,1)</f>
        <v>1606881265.0799749</v>
      </c>
      <c r="AC132" s="39">
        <f>GROWTH($AC$25:AC131,$X$25:X131,X132:$X$186,1)</f>
        <v>46495513.504720449</v>
      </c>
      <c r="AE132" s="124"/>
      <c r="AF132" s="140">
        <v>1777</v>
      </c>
      <c r="AG132" s="138">
        <f t="shared" si="191"/>
        <v>43</v>
      </c>
      <c r="AH132" s="138">
        <f t="shared" si="192"/>
        <v>2.4500000000000002</v>
      </c>
      <c r="AI132" s="140">
        <v>50</v>
      </c>
      <c r="AJ132" s="138">
        <f t="shared" si="193"/>
        <v>3</v>
      </c>
      <c r="AK132" s="5">
        <f t="shared" si="194"/>
        <v>6.19</v>
      </c>
      <c r="AL132" s="5" t="str">
        <f t="shared" si="23"/>
        <v>1</v>
      </c>
      <c r="AM132" s="5" t="str">
        <f t="shared" si="24"/>
        <v>5</v>
      </c>
      <c r="AN132" s="5" t="str">
        <f t="shared" si="25"/>
        <v>7</v>
      </c>
      <c r="AO132" s="5" t="str">
        <f t="shared" si="26"/>
        <v>0</v>
      </c>
    </row>
    <row r="133" spans="1:41" x14ac:dyDescent="0.25">
      <c r="A133" s="37">
        <v>44021</v>
      </c>
      <c r="B133" s="121">
        <v>127358</v>
      </c>
      <c r="C133" s="6">
        <f t="shared" ref="C133:C135" si="206">B133-B132</f>
        <v>2620</v>
      </c>
      <c r="D133" s="19">
        <f t="shared" ref="D133:D135" si="207">ROUND(((B133/B132)-1)*100,2)</f>
        <v>2.1</v>
      </c>
      <c r="E133" s="35">
        <f t="shared" ref="E133:E135" si="208">IFERROR(ROUND((C133/B133)*10000,0),"")</f>
        <v>206</v>
      </c>
      <c r="F133" s="25">
        <f>ROUND((B133/Stats!$B$8)*100000,0)</f>
        <v>1269</v>
      </c>
      <c r="G133" s="22">
        <f>ROUND((C133/Stats!$B$8)*100000,0)</f>
        <v>26</v>
      </c>
      <c r="H133" s="213">
        <v>3738</v>
      </c>
      <c r="I133" s="6">
        <f t="shared" ref="I133:I135" si="209">H133-H132</f>
        <v>49</v>
      </c>
      <c r="J133" s="35">
        <f t="shared" ref="J133:J135" si="210">IFERROR(ROUND(((H133/H132)-1)*100,2),"")</f>
        <v>1.33</v>
      </c>
      <c r="K133" s="9">
        <f t="shared" si="167"/>
        <v>2.94</v>
      </c>
      <c r="L133" s="43">
        <f>ROUND(((H133/Stats!$B$8)*100000),0)</f>
        <v>37</v>
      </c>
      <c r="M133" s="96">
        <f>Stats!$B$8-N133</f>
        <v>4403274</v>
      </c>
      <c r="N133" s="97">
        <f>ROUND(Stats!$B$33/(1+(Stats!$B$34*EXP(-1*Stats!$B$32*(X133-$X$25)))),0)</f>
        <v>5635833</v>
      </c>
      <c r="O133" s="101">
        <f t="shared" si="71"/>
        <v>97.740209832335339</v>
      </c>
      <c r="P133" s="97">
        <f>ROUND(N133*(Stats!$I$14/100),0)</f>
        <v>136387</v>
      </c>
      <c r="Q133" s="101">
        <f t="shared" si="64"/>
        <v>97.259269578478893</v>
      </c>
      <c r="R133" s="109">
        <f xml:space="preserve"> ROUND(R132 - ((R132 / Stats!$B$27)*(Stats!$B$21*S132)),0)</f>
        <v>1338420</v>
      </c>
      <c r="S133" s="99">
        <f xml:space="preserve"> ROUND(S132 + (R132/Stats!$B$27)*(Stats!$B$21*S132)-(S132*Stats!$B$22),0)</f>
        <v>31060</v>
      </c>
      <c r="T133" s="101">
        <f t="shared" si="72"/>
        <v>310.03863490019319</v>
      </c>
      <c r="U133" s="99">
        <f xml:space="preserve"> ROUND(U132 + (S132 * Stats!$B$22),0)</f>
        <v>8670156</v>
      </c>
      <c r="V133" s="99">
        <f>ROUND(S133*(Stats!$I$14/100),0)</f>
        <v>752</v>
      </c>
      <c r="W133" s="105">
        <f t="shared" si="65"/>
        <v>397.07446808510645</v>
      </c>
      <c r="X133" s="118">
        <v>131</v>
      </c>
      <c r="Y133" s="115">
        <f>GROWTH($Y$25:Y132,$X$25:X132,X133:$X$186,1)</f>
        <v>1103310185501.0298</v>
      </c>
      <c r="AA133" s="39">
        <f>GROWTH($AA$25:AA132,$X$25:X132,X133:$X$186,1)</f>
        <v>1839850419.1098373</v>
      </c>
      <c r="AC133" s="39">
        <f>GROWTH($AC$25:AC132,$X$25:X132,X133:$X$186,1)</f>
        <v>51361388.047514461</v>
      </c>
      <c r="AE133" s="124"/>
      <c r="AF133" s="140">
        <v>2667</v>
      </c>
      <c r="AG133" s="138">
        <f t="shared" si="191"/>
        <v>47</v>
      </c>
      <c r="AH133" s="138">
        <f t="shared" si="192"/>
        <v>1.78</v>
      </c>
      <c r="AI133" s="140">
        <v>51</v>
      </c>
      <c r="AJ133" s="138">
        <f t="shared" si="193"/>
        <v>2</v>
      </c>
      <c r="AK133" s="5">
        <f t="shared" si="194"/>
        <v>4</v>
      </c>
      <c r="AL133" s="5" t="str">
        <f t="shared" si="23"/>
        <v>2</v>
      </c>
      <c r="AM133" s="5" t="str">
        <f t="shared" si="24"/>
        <v>5</v>
      </c>
      <c r="AN133" s="5" t="str">
        <f t="shared" si="25"/>
        <v>6</v>
      </c>
      <c r="AO133" s="5" t="str">
        <f t="shared" si="26"/>
        <v>1</v>
      </c>
    </row>
    <row r="134" spans="1:41" x14ac:dyDescent="0.25">
      <c r="A134" s="37">
        <v>44022</v>
      </c>
      <c r="B134" s="121">
        <v>130242</v>
      </c>
      <c r="C134" s="6">
        <f t="shared" si="206"/>
        <v>2884</v>
      </c>
      <c r="D134" s="19">
        <f t="shared" si="207"/>
        <v>2.2599999999999998</v>
      </c>
      <c r="E134" s="35">
        <f t="shared" si="208"/>
        <v>221</v>
      </c>
      <c r="F134" s="25">
        <f>ROUND((B134/Stats!$B$8)*100000,0)</f>
        <v>1297</v>
      </c>
      <c r="G134" s="22">
        <f>ROUND((C134/Stats!$B$8)*100000,0)</f>
        <v>29</v>
      </c>
      <c r="H134" s="213">
        <v>3793</v>
      </c>
      <c r="I134" s="6">
        <f t="shared" si="209"/>
        <v>55</v>
      </c>
      <c r="J134" s="35">
        <f t="shared" si="210"/>
        <v>1.47</v>
      </c>
      <c r="K134" s="9">
        <f t="shared" si="167"/>
        <v>2.91</v>
      </c>
      <c r="L134" s="43">
        <f>ROUND(((H134/Stats!$B$8)*100000),0)</f>
        <v>38</v>
      </c>
      <c r="M134" s="96">
        <f>Stats!$B$8-N134</f>
        <v>4403248</v>
      </c>
      <c r="N134" s="97">
        <f>ROUND(Stats!$B$33/(1+(Stats!$B$34*EXP(-1*Stats!$B$32*(X134-$X$25)))),0)</f>
        <v>5635859</v>
      </c>
      <c r="O134" s="101">
        <f t="shared" si="71"/>
        <v>97.689047933952921</v>
      </c>
      <c r="P134" s="97">
        <f>ROUND(N134*(Stats!$I$14/100),0)</f>
        <v>136388</v>
      </c>
      <c r="Q134" s="101">
        <f t="shared" si="64"/>
        <v>97.218963545179932</v>
      </c>
      <c r="R134" s="109">
        <f xml:space="preserve"> ROUND(R133 - ((R133 / Stats!$B$27)*(Stats!$B$21*S133)),0)</f>
        <v>1337071</v>
      </c>
      <c r="S134" s="99">
        <f xml:space="preserve"> ROUND(S133 + (R133/Stats!$B$27)*(Stats!$B$21*S133)-(S133*Stats!$B$22),0)</f>
        <v>27972</v>
      </c>
      <c r="T134" s="101">
        <f t="shared" si="72"/>
        <v>365.61561561561558</v>
      </c>
      <c r="U134" s="99">
        <f xml:space="preserve"> ROUND(U133 + (S133 * Stats!$B$22),0)</f>
        <v>8674593</v>
      </c>
      <c r="V134" s="99">
        <f>ROUND(S134*(Stats!$I$14/100),0)</f>
        <v>677</v>
      </c>
      <c r="W134" s="105">
        <f t="shared" si="65"/>
        <v>460.26587887740033</v>
      </c>
      <c r="X134" s="118">
        <v>132</v>
      </c>
      <c r="Y134" s="115">
        <f>GROWTH($Y$25:Y133,$X$25:X133,X134:$X$186,1)</f>
        <v>1344315325367.5242</v>
      </c>
      <c r="AA134" s="39">
        <f>GROWTH($AA$25:AA133,$X$25:X133,X134:$X$186,1)</f>
        <v>2106595949.7201364</v>
      </c>
      <c r="AC134" s="39">
        <f>GROWTH($AC$25:AC133,$X$25:X133,X134:$X$186,1)</f>
        <v>56736488.820572957</v>
      </c>
      <c r="AE134" s="124"/>
      <c r="AF134" s="140">
        <v>2916</v>
      </c>
      <c r="AG134" s="138">
        <f t="shared" si="191"/>
        <v>32</v>
      </c>
      <c r="AH134" s="138">
        <f t="shared" si="192"/>
        <v>1.1000000000000001</v>
      </c>
      <c r="AI134" s="140">
        <v>57</v>
      </c>
      <c r="AJ134" s="138">
        <f t="shared" si="193"/>
        <v>2</v>
      </c>
      <c r="AK134" s="5">
        <f t="shared" si="194"/>
        <v>3.57</v>
      </c>
      <c r="AL134" s="5" t="str">
        <f t="shared" si="23"/>
        <v>2</v>
      </c>
      <c r="AM134" s="5" t="str">
        <f t="shared" si="24"/>
        <v>5</v>
      </c>
      <c r="AN134" s="5" t="str">
        <f t="shared" si="25"/>
        <v>9</v>
      </c>
      <c r="AO134" s="5" t="str">
        <f t="shared" si="26"/>
        <v>7</v>
      </c>
    </row>
    <row r="135" spans="1:41" x14ac:dyDescent="0.25">
      <c r="A135" s="37">
        <v>44023</v>
      </c>
      <c r="B135" s="121">
        <v>133549</v>
      </c>
      <c r="C135" s="6">
        <f t="shared" si="206"/>
        <v>3307</v>
      </c>
      <c r="D135" s="19">
        <f t="shared" si="207"/>
        <v>2.54</v>
      </c>
      <c r="E135" s="35">
        <f t="shared" si="208"/>
        <v>248</v>
      </c>
      <c r="F135" s="25">
        <f>ROUND((B135/Stats!$B$8)*100000,0)</f>
        <v>1330</v>
      </c>
      <c r="G135" s="22">
        <f>ROUND((C135/Stats!$B$8)*100000,0)</f>
        <v>33</v>
      </c>
      <c r="H135" s="213">
        <v>3809</v>
      </c>
      <c r="I135" s="6">
        <f t="shared" si="209"/>
        <v>16</v>
      </c>
      <c r="J135" s="35">
        <f t="shared" si="210"/>
        <v>0.42</v>
      </c>
      <c r="K135" s="9">
        <f t="shared" si="167"/>
        <v>2.85</v>
      </c>
      <c r="L135" s="43">
        <f>ROUND(((H135/Stats!$B$8)*100000),0)</f>
        <v>38</v>
      </c>
      <c r="M135" s="96">
        <f>Stats!$B$8-N135</f>
        <v>4403226</v>
      </c>
      <c r="N135" s="97">
        <f>ROUND(Stats!$B$33/(1+(Stats!$B$34*EXP(-1*Stats!$B$32*(X135-$X$25)))),0)</f>
        <v>5635881</v>
      </c>
      <c r="O135" s="101">
        <f t="shared" si="71"/>
        <v>97.630379349741418</v>
      </c>
      <c r="P135" s="97">
        <f>ROUND(N135*(Stats!$I$14/100),0)</f>
        <v>136388</v>
      </c>
      <c r="Q135" s="101">
        <f t="shared" si="64"/>
        <v>97.207232307827667</v>
      </c>
      <c r="R135" s="109">
        <f xml:space="preserve"> ROUND(R134 - ((R134 / Stats!$B$27)*(Stats!$B$21*S134)),0)</f>
        <v>1335858</v>
      </c>
      <c r="S135" s="99">
        <f xml:space="preserve"> ROUND(S134 + (R134/Stats!$B$27)*(Stats!$B$21*S134)-(S134*Stats!$B$22),0)</f>
        <v>25189</v>
      </c>
      <c r="T135" s="101">
        <f t="shared" si="72"/>
        <v>430.18778038032474</v>
      </c>
      <c r="U135" s="99">
        <f xml:space="preserve"> ROUND(U134 + (S134 * Stats!$B$22),0)</f>
        <v>8678589</v>
      </c>
      <c r="V135" s="99">
        <f>ROUND(S135*(Stats!$I$14/100),0)</f>
        <v>610</v>
      </c>
      <c r="W135" s="105">
        <f t="shared" si="65"/>
        <v>524.42622950819668</v>
      </c>
      <c r="X135" s="118">
        <v>133</v>
      </c>
      <c r="Y135" s="115">
        <f>GROWTH($Y$25:Y134,$X$25:X134,X135:$X$186,1)</f>
        <v>1637965204859.7073</v>
      </c>
      <c r="AA135" s="39">
        <f>GROWTH($AA$25:AA134,$X$25:X134,X135:$X$186,1)</f>
        <v>2412014829.729661</v>
      </c>
      <c r="AC135" s="39">
        <f>GROWTH($AC$25:AC134,$X$25:X134,X135:$X$186,1)</f>
        <v>62674107.652797066</v>
      </c>
      <c r="AE135" s="124"/>
      <c r="AF135" s="140">
        <v>3322</v>
      </c>
      <c r="AG135" s="138">
        <f t="shared" si="191"/>
        <v>15</v>
      </c>
      <c r="AH135" s="138">
        <f t="shared" si="192"/>
        <v>0.45</v>
      </c>
      <c r="AI135" s="140">
        <v>18</v>
      </c>
      <c r="AJ135" s="138">
        <f t="shared" si="193"/>
        <v>2</v>
      </c>
      <c r="AK135" s="5">
        <f t="shared" si="194"/>
        <v>11.76</v>
      </c>
      <c r="AL135" s="5" t="str">
        <f t="shared" si="23"/>
        <v>3</v>
      </c>
      <c r="AM135" s="5" t="str">
        <f t="shared" si="24"/>
        <v>1</v>
      </c>
      <c r="AN135" s="5" t="str">
        <f t="shared" si="25"/>
        <v>3</v>
      </c>
      <c r="AO135" s="5" t="str">
        <f t="shared" si="26"/>
        <v>8</v>
      </c>
    </row>
    <row r="136" spans="1:41" ht="45" x14ac:dyDescent="0.25">
      <c r="A136" s="37">
        <v>44024</v>
      </c>
      <c r="B136" s="121">
        <v>136129</v>
      </c>
      <c r="C136" s="6">
        <f t="shared" ref="C136" si="211">B136-B135</f>
        <v>2580</v>
      </c>
      <c r="D136" s="19">
        <f t="shared" ref="D136" si="212">ROUND(((B136/B135)-1)*100,2)</f>
        <v>1.93</v>
      </c>
      <c r="E136" s="35">
        <f t="shared" ref="E136" si="213">IFERROR(ROUND((C136/B136)*10000,0),"")</f>
        <v>190</v>
      </c>
      <c r="F136" s="25">
        <f>ROUND((B136/Stats!$B$8)*100000,0)</f>
        <v>1356</v>
      </c>
      <c r="G136" s="22">
        <f>ROUND((C136/Stats!$B$8)*100000,0)</f>
        <v>26</v>
      </c>
      <c r="H136" s="213">
        <v>3822</v>
      </c>
      <c r="I136" s="6">
        <f t="shared" ref="I136" si="214">H136-H135</f>
        <v>13</v>
      </c>
      <c r="J136" s="35">
        <f t="shared" ref="J136" si="215">IFERROR(ROUND(((H136/H135)-1)*100,2),"")</f>
        <v>0.34</v>
      </c>
      <c r="K136" s="9">
        <f t="shared" si="167"/>
        <v>2.81</v>
      </c>
      <c r="L136" s="43">
        <f>ROUND(((H136/Stats!$B$8)*100000),0)</f>
        <v>38</v>
      </c>
      <c r="M136" s="96">
        <f>Stats!$B$8-N136</f>
        <v>4403208</v>
      </c>
      <c r="N136" s="97">
        <f>ROUND(Stats!$B$33/(1+(Stats!$B$34*EXP(-1*Stats!$B$32*(X136-$X$25)))),0)</f>
        <v>5635899</v>
      </c>
      <c r="O136" s="101">
        <f t="shared" si="71"/>
        <v>97.584608950586244</v>
      </c>
      <c r="P136" s="97">
        <f>ROUND(N136*(Stats!$I$14/100),0)</f>
        <v>136389</v>
      </c>
      <c r="Q136" s="101">
        <f t="shared" si="64"/>
        <v>97.197721223852369</v>
      </c>
      <c r="R136" s="109">
        <f xml:space="preserve"> ROUND(R135 - ((R135 / Stats!$B$27)*(Stats!$B$21*S135)),0)</f>
        <v>1334766</v>
      </c>
      <c r="S136" s="99">
        <f xml:space="preserve"> ROUND(S135 + (R135/Stats!$B$27)*(Stats!$B$21*S135)-(S135*Stats!$B$22),0)</f>
        <v>22682</v>
      </c>
      <c r="T136" s="101">
        <f t="shared" si="72"/>
        <v>500.16312494489023</v>
      </c>
      <c r="U136" s="99">
        <f xml:space="preserve"> ROUND(U135 + (S135 * Stats!$B$22),0)</f>
        <v>8682187</v>
      </c>
      <c r="V136" s="99">
        <f>ROUND(S136*(Stats!$I$14/100),0)</f>
        <v>549</v>
      </c>
      <c r="W136" s="105">
        <f t="shared" si="65"/>
        <v>596.17486338797812</v>
      </c>
      <c r="X136" s="118">
        <v>134</v>
      </c>
      <c r="Y136" s="115">
        <f>GROWTH($Y$25:Y135,$X$25:X135,X136:$X$186,1)</f>
        <v>1995759448474.3291</v>
      </c>
      <c r="AA136" s="39">
        <f>GROWTH($AA$25:AA135,$X$25:X135,X136:$X$186,1)</f>
        <v>2761714005.767817</v>
      </c>
      <c r="AC136" s="39">
        <f>GROWTH($AC$25:AC135,$X$25:X135,X136:$X$186,1)</f>
        <v>69233113.499438986</v>
      </c>
      <c r="AE136" s="125" t="s">
        <v>289</v>
      </c>
      <c r="AF136" s="140">
        <v>2593</v>
      </c>
      <c r="AG136" s="138">
        <f t="shared" si="191"/>
        <v>13</v>
      </c>
      <c r="AH136" s="138">
        <f t="shared" si="192"/>
        <v>0.5</v>
      </c>
      <c r="AI136" s="140">
        <v>13</v>
      </c>
      <c r="AJ136" s="138">
        <f t="shared" si="193"/>
        <v>0</v>
      </c>
      <c r="AK136" s="5">
        <f t="shared" si="194"/>
        <v>0</v>
      </c>
      <c r="AL136" s="5" t="str">
        <f t="shared" si="23"/>
        <v>2</v>
      </c>
      <c r="AM136" s="5" t="str">
        <f t="shared" si="24"/>
        <v>1</v>
      </c>
      <c r="AN136" s="5" t="str">
        <f t="shared" si="25"/>
        <v>5</v>
      </c>
      <c r="AO136" s="5" t="str">
        <f t="shared" si="26"/>
        <v>3</v>
      </c>
    </row>
    <row r="137" spans="1:41" x14ac:dyDescent="0.25">
      <c r="A137" s="37">
        <v>44025</v>
      </c>
      <c r="B137" s="121">
        <v>140307</v>
      </c>
      <c r="C137" s="6">
        <f t="shared" ref="C137" si="216">B137-B136</f>
        <v>4178</v>
      </c>
      <c r="D137" s="19">
        <f t="shared" ref="D137" si="217">ROUND(((B137/B136)-1)*100,2)</f>
        <v>3.07</v>
      </c>
      <c r="E137" s="35">
        <f t="shared" ref="E137" si="218">IFERROR(ROUND((C137/B137)*10000,0),"")</f>
        <v>298</v>
      </c>
      <c r="F137" s="25">
        <f>ROUND((B137/Stats!$B$8)*100000,0)</f>
        <v>1398</v>
      </c>
      <c r="G137" s="22">
        <f>ROUND((C137/Stats!$B$8)*100000,0)</f>
        <v>42</v>
      </c>
      <c r="H137" s="213">
        <v>3894</v>
      </c>
      <c r="I137" s="6">
        <f t="shared" ref="I137" si="219">H137-H136</f>
        <v>72</v>
      </c>
      <c r="J137" s="35">
        <f t="shared" ref="J137" si="220">IFERROR(ROUND(((H137/H136)-1)*100,2),"")</f>
        <v>1.88</v>
      </c>
      <c r="K137" s="9">
        <f t="shared" si="167"/>
        <v>2.78</v>
      </c>
      <c r="L137" s="43">
        <f>ROUND(((H137/Stats!$B$8)*100000),0)</f>
        <v>39</v>
      </c>
      <c r="M137" s="96">
        <f>Stats!$B$8-N137</f>
        <v>4403193</v>
      </c>
      <c r="N137" s="97">
        <f>ROUND(Stats!$B$33/(1+(Stats!$B$34*EXP(-1*Stats!$B$32*(X137-$X$25)))),0)</f>
        <v>5635914</v>
      </c>
      <c r="O137" s="101">
        <f t="shared" si="71"/>
        <v>97.510483658906082</v>
      </c>
      <c r="P137" s="97">
        <f>ROUND(N137*(Stats!$I$14/100),0)</f>
        <v>136389</v>
      </c>
      <c r="Q137" s="101">
        <f t="shared" si="64"/>
        <v>97.14493104282603</v>
      </c>
      <c r="R137" s="109">
        <f xml:space="preserve"> ROUND(R136 - ((R136 / Stats!$B$27)*(Stats!$B$21*S136)),0)</f>
        <v>1333784</v>
      </c>
      <c r="S137" s="99">
        <f xml:space="preserve"> ROUND(S136 + (R136/Stats!$B$27)*(Stats!$B$21*S136)-(S136*Stats!$B$22),0)</f>
        <v>20424</v>
      </c>
      <c r="T137" s="101">
        <f t="shared" si="72"/>
        <v>586.97121034077554</v>
      </c>
      <c r="U137" s="99">
        <f xml:space="preserve"> ROUND(U136 + (S136 * Stats!$B$22),0)</f>
        <v>8685427</v>
      </c>
      <c r="V137" s="99">
        <f>ROUND(S137*(Stats!$I$14/100),0)</f>
        <v>494</v>
      </c>
      <c r="W137" s="105">
        <f t="shared" si="65"/>
        <v>688.25910931174087</v>
      </c>
      <c r="X137" s="118">
        <v>135</v>
      </c>
      <c r="Y137" s="115">
        <f>GROWTH($Y$25:Y136,$X$25:X136,X137:$X$186,1)</f>
        <v>2431709638493.6743</v>
      </c>
      <c r="AA137" s="39">
        <f>GROWTH($AA$25:AA136,$X$25:X136,X137:$X$186,1)</f>
        <v>3162113331.8276067</v>
      </c>
      <c r="AC137" s="39">
        <f>GROWTH($AC$25:AC136,$X$25:X136,X137:$X$186,1)</f>
        <v>76478536.10265632</v>
      </c>
      <c r="AE137" s="124"/>
      <c r="AF137" s="140">
        <v>4244</v>
      </c>
      <c r="AG137" s="138">
        <f t="shared" si="191"/>
        <v>66</v>
      </c>
      <c r="AH137" s="138">
        <f t="shared" si="192"/>
        <v>1.57</v>
      </c>
      <c r="AI137" s="140">
        <v>73</v>
      </c>
      <c r="AJ137" s="138">
        <f t="shared" si="193"/>
        <v>1</v>
      </c>
      <c r="AK137" s="5">
        <f t="shared" si="194"/>
        <v>1.38</v>
      </c>
      <c r="AL137" s="5" t="str">
        <f t="shared" si="23"/>
        <v>4</v>
      </c>
      <c r="AM137" s="5" t="str">
        <f t="shared" si="24"/>
        <v>7</v>
      </c>
      <c r="AN137" s="5" t="str">
        <f t="shared" si="25"/>
        <v>2</v>
      </c>
      <c r="AO137" s="5" t="str">
        <f t="shared" si="26"/>
        <v>3</v>
      </c>
    </row>
    <row r="138" spans="1:41" x14ac:dyDescent="0.25">
      <c r="A138" s="37">
        <v>44026</v>
      </c>
      <c r="B138" s="121">
        <v>143009</v>
      </c>
      <c r="C138" s="6">
        <f t="shared" ref="C138:C140" si="221">B138-B137</f>
        <v>2702</v>
      </c>
      <c r="D138" s="19">
        <f t="shared" ref="D138:D140" si="222">ROUND(((B138/B137)-1)*100,2)</f>
        <v>1.93</v>
      </c>
      <c r="E138" s="35">
        <f t="shared" ref="E138:E140" si="223">IFERROR(ROUND((C138/B138)*10000,0),"")</f>
        <v>189</v>
      </c>
      <c r="F138" s="25">
        <f>ROUND((B138/Stats!$B$8)*100000,0)</f>
        <v>1425</v>
      </c>
      <c r="G138" s="22">
        <f>ROUND((C138/Stats!$B$8)*100000,0)</f>
        <v>27</v>
      </c>
      <c r="H138" s="213">
        <v>3936</v>
      </c>
      <c r="I138" s="6">
        <f t="shared" ref="I138:I140" si="224">H138-H137</f>
        <v>42</v>
      </c>
      <c r="J138" s="35">
        <f t="shared" ref="J138:J140" si="225">IFERROR(ROUND(((H138/H137)-1)*100,2),"")</f>
        <v>1.08</v>
      </c>
      <c r="K138" s="9">
        <f t="shared" si="167"/>
        <v>2.75</v>
      </c>
      <c r="L138" s="43">
        <f>ROUND(((H138/Stats!$B$8)*100000),0)</f>
        <v>39</v>
      </c>
      <c r="M138" s="96">
        <f>Stats!$B$8-N138</f>
        <v>4403180</v>
      </c>
      <c r="N138" s="97">
        <f>ROUND(Stats!$B$33/(1+(Stats!$B$34*EXP(-1*Stats!$B$32*(X138-$X$25)))),0)</f>
        <v>5635927</v>
      </c>
      <c r="O138" s="101">
        <f t="shared" si="71"/>
        <v>97.462546977631177</v>
      </c>
      <c r="P138" s="97">
        <f>ROUND(N138*(Stats!$I$14/100),0)</f>
        <v>136389</v>
      </c>
      <c r="Q138" s="101">
        <f t="shared" si="64"/>
        <v>97.114136770560677</v>
      </c>
      <c r="R138" s="109">
        <f xml:space="preserve"> ROUND(R137 - ((R137 / Stats!$B$27)*(Stats!$B$21*S137)),0)</f>
        <v>1332900</v>
      </c>
      <c r="S138" s="99">
        <f xml:space="preserve"> ROUND(S137 + (R137/Stats!$B$27)*(Stats!$B$21*S137)-(S137*Stats!$B$22),0)</f>
        <v>18390</v>
      </c>
      <c r="T138" s="101">
        <f t="shared" si="72"/>
        <v>677.64545948885257</v>
      </c>
      <c r="U138" s="99">
        <f xml:space="preserve"> ROUND(U137 + (S137 * Stats!$B$22),0)</f>
        <v>8688345</v>
      </c>
      <c r="V138" s="99">
        <f>ROUND(S138*(Stats!$I$14/100),0)</f>
        <v>445</v>
      </c>
      <c r="W138" s="105">
        <f t="shared" si="65"/>
        <v>784.49438202247188</v>
      </c>
      <c r="X138" s="118">
        <v>136</v>
      </c>
      <c r="Y138" s="115">
        <f>GROWTH($Y$25:Y137,$X$25:X137,X138:$X$186,1)</f>
        <v>2962888022633.8564</v>
      </c>
      <c r="AA138" s="39">
        <f>GROWTH($AA$25:AA137,$X$25:X137,X138:$X$186,1)</f>
        <v>3620563426.350162</v>
      </c>
      <c r="AC138" s="39">
        <f>GROWTH($AC$25:AC137,$X$25:X137,X138:$X$186,1)</f>
        <v>84482210.733635306</v>
      </c>
      <c r="AE138" s="124"/>
      <c r="AF138" s="140">
        <v>2758</v>
      </c>
      <c r="AG138" s="138">
        <f t="shared" si="191"/>
        <v>56</v>
      </c>
      <c r="AH138" s="138">
        <f t="shared" si="192"/>
        <v>2.0499999999999998</v>
      </c>
      <c r="AI138" s="140">
        <v>44</v>
      </c>
      <c r="AJ138" s="138">
        <f t="shared" si="193"/>
        <v>2</v>
      </c>
      <c r="AK138" s="5">
        <f t="shared" si="194"/>
        <v>4.6500000000000004</v>
      </c>
      <c r="AL138" s="5" t="str">
        <f t="shared" si="23"/>
        <v>2</v>
      </c>
      <c r="AM138" s="5" t="str">
        <f t="shared" si="24"/>
        <v>4</v>
      </c>
      <c r="AN138" s="5" t="str">
        <f t="shared" si="25"/>
        <v>7</v>
      </c>
      <c r="AO138" s="5" t="str">
        <f t="shared" si="26"/>
        <v>4</v>
      </c>
    </row>
    <row r="139" spans="1:41" x14ac:dyDescent="0.25">
      <c r="A139" s="37">
        <v>44027</v>
      </c>
      <c r="B139" s="121">
        <v>147468</v>
      </c>
      <c r="C139" s="6">
        <f t="shared" si="221"/>
        <v>4459</v>
      </c>
      <c r="D139" s="19">
        <f t="shared" si="222"/>
        <v>3.12</v>
      </c>
      <c r="E139" s="35">
        <f t="shared" si="223"/>
        <v>302</v>
      </c>
      <c r="F139" s="25">
        <f>ROUND((B139/Stats!$B$8)*100000,0)</f>
        <v>1469</v>
      </c>
      <c r="G139" s="22">
        <f>ROUND((C139/Stats!$B$8)*100000,0)</f>
        <v>44</v>
      </c>
      <c r="H139" s="213">
        <v>3988</v>
      </c>
      <c r="I139" s="6">
        <f t="shared" si="224"/>
        <v>52</v>
      </c>
      <c r="J139" s="35">
        <f t="shared" si="225"/>
        <v>1.32</v>
      </c>
      <c r="K139" s="9">
        <f t="shared" si="167"/>
        <v>2.7</v>
      </c>
      <c r="L139" s="43">
        <f>ROUND(((H139/Stats!$B$8)*100000),0)</f>
        <v>40</v>
      </c>
      <c r="M139" s="96">
        <f>Stats!$B$8-N139</f>
        <v>4403169</v>
      </c>
      <c r="N139" s="97">
        <f>ROUND(Stats!$B$33/(1+(Stats!$B$34*EXP(-1*Stats!$B$32*(X139-$X$25)))),0)</f>
        <v>5635938</v>
      </c>
      <c r="O139" s="101">
        <f t="shared" si="71"/>
        <v>97.383434665179067</v>
      </c>
      <c r="P139" s="97">
        <f>ROUND(N139*(Stats!$I$14/100),0)</f>
        <v>136390</v>
      </c>
      <c r="Q139" s="101">
        <f t="shared" si="64"/>
        <v>97.076031967153014</v>
      </c>
      <c r="R139" s="109">
        <f xml:space="preserve"> ROUND(R138 - ((R138 / Stats!$B$27)*(Stats!$B$21*S138)),0)</f>
        <v>1332105</v>
      </c>
      <c r="S139" s="99">
        <f xml:space="preserve"> ROUND(S138 + (R138/Stats!$B$27)*(Stats!$B$21*S138)-(S138*Stats!$B$22),0)</f>
        <v>16558</v>
      </c>
      <c r="T139" s="101">
        <f t="shared" si="72"/>
        <v>790.61480855175751</v>
      </c>
      <c r="U139" s="99">
        <f xml:space="preserve"> ROUND(U138 + (S138 * Stats!$B$22),0)</f>
        <v>8690972</v>
      </c>
      <c r="V139" s="99">
        <f>ROUND(S139*(Stats!$I$14/100),0)</f>
        <v>401</v>
      </c>
      <c r="W139" s="105">
        <f t="shared" si="65"/>
        <v>894.51371571072309</v>
      </c>
      <c r="X139" s="118">
        <v>137</v>
      </c>
      <c r="Y139" s="115">
        <f>GROWTH($Y$25:Y138,$X$25:X138,X139:$X$186,1)</f>
        <v>3610096080428.9077</v>
      </c>
      <c r="AA139" s="39">
        <f>GROWTH($AA$25:AA138,$X$25:X138,X139:$X$186,1)</f>
        <v>4145480616.4863462</v>
      </c>
      <c r="AC139" s="39">
        <f>GROWTH($AC$25:AC138,$X$25:X138,X139:$X$186,1)</f>
        <v>93323490.408630788</v>
      </c>
      <c r="AE139" s="124"/>
      <c r="AF139" s="140">
        <v>4592</v>
      </c>
      <c r="AG139" s="138">
        <f t="shared" si="191"/>
        <v>133</v>
      </c>
      <c r="AH139" s="138">
        <f t="shared" si="192"/>
        <v>2.94</v>
      </c>
      <c r="AI139" s="140">
        <v>59</v>
      </c>
      <c r="AJ139" s="138">
        <f t="shared" si="193"/>
        <v>7</v>
      </c>
      <c r="AK139" s="5">
        <f t="shared" si="194"/>
        <v>12.61</v>
      </c>
      <c r="AL139" s="5" t="str">
        <f t="shared" si="23"/>
        <v>4</v>
      </c>
      <c r="AM139" s="5" t="str">
        <f t="shared" si="24"/>
        <v>5</v>
      </c>
      <c r="AN139" s="5" t="str">
        <f t="shared" si="25"/>
        <v>5</v>
      </c>
      <c r="AO139" s="5" t="str">
        <f t="shared" si="26"/>
        <v>9</v>
      </c>
    </row>
    <row r="140" spans="1:41" x14ac:dyDescent="0.25">
      <c r="A140" s="37">
        <v>44028</v>
      </c>
      <c r="B140" s="121">
        <v>150319</v>
      </c>
      <c r="C140" s="6">
        <f t="shared" si="221"/>
        <v>2851</v>
      </c>
      <c r="D140" s="19">
        <f t="shared" si="222"/>
        <v>1.93</v>
      </c>
      <c r="E140" s="35">
        <f t="shared" si="223"/>
        <v>190</v>
      </c>
      <c r="F140" s="25">
        <f>ROUND((B140/Stats!$B$8)*100000,0)</f>
        <v>1497</v>
      </c>
      <c r="G140" s="22">
        <f>ROUND((C140/Stats!$B$8)*100000,0)</f>
        <v>28</v>
      </c>
      <c r="H140" s="213">
        <v>4047</v>
      </c>
      <c r="I140" s="6">
        <f t="shared" si="224"/>
        <v>59</v>
      </c>
      <c r="J140" s="35">
        <f t="shared" si="225"/>
        <v>1.48</v>
      </c>
      <c r="K140" s="9">
        <f t="shared" si="167"/>
        <v>2.69</v>
      </c>
      <c r="L140" s="43">
        <f>ROUND(((H140/Stats!$B$8)*100000),0)</f>
        <v>40</v>
      </c>
      <c r="M140" s="96">
        <f>Stats!$B$8-N140</f>
        <v>4403161</v>
      </c>
      <c r="N140" s="97">
        <f>ROUND(Stats!$B$33/(1+(Stats!$B$34*EXP(-1*Stats!$B$32*(X140-$X$25)))),0)</f>
        <v>5635946</v>
      </c>
      <c r="O140" s="101">
        <f t="shared" si="71"/>
        <v>97.332852372964538</v>
      </c>
      <c r="P140" s="97">
        <f>ROUND(N140*(Stats!$I$14/100),0)</f>
        <v>136390</v>
      </c>
      <c r="Q140" s="101">
        <f t="shared" si="64"/>
        <v>97.032773663758348</v>
      </c>
      <c r="R140" s="109">
        <f xml:space="preserve"> ROUND(R139 - ((R139 / Stats!$B$27)*(Stats!$B$21*S139)),0)</f>
        <v>1331389</v>
      </c>
      <c r="S140" s="99">
        <f xml:space="preserve"> ROUND(S139 + (R139/Stats!$B$27)*(Stats!$B$21*S139)-(S139*Stats!$B$22),0)</f>
        <v>14908</v>
      </c>
      <c r="T140" s="101">
        <f t="shared" si="72"/>
        <v>908.31097397370536</v>
      </c>
      <c r="U140" s="99">
        <f xml:space="preserve"> ROUND(U139 + (S139 * Stats!$B$22),0)</f>
        <v>8693337</v>
      </c>
      <c r="V140" s="99">
        <f>ROUND(S140*(Stats!$I$14/100),0)</f>
        <v>361</v>
      </c>
      <c r="W140" s="105">
        <f t="shared" si="65"/>
        <v>1021.0526315789474</v>
      </c>
      <c r="X140" s="118">
        <v>138</v>
      </c>
      <c r="Y140" s="115">
        <f>GROWTH($Y$25:Y139,$X$25:X139,X140:$X$186,1)</f>
        <v>4398679130081.5908</v>
      </c>
      <c r="AA140" s="39">
        <f>GROWTH($AA$25:AA139,$X$25:X139,X140:$X$186,1)</f>
        <v>4746501446.8723192</v>
      </c>
      <c r="AC140" s="39">
        <f>GROWTH($AC$25:AC139,$X$25:X139,X140:$X$186,1)</f>
        <v>103090032.64023687</v>
      </c>
      <c r="AE140" s="124"/>
      <c r="AF140" s="140">
        <v>2885</v>
      </c>
      <c r="AG140" s="138">
        <f t="shared" si="191"/>
        <v>34</v>
      </c>
      <c r="AH140" s="138">
        <f t="shared" si="192"/>
        <v>1.19</v>
      </c>
      <c r="AI140" s="140">
        <v>62</v>
      </c>
      <c r="AJ140" s="138">
        <f t="shared" si="193"/>
        <v>3</v>
      </c>
      <c r="AK140" s="5">
        <f t="shared" si="194"/>
        <v>4.96</v>
      </c>
      <c r="AL140" s="5" t="str">
        <f t="shared" si="23"/>
        <v>2</v>
      </c>
      <c r="AM140" s="5" t="str">
        <f t="shared" si="24"/>
        <v>6</v>
      </c>
      <c r="AN140" s="5" t="str">
        <f t="shared" si="25"/>
        <v>8</v>
      </c>
      <c r="AO140" s="5" t="str">
        <f t="shared" si="26"/>
        <v>2</v>
      </c>
    </row>
    <row r="141" spans="1:41" ht="30" x14ac:dyDescent="0.25">
      <c r="A141" s="37">
        <v>44029</v>
      </c>
      <c r="B141" s="121">
        <v>153041</v>
      </c>
      <c r="C141" s="6">
        <f t="shared" ref="C141:C142" si="226">B141-B140</f>
        <v>2722</v>
      </c>
      <c r="D141" s="19">
        <f t="shared" ref="D141:D142" si="227">ROUND(((B141/B140)-1)*100,2)</f>
        <v>1.81</v>
      </c>
      <c r="E141" s="35">
        <f t="shared" ref="E141:E142" si="228">IFERROR(ROUND((C141/B141)*10000,0),"")</f>
        <v>178</v>
      </c>
      <c r="F141" s="25">
        <f>ROUND((B141/Stats!$B$8)*100000,0)</f>
        <v>1524</v>
      </c>
      <c r="G141" s="22">
        <f>ROUND((C141/Stats!$B$8)*100000,0)</f>
        <v>27</v>
      </c>
      <c r="H141" s="213">
        <v>4084</v>
      </c>
      <c r="I141" s="6">
        <f t="shared" ref="I141:I142" si="229">H141-H140</f>
        <v>37</v>
      </c>
      <c r="J141" s="35">
        <f t="shared" ref="J141:J142" si="230">IFERROR(ROUND(((H141/H140)-1)*100,2),"")</f>
        <v>0.91</v>
      </c>
      <c r="K141" s="9">
        <f t="shared" si="167"/>
        <v>2.67</v>
      </c>
      <c r="L141" s="43">
        <f>ROUND(((H141/Stats!$B$8)*100000),0)</f>
        <v>41</v>
      </c>
      <c r="M141" s="96">
        <f>Stats!$B$8-N141</f>
        <v>4403153</v>
      </c>
      <c r="N141" s="97">
        <f>ROUND(Stats!$B$33/(1+(Stats!$B$34*EXP(-1*Stats!$B$32*(X141-$X$25)))),0)</f>
        <v>5635954</v>
      </c>
      <c r="O141" s="101">
        <f t="shared" si="71"/>
        <v>97.284559100375915</v>
      </c>
      <c r="P141" s="97">
        <f>ROUND(N141*(Stats!$I$14/100),0)</f>
        <v>136390</v>
      </c>
      <c r="Q141" s="101">
        <f t="shared" si="64"/>
        <v>97.005645575188794</v>
      </c>
      <c r="R141" s="109">
        <f xml:space="preserve"> ROUND(R140 - ((R140 / Stats!$B$27)*(Stats!$B$21*S140)),0)</f>
        <v>1330745</v>
      </c>
      <c r="S141" s="99">
        <f xml:space="preserve"> ROUND(S140 + (R140/Stats!$B$27)*(Stats!$B$21*S140)-(S140*Stats!$B$22),0)</f>
        <v>13422</v>
      </c>
      <c r="T141" s="101">
        <f t="shared" si="72"/>
        <v>1040.2250037252272</v>
      </c>
      <c r="U141" s="99">
        <f xml:space="preserve"> ROUND(U140 + (S140 * Stats!$B$22),0)</f>
        <v>8695467</v>
      </c>
      <c r="V141" s="99">
        <f>ROUND(S141*(Stats!$I$14/100),0)</f>
        <v>325</v>
      </c>
      <c r="W141" s="105">
        <f t="shared" si="65"/>
        <v>1156.6153846153845</v>
      </c>
      <c r="X141" s="118">
        <v>139</v>
      </c>
      <c r="Y141" s="115">
        <f>GROWTH($Y$25:Y140,$X$25:X140,X141:$X$186,1)</f>
        <v>5359518876604.6445</v>
      </c>
      <c r="AA141" s="39">
        <f>GROWTH($AA$25:AA140,$X$25:X140,X141:$X$186,1)</f>
        <v>5434659589.4245176</v>
      </c>
      <c r="AC141" s="39">
        <f>GROWTH($AC$25:AC140,$X$25:X140,X141:$X$186,1)</f>
        <v>113878668.52419198</v>
      </c>
      <c r="AE141" s="125" t="s">
        <v>291</v>
      </c>
      <c r="AF141" s="140">
        <v>2770</v>
      </c>
      <c r="AG141" s="138">
        <f t="shared" si="191"/>
        <v>48</v>
      </c>
      <c r="AH141" s="138">
        <f t="shared" si="192"/>
        <v>1.75</v>
      </c>
      <c r="AI141" s="140">
        <v>37</v>
      </c>
      <c r="AJ141" s="138">
        <f t="shared" si="193"/>
        <v>0</v>
      </c>
      <c r="AK141" s="5">
        <f t="shared" si="194"/>
        <v>0</v>
      </c>
      <c r="AL141" s="5" t="str">
        <f t="shared" ref="AL141:AL204" si="231">LEFT(AF141,1)</f>
        <v>2</v>
      </c>
      <c r="AM141" s="5" t="str">
        <f t="shared" ref="AM141:AM204" si="232">LEFT(AI141,1)</f>
        <v>3</v>
      </c>
      <c r="AN141" s="5" t="str">
        <f t="shared" ref="AN141:AN204" si="233">RIGHT(LEFT(AF141,2),1)</f>
        <v>7</v>
      </c>
      <c r="AO141" s="5" t="str">
        <f t="shared" ref="AO141:AO204" si="234">RIGHT(LEFT(AI141,2),1)</f>
        <v>7</v>
      </c>
    </row>
    <row r="142" spans="1:41" x14ac:dyDescent="0.25">
      <c r="A142" s="37">
        <v>44030</v>
      </c>
      <c r="B142" s="121">
        <v>155887</v>
      </c>
      <c r="C142" s="6">
        <f t="shared" si="226"/>
        <v>2846</v>
      </c>
      <c r="D142" s="19">
        <f t="shared" si="227"/>
        <v>1.86</v>
      </c>
      <c r="E142" s="35">
        <f t="shared" si="228"/>
        <v>183</v>
      </c>
      <c r="F142" s="25">
        <f>ROUND((B142/Stats!$B$8)*100000,0)</f>
        <v>1553</v>
      </c>
      <c r="G142" s="22">
        <f>ROUND((C142/Stats!$B$8)*100000,0)</f>
        <v>28</v>
      </c>
      <c r="H142" s="213">
        <v>4095</v>
      </c>
      <c r="I142" s="6">
        <f t="shared" si="229"/>
        <v>11</v>
      </c>
      <c r="J142" s="35">
        <f t="shared" si="230"/>
        <v>0.27</v>
      </c>
      <c r="K142" s="9">
        <f t="shared" si="167"/>
        <v>2.63</v>
      </c>
      <c r="L142" s="43">
        <f>ROUND(((H142/Stats!$B$8)*100000),0)</f>
        <v>41</v>
      </c>
      <c r="M142" s="96">
        <f>Stats!$B$8-N142</f>
        <v>4403147</v>
      </c>
      <c r="N142" s="97">
        <f>ROUND(Stats!$B$33/(1+(Stats!$B$34*EXP(-1*Stats!$B$32*(X142-$X$25)))),0)</f>
        <v>5635960</v>
      </c>
      <c r="O142" s="101">
        <f t="shared" si="71"/>
        <v>97.234064826577907</v>
      </c>
      <c r="P142" s="97">
        <f>ROUND(N142*(Stats!$I$14/100),0)</f>
        <v>136390</v>
      </c>
      <c r="Q142" s="101">
        <f t="shared" si="64"/>
        <v>96.997580467776231</v>
      </c>
      <c r="R142" s="109">
        <f xml:space="preserve"> ROUND(R141 - ((R141 / Stats!$B$27)*(Stats!$B$21*S141)),0)</f>
        <v>1330165</v>
      </c>
      <c r="S142" s="99">
        <f xml:space="preserve"> ROUND(S141 + (R141/Stats!$B$27)*(Stats!$B$21*S141)-(S141*Stats!$B$22),0)</f>
        <v>12084</v>
      </c>
      <c r="T142" s="101">
        <f t="shared" si="72"/>
        <v>1190.0281363786826</v>
      </c>
      <c r="U142" s="99">
        <f xml:space="preserve"> ROUND(U141 + (S141 * Stats!$B$22),0)</f>
        <v>8697384</v>
      </c>
      <c r="V142" s="99">
        <f>ROUND(S142*(Stats!$I$14/100),0)</f>
        <v>292</v>
      </c>
      <c r="W142" s="105">
        <f t="shared" si="65"/>
        <v>1302.3972602739725</v>
      </c>
      <c r="X142" s="118">
        <v>140</v>
      </c>
      <c r="Y142" s="115">
        <f>GROWTH($Y$25:Y141,$X$25:X141,X142:$X$186,1)</f>
        <v>6530242770435.6914</v>
      </c>
      <c r="AA142" s="39">
        <f>GROWTH($AA$25:AA141,$X$25:X141,X142:$X$186,1)</f>
        <v>6222588401.9030542</v>
      </c>
      <c r="AC142" s="39">
        <f>GROWTH($AC$25:AC141,$X$25:X141,X142:$X$186,1)</f>
        <v>125796362.77834579</v>
      </c>
      <c r="AE142" s="124" t="s">
        <v>292</v>
      </c>
      <c r="AF142" s="140">
        <v>2848</v>
      </c>
      <c r="AG142" s="138">
        <f t="shared" si="191"/>
        <v>2</v>
      </c>
      <c r="AH142" s="138">
        <f t="shared" si="192"/>
        <v>7.0000000000000007E-2</v>
      </c>
      <c r="AI142" s="140">
        <v>11</v>
      </c>
      <c r="AJ142" s="138">
        <f t="shared" si="193"/>
        <v>0</v>
      </c>
      <c r="AK142" s="5">
        <f t="shared" si="194"/>
        <v>0</v>
      </c>
      <c r="AL142" s="5" t="str">
        <f t="shared" si="231"/>
        <v>2</v>
      </c>
      <c r="AM142" s="5" t="str">
        <f t="shared" si="232"/>
        <v>1</v>
      </c>
      <c r="AN142" s="5" t="str">
        <f t="shared" si="233"/>
        <v>8</v>
      </c>
      <c r="AO142" s="5" t="str">
        <f t="shared" si="234"/>
        <v>1</v>
      </c>
    </row>
    <row r="143" spans="1:41" x14ac:dyDescent="0.25">
      <c r="A143" s="37">
        <v>44031</v>
      </c>
      <c r="B143" s="121">
        <v>159045</v>
      </c>
      <c r="C143" s="6">
        <f t="shared" ref="C143" si="235">B143-B142</f>
        <v>3158</v>
      </c>
      <c r="D143" s="19">
        <f t="shared" ref="D143" si="236">ROUND(((B143/B142)-1)*100,2)</f>
        <v>2.0299999999999998</v>
      </c>
      <c r="E143" s="35">
        <f t="shared" ref="E143" si="237">IFERROR(ROUND((C143/B143)*10000,0),"")</f>
        <v>199</v>
      </c>
      <c r="F143" s="25">
        <f>ROUND((B143/Stats!$B$8)*100000,0)</f>
        <v>1584</v>
      </c>
      <c r="G143" s="22">
        <f>ROUND((C143/Stats!$B$8)*100000,0)</f>
        <v>31</v>
      </c>
      <c r="H143" s="213">
        <v>4104</v>
      </c>
      <c r="I143" s="6">
        <f t="shared" ref="I143" si="238">H143-H142</f>
        <v>9</v>
      </c>
      <c r="J143" s="35">
        <f t="shared" ref="J143" si="239">IFERROR(ROUND(((H143/H142)-1)*100,2),"")</f>
        <v>0.22</v>
      </c>
      <c r="K143" s="9">
        <f t="shared" si="167"/>
        <v>2.58</v>
      </c>
      <c r="L143" s="43">
        <f>ROUND(((H143/Stats!$B$8)*100000),0)</f>
        <v>41</v>
      </c>
      <c r="M143" s="96">
        <f>Stats!$B$8-N143</f>
        <v>4403142</v>
      </c>
      <c r="N143" s="97">
        <f>ROUND(Stats!$B$33/(1+(Stats!$B$34*EXP(-1*Stats!$B$32*(X143-$X$25)))),0)</f>
        <v>5635965</v>
      </c>
      <c r="O143" s="101">
        <f t="shared" si="71"/>
        <v>97.178034285166774</v>
      </c>
      <c r="P143" s="97">
        <f>ROUND(N143*(Stats!$I$14/100),0)</f>
        <v>136390</v>
      </c>
      <c r="Q143" s="101">
        <f t="shared" si="64"/>
        <v>96.990981743529574</v>
      </c>
      <c r="R143" s="109">
        <f xml:space="preserve"> ROUND(R142 - ((R142 / Stats!$B$27)*(Stats!$B$21*S142)),0)</f>
        <v>1329643</v>
      </c>
      <c r="S143" s="99">
        <f xml:space="preserve"> ROUND(S142 + (R142/Stats!$B$27)*(Stats!$B$21*S142)-(S142*Stats!$B$22),0)</f>
        <v>10879</v>
      </c>
      <c r="T143" s="101">
        <f t="shared" si="72"/>
        <v>1361.9450317124736</v>
      </c>
      <c r="U143" s="99">
        <f xml:space="preserve"> ROUND(U142 + (S142 * Stats!$B$22),0)</f>
        <v>8699110</v>
      </c>
      <c r="V143" s="99">
        <f>ROUND(S143*(Stats!$I$14/100),0)</f>
        <v>263</v>
      </c>
      <c r="W143" s="105">
        <f t="shared" si="65"/>
        <v>1460.4562737642584</v>
      </c>
      <c r="X143" s="118">
        <v>141</v>
      </c>
      <c r="Y143" s="115">
        <f>GROWTH($Y$25:Y142,$X$25:X142,X143:$X$186,1)</f>
        <v>7956697536224.2637</v>
      </c>
      <c r="AA143" s="39">
        <f>GROWTH($AA$25:AA142,$X$25:X142,X143:$X$186,1)</f>
        <v>7124752853.8579149</v>
      </c>
      <c r="AC143" s="39">
        <f>GROWTH($AC$25:AC142,$X$25:X142,X143:$X$186,1)</f>
        <v>138961274.25216231</v>
      </c>
      <c r="AE143" s="124" t="s">
        <v>293</v>
      </c>
      <c r="AF143" s="140">
        <v>3160</v>
      </c>
      <c r="AG143" s="138">
        <f t="shared" si="191"/>
        <v>2</v>
      </c>
      <c r="AH143" s="138">
        <f t="shared" si="192"/>
        <v>0.06</v>
      </c>
      <c r="AI143" s="140">
        <v>9</v>
      </c>
      <c r="AJ143" s="138">
        <f t="shared" si="193"/>
        <v>0</v>
      </c>
      <c r="AK143" s="5">
        <f t="shared" si="194"/>
        <v>0</v>
      </c>
      <c r="AL143" s="5" t="str">
        <f t="shared" si="231"/>
        <v>3</v>
      </c>
      <c r="AM143" s="5" t="str">
        <f t="shared" si="232"/>
        <v>9</v>
      </c>
      <c r="AN143" s="5" t="str">
        <f t="shared" si="233"/>
        <v>1</v>
      </c>
      <c r="AO143" s="5" t="str">
        <f t="shared" si="234"/>
        <v>9</v>
      </c>
    </row>
    <row r="144" spans="1:41" x14ac:dyDescent="0.25">
      <c r="A144" s="37">
        <v>44032</v>
      </c>
      <c r="B144" s="121">
        <v>161673</v>
      </c>
      <c r="C144" s="6">
        <f t="shared" ref="C144" si="240">B144-B143</f>
        <v>2628</v>
      </c>
      <c r="D144" s="19">
        <f t="shared" ref="D144" si="241">ROUND(((B144/B143)-1)*100,2)</f>
        <v>1.65</v>
      </c>
      <c r="E144" s="35">
        <f t="shared" ref="E144" si="242">IFERROR(ROUND((C144/B144)*10000,0),"")</f>
        <v>163</v>
      </c>
      <c r="F144" s="25">
        <f>ROUND((B144/Stats!$B$8)*100000,0)</f>
        <v>1610</v>
      </c>
      <c r="G144" s="22">
        <f>ROUND((C144/Stats!$B$8)*100000,0)</f>
        <v>26</v>
      </c>
      <c r="H144" s="213">
        <v>4154</v>
      </c>
      <c r="I144" s="6">
        <f t="shared" ref="I144" si="243">H144-H143</f>
        <v>50</v>
      </c>
      <c r="J144" s="35">
        <f t="shared" ref="J144" si="244">IFERROR(ROUND(((H144/H143)-1)*100,2),"")</f>
        <v>1.22</v>
      </c>
      <c r="K144" s="9">
        <f t="shared" si="167"/>
        <v>2.57</v>
      </c>
      <c r="L144" s="43">
        <f>ROUND(((H144/Stats!$B$8)*100000),0)</f>
        <v>41</v>
      </c>
      <c r="M144" s="96">
        <f>Stats!$B$8-N144</f>
        <v>4403138</v>
      </c>
      <c r="N144" s="97">
        <f>ROUND(Stats!$B$33/(1+(Stats!$B$34*EXP(-1*Stats!$B$32*(X144-$X$25)))),0)</f>
        <v>5635969</v>
      </c>
      <c r="O144" s="101">
        <f t="shared" si="71"/>
        <v>97.131407216753672</v>
      </c>
      <c r="P144" s="97">
        <f>ROUND(N144*(Stats!$I$14/100),0)</f>
        <v>136390</v>
      </c>
      <c r="Q144" s="101">
        <f t="shared" si="64"/>
        <v>96.954322164381551</v>
      </c>
      <c r="R144" s="109">
        <f xml:space="preserve"> ROUND(R143 - ((R143 / Stats!$B$27)*(Stats!$B$21*S143)),0)</f>
        <v>1329174</v>
      </c>
      <c r="S144" s="99">
        <f xml:space="preserve"> ROUND(S143 + (R143/Stats!$B$27)*(Stats!$B$21*S143)-(S143*Stats!$B$22),0)</f>
        <v>9794</v>
      </c>
      <c r="T144" s="101">
        <f t="shared" si="72"/>
        <v>1550.7351439656934</v>
      </c>
      <c r="U144" s="99">
        <f xml:space="preserve"> ROUND(U143 + (S143 * Stats!$B$22),0)</f>
        <v>8700664</v>
      </c>
      <c r="V144" s="99">
        <f>ROUND(S144*(Stats!$I$14/100),0)</f>
        <v>237</v>
      </c>
      <c r="W144" s="105">
        <f t="shared" si="65"/>
        <v>1652.7426160337552</v>
      </c>
      <c r="X144" s="118">
        <v>142</v>
      </c>
      <c r="Y144" s="115">
        <f>GROWTH($Y$25:Y143,$X$25:X143,X144:$X$186,1)</f>
        <v>9694744576660.375</v>
      </c>
      <c r="AA144" s="39">
        <f>GROWTH($AA$25:AA143,$X$25:X143,X144:$X$186,1)</f>
        <v>8157715077.7049656</v>
      </c>
      <c r="AC144" s="39">
        <f>GROWTH($AC$25:AC143,$X$25:X143,X144:$X$186,1)</f>
        <v>153503927.42125136</v>
      </c>
      <c r="AE144" s="124"/>
      <c r="AF144" s="140">
        <v>2741</v>
      </c>
      <c r="AG144" s="138">
        <f t="shared" si="191"/>
        <v>113</v>
      </c>
      <c r="AH144" s="138">
        <f t="shared" si="192"/>
        <v>4.21</v>
      </c>
      <c r="AI144" s="140">
        <v>50</v>
      </c>
      <c r="AJ144" s="138">
        <f t="shared" si="193"/>
        <v>0</v>
      </c>
      <c r="AK144" s="5">
        <f t="shared" si="194"/>
        <v>0</v>
      </c>
      <c r="AL144" s="5" t="str">
        <f t="shared" si="231"/>
        <v>2</v>
      </c>
      <c r="AM144" s="5" t="str">
        <f t="shared" si="232"/>
        <v>5</v>
      </c>
      <c r="AN144" s="5" t="str">
        <f t="shared" si="233"/>
        <v>7</v>
      </c>
      <c r="AO144" s="5" t="str">
        <f t="shared" si="234"/>
        <v>0</v>
      </c>
    </row>
    <row r="145" spans="1:41" ht="30" x14ac:dyDescent="0.25">
      <c r="A145" s="37">
        <v>44033</v>
      </c>
      <c r="B145" s="121">
        <v>164870</v>
      </c>
      <c r="C145" s="6">
        <f t="shared" ref="C145" si="245">B145-B144</f>
        <v>3197</v>
      </c>
      <c r="D145" s="19">
        <f t="shared" ref="D145" si="246">ROUND(((B145/B144)-1)*100,2)</f>
        <v>1.98</v>
      </c>
      <c r="E145" s="35">
        <f t="shared" ref="E145" si="247">IFERROR(ROUND((C145/B145)*10000,0),"")</f>
        <v>194</v>
      </c>
      <c r="F145" s="25">
        <f>ROUND((B145/Stats!$B$8)*100000,0)</f>
        <v>1642</v>
      </c>
      <c r="G145" s="22">
        <f>ROUND((C145/Stats!$B$8)*100000,0)</f>
        <v>32</v>
      </c>
      <c r="H145" s="213">
        <v>4213</v>
      </c>
      <c r="I145" s="6">
        <f t="shared" ref="I145" si="248">H145-H144</f>
        <v>59</v>
      </c>
      <c r="J145" s="35">
        <f t="shared" ref="J145" si="249">IFERROR(ROUND(((H145/H144)-1)*100,2),"")</f>
        <v>1.42</v>
      </c>
      <c r="K145" s="9">
        <f t="shared" si="167"/>
        <v>2.56</v>
      </c>
      <c r="L145" s="43">
        <f>ROUND(((H145/Stats!$B$8)*100000),0)</f>
        <v>42</v>
      </c>
      <c r="M145" s="96">
        <f>Stats!$B$8-N145</f>
        <v>4403135</v>
      </c>
      <c r="N145" s="97">
        <f>ROUND(Stats!$B$33/(1+(Stats!$B$34*EXP(-1*Stats!$B$32*(X145-$X$25)))),0)</f>
        <v>5635972</v>
      </c>
      <c r="O145" s="101">
        <f t="shared" si="71"/>
        <v>97.07468383448321</v>
      </c>
      <c r="P145" s="97">
        <f>ROUND(N145*(Stats!$I$14/100),0)</f>
        <v>136391</v>
      </c>
      <c r="Q145" s="101">
        <f t="shared" si="64"/>
        <v>96.911086508640594</v>
      </c>
      <c r="R145" s="109">
        <f xml:space="preserve"> ROUND(R144 - ((R144 / Stats!$B$27)*(Stats!$B$21*S144)),0)</f>
        <v>1328752</v>
      </c>
      <c r="S145" s="99">
        <f xml:space="preserve"> ROUND(S144 + (R144/Stats!$B$27)*(Stats!$B$21*S144)-(S144*Stats!$B$22),0)</f>
        <v>8817</v>
      </c>
      <c r="T145" s="101">
        <f t="shared" si="72"/>
        <v>1769.9104003629352</v>
      </c>
      <c r="U145" s="99">
        <f xml:space="preserve"> ROUND(U144 + (S144 * Stats!$B$22),0)</f>
        <v>8702063</v>
      </c>
      <c r="V145" s="99">
        <f>ROUND(S145*(Stats!$I$14/100),0)</f>
        <v>213</v>
      </c>
      <c r="W145" s="105">
        <f t="shared" si="65"/>
        <v>1877.9342723004695</v>
      </c>
      <c r="X145" s="118">
        <v>143</v>
      </c>
      <c r="Y145" s="115">
        <f>GROWTH($Y$25:Y144,$X$25:X144,X145:$X$186,1)</f>
        <v>11812447561163.227</v>
      </c>
      <c r="AA145" s="39">
        <f>GROWTH($AA$25:AA144,$X$25:X144,X145:$X$186,1)</f>
        <v>9340438419.9768581</v>
      </c>
      <c r="AC145" s="39">
        <f>GROWTH($AC$25:AC144,$X$25:X144,X145:$X$186,1)</f>
        <v>169568506.48181197</v>
      </c>
      <c r="AE145" s="125" t="s">
        <v>295</v>
      </c>
      <c r="AF145" s="140">
        <v>3266</v>
      </c>
      <c r="AG145" s="138">
        <f t="shared" si="191"/>
        <v>69</v>
      </c>
      <c r="AH145" s="138">
        <f t="shared" si="192"/>
        <v>2.14</v>
      </c>
      <c r="AI145" s="140">
        <v>64</v>
      </c>
      <c r="AJ145" s="138">
        <f t="shared" si="193"/>
        <v>5</v>
      </c>
      <c r="AK145" s="5">
        <f t="shared" si="194"/>
        <v>8.1300000000000008</v>
      </c>
      <c r="AL145" s="5" t="str">
        <f t="shared" si="231"/>
        <v>3</v>
      </c>
      <c r="AM145" s="5" t="str">
        <f t="shared" si="232"/>
        <v>6</v>
      </c>
      <c r="AN145" s="5" t="str">
        <f t="shared" si="233"/>
        <v>2</v>
      </c>
      <c r="AO145" s="5" t="str">
        <f t="shared" si="234"/>
        <v>4</v>
      </c>
    </row>
    <row r="146" spans="1:41" x14ac:dyDescent="0.25">
      <c r="A146" s="37">
        <v>44034</v>
      </c>
      <c r="B146" s="121">
        <v>166848</v>
      </c>
      <c r="C146" s="6">
        <f t="shared" ref="C146" si="250">B146-B145</f>
        <v>1978</v>
      </c>
      <c r="D146" s="19">
        <f t="shared" ref="D146" si="251">ROUND(((B146/B145)-1)*100,2)</f>
        <v>1.2</v>
      </c>
      <c r="E146" s="35">
        <f t="shared" ref="E146" si="252">IFERROR(ROUND((C146/B146)*10000,0),"")</f>
        <v>119</v>
      </c>
      <c r="F146" s="25">
        <f>ROUND((B146/Stats!$B$8)*100000,0)</f>
        <v>1662</v>
      </c>
      <c r="G146" s="22">
        <f>ROUND((C146/Stats!$B$8)*100000,0)</f>
        <v>20</v>
      </c>
      <c r="H146" s="213">
        <v>4262</v>
      </c>
      <c r="I146" s="6">
        <f t="shared" ref="I146" si="253">H146-H145</f>
        <v>49</v>
      </c>
      <c r="J146" s="35">
        <f t="shared" ref="J146" si="254">IFERROR(ROUND(((H146/H145)-1)*100,2),"")</f>
        <v>1.1599999999999999</v>
      </c>
      <c r="K146" s="9">
        <f t="shared" si="167"/>
        <v>2.5499999999999998</v>
      </c>
      <c r="L146" s="43">
        <f>ROUND(((H146/Stats!$B$8)*100000),0)</f>
        <v>42</v>
      </c>
      <c r="M146" s="96">
        <f>Stats!$B$8-N146</f>
        <v>4403132</v>
      </c>
      <c r="N146" s="97">
        <f>ROUND(Stats!$B$33/(1+(Stats!$B$34*EXP(-1*Stats!$B$32*(X146-$X$25)))),0)</f>
        <v>5635975</v>
      </c>
      <c r="O146" s="101">
        <f t="shared" si="71"/>
        <v>97.039589423302971</v>
      </c>
      <c r="P146" s="97">
        <f>ROUND(N146*(Stats!$I$14/100),0)</f>
        <v>136391</v>
      </c>
      <c r="Q146" s="101">
        <f t="shared" si="64"/>
        <v>96.875160384482854</v>
      </c>
      <c r="R146" s="109">
        <f xml:space="preserve"> ROUND(R145 - ((R145 / Stats!$B$27)*(Stats!$B$21*S145)),0)</f>
        <v>1328372</v>
      </c>
      <c r="S146" s="99">
        <f xml:space="preserve"> ROUND(S145 + (R145/Stats!$B$27)*(Stats!$B$21*S145)-(S145*Stats!$B$22),0)</f>
        <v>7938</v>
      </c>
      <c r="T146" s="101">
        <f t="shared" si="72"/>
        <v>2001.8896447467878</v>
      </c>
      <c r="U146" s="99">
        <f xml:space="preserve"> ROUND(U145 + (S145 * Stats!$B$22),0)</f>
        <v>8703323</v>
      </c>
      <c r="V146" s="99">
        <f>ROUND(S146*(Stats!$I$14/100),0)</f>
        <v>192</v>
      </c>
      <c r="W146" s="105">
        <f t="shared" si="65"/>
        <v>2119.791666666667</v>
      </c>
      <c r="X146" s="118">
        <v>144</v>
      </c>
      <c r="Y146" s="115">
        <f>GROWTH($Y$25:Y145,$X$25:X145,X146:$X$186,1)</f>
        <v>14392737867602.326</v>
      </c>
      <c r="AA146" s="39">
        <f>GROWTH($AA$25:AA145,$X$25:X145,X146:$X$186,1)</f>
        <v>10694635574.588503</v>
      </c>
      <c r="AC146" s="39">
        <f>GROWTH($AC$25:AC145,$X$25:X145,X146:$X$186,1)</f>
        <v>187314284.87537047</v>
      </c>
      <c r="AE146" s="124"/>
      <c r="AF146" s="140">
        <v>2014</v>
      </c>
      <c r="AG146" s="138">
        <f t="shared" si="191"/>
        <v>36</v>
      </c>
      <c r="AH146" s="138">
        <f t="shared" si="192"/>
        <v>1.8</v>
      </c>
      <c r="AI146" s="140">
        <v>49</v>
      </c>
      <c r="AJ146" s="138">
        <f t="shared" si="193"/>
        <v>0</v>
      </c>
      <c r="AK146" s="5">
        <f t="shared" si="194"/>
        <v>0</v>
      </c>
      <c r="AL146" s="5" t="str">
        <f t="shared" si="231"/>
        <v>2</v>
      </c>
      <c r="AM146" s="5" t="str">
        <f t="shared" si="232"/>
        <v>4</v>
      </c>
      <c r="AN146" s="5" t="str">
        <f t="shared" si="233"/>
        <v>0</v>
      </c>
      <c r="AO146" s="5" t="str">
        <f t="shared" si="234"/>
        <v>9</v>
      </c>
    </row>
    <row r="147" spans="1:41" ht="75" x14ac:dyDescent="0.25">
      <c r="A147" s="37">
        <v>44035</v>
      </c>
      <c r="B147" s="121">
        <v>168757</v>
      </c>
      <c r="C147" s="6">
        <f t="shared" ref="C147:C148" si="255">B147-B146</f>
        <v>1909</v>
      </c>
      <c r="D147" s="19">
        <f t="shared" ref="D147:D148" si="256">ROUND(((B147/B146)-1)*100,2)</f>
        <v>1.1399999999999999</v>
      </c>
      <c r="E147" s="35">
        <f t="shared" ref="E147:E148" si="257">IFERROR(ROUND((C147/B147)*10000,0),"")</f>
        <v>113</v>
      </c>
      <c r="F147" s="25">
        <f>ROUND((B147/Stats!$B$8)*100000,0)</f>
        <v>1681</v>
      </c>
      <c r="G147" s="22">
        <f>ROUND((C147/Stats!$B$8)*100000,0)</f>
        <v>19</v>
      </c>
      <c r="H147" s="213">
        <v>4300</v>
      </c>
      <c r="I147" s="6">
        <f t="shared" ref="I147:I148" si="258">H147-H146</f>
        <v>38</v>
      </c>
      <c r="J147" s="35">
        <f t="shared" ref="J147:J148" si="259">IFERROR(ROUND(((H147/H146)-1)*100,2),"")</f>
        <v>0.89</v>
      </c>
      <c r="K147" s="9">
        <f t="shared" si="167"/>
        <v>2.5499999999999998</v>
      </c>
      <c r="L147" s="43">
        <f>ROUND(((H147/Stats!$B$8)*100000),0)</f>
        <v>43</v>
      </c>
      <c r="M147" s="96">
        <f>Stats!$B$8-N147</f>
        <v>4403129</v>
      </c>
      <c r="N147" s="97">
        <f>ROUND(Stats!$B$33/(1+(Stats!$B$34*EXP(-1*Stats!$B$32*(X147-$X$25)))),0)</f>
        <v>5635978</v>
      </c>
      <c r="O147" s="101">
        <f t="shared" si="71"/>
        <v>97.005719326796523</v>
      </c>
      <c r="P147" s="97">
        <f>ROUND(N147*(Stats!$I$14/100),0)</f>
        <v>136391</v>
      </c>
      <c r="Q147" s="101">
        <f t="shared" si="64"/>
        <v>96.8472993086054</v>
      </c>
      <c r="R147" s="109">
        <f xml:space="preserve"> ROUND(R146 - ((R146 / Stats!$B$27)*(Stats!$B$21*S146)),0)</f>
        <v>1328030</v>
      </c>
      <c r="S147" s="99">
        <f xml:space="preserve"> ROUND(S146 + (R146/Stats!$B$27)*(Stats!$B$21*S146)-(S146*Stats!$B$22),0)</f>
        <v>7146</v>
      </c>
      <c r="T147" s="101">
        <f t="shared" si="72"/>
        <v>2261.5589140778061</v>
      </c>
      <c r="U147" s="99">
        <f xml:space="preserve"> ROUND(U146 + (S146 * Stats!$B$22),0)</f>
        <v>8704457</v>
      </c>
      <c r="V147" s="99">
        <f>ROUND(S147*(Stats!$I$14/100),0)</f>
        <v>173</v>
      </c>
      <c r="W147" s="105">
        <f t="shared" si="65"/>
        <v>2385.5491329479769</v>
      </c>
      <c r="X147" s="118">
        <v>145</v>
      </c>
      <c r="Y147" s="115">
        <f>GROWTH($Y$25:Y146,$X$25:X146,X147:$X$186,1)</f>
        <v>17536662258427.998</v>
      </c>
      <c r="AA147" s="39">
        <f>GROWTH($AA$25:AA146,$X$25:X146,X147:$X$186,1)</f>
        <v>12245167189.222445</v>
      </c>
      <c r="AC147" s="39">
        <f>GROWTH($AC$25:AC146,$X$25:X146,X147:$X$186,1)</f>
        <v>206917204.41693524</v>
      </c>
      <c r="AE147" s="125" t="s">
        <v>299</v>
      </c>
      <c r="AF147" s="140">
        <v>1949</v>
      </c>
      <c r="AG147" s="138">
        <f t="shared" si="191"/>
        <v>40</v>
      </c>
      <c r="AH147" s="138">
        <f t="shared" si="192"/>
        <v>2.0699999999999998</v>
      </c>
      <c r="AI147" s="140">
        <v>44</v>
      </c>
      <c r="AJ147" s="138">
        <f t="shared" si="193"/>
        <v>6</v>
      </c>
      <c r="AK147" s="5">
        <f t="shared" si="194"/>
        <v>14.63</v>
      </c>
      <c r="AL147" s="5" t="str">
        <f t="shared" si="231"/>
        <v>1</v>
      </c>
      <c r="AM147" s="5" t="str">
        <f t="shared" si="232"/>
        <v>4</v>
      </c>
      <c r="AN147" s="5" t="str">
        <f t="shared" si="233"/>
        <v>9</v>
      </c>
      <c r="AO147" s="5" t="str">
        <f t="shared" si="234"/>
        <v>4</v>
      </c>
    </row>
    <row r="148" spans="1:41" ht="45" x14ac:dyDescent="0.25">
      <c r="A148" s="37">
        <v>44036</v>
      </c>
      <c r="B148" s="176">
        <v>172325</v>
      </c>
      <c r="C148" s="6">
        <f t="shared" si="255"/>
        <v>3568</v>
      </c>
      <c r="D148" s="19">
        <f t="shared" si="256"/>
        <v>2.11</v>
      </c>
      <c r="E148" s="35">
        <f t="shared" si="257"/>
        <v>207</v>
      </c>
      <c r="F148" s="25">
        <f>ROUND((B148/Stats!$B$8)*100000,0)</f>
        <v>1717</v>
      </c>
      <c r="G148" s="22">
        <f>ROUND((C148/Stats!$B$8)*100000,0)</f>
        <v>36</v>
      </c>
      <c r="H148" s="213">
        <v>4351</v>
      </c>
      <c r="I148" s="6">
        <f t="shared" si="258"/>
        <v>51</v>
      </c>
      <c r="J148" s="35">
        <f t="shared" si="259"/>
        <v>1.19</v>
      </c>
      <c r="K148" s="9">
        <f t="shared" si="167"/>
        <v>2.52</v>
      </c>
      <c r="L148" s="43">
        <f>ROUND(((H148/Stats!$B$8)*100000),0)</f>
        <v>43</v>
      </c>
      <c r="M148" s="96">
        <f>Stats!$B$8-N148</f>
        <v>4403127</v>
      </c>
      <c r="N148" s="97">
        <f>ROUND(Stats!$B$33/(1+(Stats!$B$34*EXP(-1*Stats!$B$32*(X148-$X$25)))),0)</f>
        <v>5635980</v>
      </c>
      <c r="O148" s="101">
        <f t="shared" si="71"/>
        <v>96.942412854552359</v>
      </c>
      <c r="P148" s="97">
        <f>ROUND(N148*(Stats!$I$14/100),0)</f>
        <v>136391</v>
      </c>
      <c r="Q148" s="101">
        <f t="shared" si="64"/>
        <v>96.809906812033049</v>
      </c>
      <c r="R148" s="109">
        <f xml:space="preserve"> ROUND(R147 - ((R147 / Stats!$B$27)*(Stats!$B$21*S147)),0)</f>
        <v>1327722</v>
      </c>
      <c r="S148" s="99">
        <f xml:space="preserve"> ROUND(S147 + (R147/Stats!$B$27)*(Stats!$B$21*S147)-(S147*Stats!$B$22),0)</f>
        <v>6433</v>
      </c>
      <c r="T148" s="101">
        <f t="shared" si="72"/>
        <v>2578.7657391574694</v>
      </c>
      <c r="U148" s="99">
        <f xml:space="preserve"> ROUND(U147 + (S147 * Stats!$B$22),0)</f>
        <v>8705478</v>
      </c>
      <c r="V148" s="99">
        <f>ROUND(S148*(Stats!$I$14/100),0)</f>
        <v>156</v>
      </c>
      <c r="W148" s="105">
        <f t="shared" si="65"/>
        <v>2689.1025641025644</v>
      </c>
      <c r="X148" s="118">
        <v>146</v>
      </c>
      <c r="Y148" s="115">
        <f>GROWTH($Y$25:Y147,$X$25:X147,X148:$X$186,1)</f>
        <v>21367339973475.75</v>
      </c>
      <c r="AA148" s="39">
        <f>GROWTH($AA$25:AA147,$X$25:X147,X148:$X$186,1)</f>
        <v>14020498262.539551</v>
      </c>
      <c r="AC148" s="39">
        <f>GROWTH($AC$25:AC147,$X$25:X147,X148:$X$186,1)</f>
        <v>228571619.6829651</v>
      </c>
      <c r="AE148" s="125" t="s">
        <v>300</v>
      </c>
      <c r="AF148" s="140">
        <v>3628</v>
      </c>
      <c r="AG148" s="138">
        <f t="shared" si="191"/>
        <v>60</v>
      </c>
      <c r="AH148" s="138">
        <f t="shared" si="192"/>
        <v>1.67</v>
      </c>
      <c r="AI148" s="140">
        <v>53</v>
      </c>
      <c r="AJ148" s="138">
        <f t="shared" si="193"/>
        <v>2</v>
      </c>
      <c r="AK148" s="5">
        <f t="shared" si="194"/>
        <v>3.85</v>
      </c>
      <c r="AL148" s="5" t="str">
        <f t="shared" si="231"/>
        <v>3</v>
      </c>
      <c r="AM148" s="5" t="str">
        <f t="shared" si="232"/>
        <v>5</v>
      </c>
      <c r="AN148" s="5" t="str">
        <f t="shared" si="233"/>
        <v>6</v>
      </c>
      <c r="AO148" s="5" t="str">
        <f t="shared" si="234"/>
        <v>3</v>
      </c>
    </row>
    <row r="149" spans="1:41" x14ac:dyDescent="0.25">
      <c r="A149" s="37">
        <v>44037</v>
      </c>
      <c r="B149" s="121">
        <v>173995</v>
      </c>
      <c r="C149" s="6">
        <f t="shared" ref="C149" si="260">B149-B148</f>
        <v>1670</v>
      </c>
      <c r="D149" s="19">
        <f t="shared" ref="D149" si="261">ROUND(((B149/B148)-1)*100,2)</f>
        <v>0.97</v>
      </c>
      <c r="E149" s="35">
        <f t="shared" ref="E149" si="262">IFERROR(ROUND((C149/B149)*10000,0),"")</f>
        <v>96</v>
      </c>
      <c r="F149" s="25">
        <f>ROUND((B149/Stats!$B$8)*100000,0)</f>
        <v>1733</v>
      </c>
      <c r="G149" s="22">
        <f>ROUND((C149/Stats!$B$8)*100000,0)</f>
        <v>17</v>
      </c>
      <c r="H149" s="213">
        <v>4360</v>
      </c>
      <c r="I149" s="6">
        <f t="shared" ref="I149" si="263">H149-H148</f>
        <v>9</v>
      </c>
      <c r="J149" s="35">
        <f t="shared" ref="J149" si="264">IFERROR(ROUND(((H149/H148)-1)*100,2),"")</f>
        <v>0.21</v>
      </c>
      <c r="K149" s="9">
        <f t="shared" si="167"/>
        <v>2.5099999999999998</v>
      </c>
      <c r="L149" s="43">
        <f>ROUND(((H149/Stats!$B$8)*100000),0)</f>
        <v>43</v>
      </c>
      <c r="M149" s="96">
        <f>Stats!$B$8-N149</f>
        <v>4403125</v>
      </c>
      <c r="N149" s="97">
        <f>ROUND(Stats!$B$33/(1+(Stats!$B$34*EXP(-1*Stats!$B$32*(X149-$X$25)))),0)</f>
        <v>5635982</v>
      </c>
      <c r="O149" s="101">
        <f t="shared" si="71"/>
        <v>96.912782901009976</v>
      </c>
      <c r="P149" s="97">
        <f>ROUND(N149*(Stats!$I$14/100),0)</f>
        <v>136391</v>
      </c>
      <c r="Q149" s="101">
        <f t="shared" si="64"/>
        <v>96.803308136167345</v>
      </c>
      <c r="R149" s="109">
        <f xml:space="preserve"> ROUND(R148 - ((R148 / Stats!$B$27)*(Stats!$B$21*S148)),0)</f>
        <v>1327445</v>
      </c>
      <c r="S149" s="99">
        <f xml:space="preserve"> ROUND(S148 + (R148/Stats!$B$27)*(Stats!$B$21*S148)-(S148*Stats!$B$22),0)</f>
        <v>5791</v>
      </c>
      <c r="T149" s="101">
        <f t="shared" si="72"/>
        <v>2904.5760663097913</v>
      </c>
      <c r="U149" s="99">
        <f xml:space="preserve"> ROUND(U148 + (S148 * Stats!$B$22),0)</f>
        <v>8706397</v>
      </c>
      <c r="V149" s="99">
        <f>ROUND(S149*(Stats!$I$14/100),0)</f>
        <v>140</v>
      </c>
      <c r="W149" s="105">
        <f t="shared" si="65"/>
        <v>3014.2857142857142</v>
      </c>
      <c r="X149" s="118">
        <v>147</v>
      </c>
      <c r="Y149" s="115">
        <f>GROWTH($Y$25:Y148,$X$25:X148,X149:$X$186,1)</f>
        <v>26034784203172.344</v>
      </c>
      <c r="AA149" s="39">
        <f>GROWTH($AA$25:AA148,$X$25:X148,X149:$X$186,1)</f>
        <v>16053220710.851994</v>
      </c>
      <c r="AC149" s="39">
        <f>GROWTH($AC$25:AC148,$X$25:X148,X149:$X$186,1)</f>
        <v>252492224.95399943</v>
      </c>
      <c r="AE149" s="124" t="s">
        <v>314</v>
      </c>
      <c r="AF149" s="140">
        <v>1703</v>
      </c>
      <c r="AG149" s="138">
        <f t="shared" si="191"/>
        <v>33</v>
      </c>
      <c r="AH149" s="138">
        <f t="shared" si="192"/>
        <v>1.96</v>
      </c>
      <c r="AI149" s="140">
        <v>10</v>
      </c>
      <c r="AJ149" s="138">
        <f t="shared" si="193"/>
        <v>1</v>
      </c>
      <c r="AK149" s="5">
        <f t="shared" si="194"/>
        <v>10.53</v>
      </c>
      <c r="AL149" s="5" t="str">
        <f t="shared" si="231"/>
        <v>1</v>
      </c>
      <c r="AM149" s="5" t="str">
        <f t="shared" si="232"/>
        <v>1</v>
      </c>
      <c r="AN149" s="5" t="str">
        <f t="shared" si="233"/>
        <v>7</v>
      </c>
      <c r="AO149" s="5" t="str">
        <f t="shared" si="234"/>
        <v>0</v>
      </c>
    </row>
    <row r="150" spans="1:41" x14ac:dyDescent="0.25">
      <c r="A150" s="37">
        <v>44038</v>
      </c>
      <c r="B150" s="121">
        <v>176028</v>
      </c>
      <c r="C150" s="6">
        <f t="shared" ref="C150" si="265">B150-B149</f>
        <v>2033</v>
      </c>
      <c r="D150" s="19">
        <f t="shared" ref="D150" si="266">ROUND(((B150/B149)-1)*100,2)</f>
        <v>1.17</v>
      </c>
      <c r="E150" s="35">
        <f t="shared" ref="E150" si="267">IFERROR(ROUND((C150/B150)*10000,0),"")</f>
        <v>115</v>
      </c>
      <c r="F150" s="25">
        <f>ROUND((B150/Stats!$B$8)*100000,0)</f>
        <v>1753</v>
      </c>
      <c r="G150" s="22">
        <f>ROUND((C150/Stats!$B$8)*100000,0)</f>
        <v>20</v>
      </c>
      <c r="H150" s="213">
        <v>4375</v>
      </c>
      <c r="I150" s="6">
        <f t="shared" ref="I150" si="268">H150-H149</f>
        <v>15</v>
      </c>
      <c r="J150" s="35">
        <f t="shared" ref="J150" si="269">IFERROR(ROUND(((H150/H149)-1)*100,2),"")</f>
        <v>0.34</v>
      </c>
      <c r="K150" s="9">
        <f t="shared" si="167"/>
        <v>2.4900000000000002</v>
      </c>
      <c r="L150" s="43">
        <f>ROUND(((H150/Stats!$B$8)*100000),0)</f>
        <v>44</v>
      </c>
      <c r="M150" s="96">
        <f>Stats!$B$8-N150</f>
        <v>4403124</v>
      </c>
      <c r="N150" s="97">
        <f>ROUND(Stats!$B$33/(1+(Stats!$B$34*EXP(-1*Stats!$B$32*(X150-$X$25)))),0)</f>
        <v>5635983</v>
      </c>
      <c r="O150" s="101">
        <f t="shared" si="71"/>
        <v>96.876711657930841</v>
      </c>
      <c r="P150" s="97">
        <f>ROUND(N150*(Stats!$I$14/100),0)</f>
        <v>136391</v>
      </c>
      <c r="Q150" s="101">
        <f t="shared" si="64"/>
        <v>96.792310343057835</v>
      </c>
      <c r="R150" s="109">
        <f xml:space="preserve"> ROUND(R149 - ((R149 / Stats!$B$27)*(Stats!$B$21*S149)),0)</f>
        <v>1327196</v>
      </c>
      <c r="S150" s="99">
        <f xml:space="preserve"> ROUND(S149 + (R149/Stats!$B$27)*(Stats!$B$21*S149)-(S149*Stats!$B$22),0)</f>
        <v>5213</v>
      </c>
      <c r="T150" s="101">
        <f t="shared" si="72"/>
        <v>3276.7120659888737</v>
      </c>
      <c r="U150" s="99">
        <f xml:space="preserve"> ROUND(U149 + (S149 * Stats!$B$22),0)</f>
        <v>8707224</v>
      </c>
      <c r="V150" s="99">
        <f>ROUND(S150*(Stats!$I$14/100),0)</f>
        <v>126</v>
      </c>
      <c r="W150" s="105">
        <f t="shared" si="65"/>
        <v>3372.2222222222222</v>
      </c>
      <c r="X150" s="118">
        <v>148</v>
      </c>
      <c r="Y150" s="115">
        <f>GROWTH($Y$25:Y149,$X$25:X149,X150:$X$186,1)</f>
        <v>31721776755888.328</v>
      </c>
      <c r="AA150" s="39">
        <f>GROWTH($AA$25:AA149,$X$25:X149,X150:$X$186,1)</f>
        <v>18380651697.656002</v>
      </c>
      <c r="AC150" s="39">
        <f>GROWTH($AC$25:AC149,$X$25:X149,X150:$X$186,1)</f>
        <v>278916182.81678236</v>
      </c>
      <c r="AE150" s="124" t="s">
        <v>314</v>
      </c>
      <c r="AF150" s="140">
        <v>2039</v>
      </c>
      <c r="AG150" s="138">
        <f t="shared" si="191"/>
        <v>6</v>
      </c>
      <c r="AH150" s="138">
        <f t="shared" si="192"/>
        <v>0.28999999999999998</v>
      </c>
      <c r="AI150" s="140">
        <v>17</v>
      </c>
      <c r="AJ150" s="138">
        <f t="shared" si="193"/>
        <v>2</v>
      </c>
      <c r="AK150" s="5">
        <f t="shared" si="194"/>
        <v>12.5</v>
      </c>
      <c r="AL150" s="5" t="str">
        <f t="shared" si="231"/>
        <v>2</v>
      </c>
      <c r="AM150" s="5" t="str">
        <f t="shared" si="232"/>
        <v>1</v>
      </c>
      <c r="AN150" s="5" t="str">
        <f t="shared" si="233"/>
        <v>0</v>
      </c>
      <c r="AO150" s="5" t="str">
        <f t="shared" si="234"/>
        <v>7</v>
      </c>
    </row>
    <row r="151" spans="1:41" x14ac:dyDescent="0.25">
      <c r="A151" s="37">
        <v>44039</v>
      </c>
      <c r="B151" s="121">
        <v>178642</v>
      </c>
      <c r="C151" s="6">
        <f t="shared" ref="C151" si="270">B151-B150</f>
        <v>2614</v>
      </c>
      <c r="D151" s="19">
        <f t="shared" ref="D151" si="271">ROUND(((B151/B150)-1)*100,2)</f>
        <v>1.48</v>
      </c>
      <c r="E151" s="35">
        <f t="shared" ref="E151" si="272">IFERROR(ROUND((C151/B151)*10000,0),"")</f>
        <v>146</v>
      </c>
      <c r="F151" s="25">
        <f>ROUND((B151/Stats!$B$8)*100000,0)</f>
        <v>1779</v>
      </c>
      <c r="G151" s="22">
        <f>ROUND((C151/Stats!$B$8)*100000,0)</f>
        <v>26</v>
      </c>
      <c r="H151" s="213">
        <v>4426</v>
      </c>
      <c r="I151" s="6">
        <f t="shared" ref="I151" si="273">H151-H150</f>
        <v>51</v>
      </c>
      <c r="J151" s="35">
        <f t="shared" ref="J151" si="274">IFERROR(ROUND(((H151/H150)-1)*100,2),"")</f>
        <v>1.17</v>
      </c>
      <c r="K151" s="9">
        <f t="shared" si="167"/>
        <v>2.48</v>
      </c>
      <c r="L151" s="43">
        <f>ROUND(((H151/Stats!$B$8)*100000),0)</f>
        <v>44</v>
      </c>
      <c r="M151" s="96">
        <f>Stats!$B$8-N151</f>
        <v>4403123</v>
      </c>
      <c r="N151" s="97">
        <f>ROUND(Stats!$B$33/(1+(Stats!$B$34*EXP(-1*Stats!$B$32*(X151-$X$25)))),0)</f>
        <v>5635984</v>
      </c>
      <c r="O151" s="101">
        <f t="shared" si="71"/>
        <v>96.830331668791118</v>
      </c>
      <c r="P151" s="97">
        <f>ROUND(N151*(Stats!$I$14/100),0)</f>
        <v>136391</v>
      </c>
      <c r="Q151" s="101">
        <f t="shared" si="64"/>
        <v>96.754917846485469</v>
      </c>
      <c r="R151" s="109">
        <f xml:space="preserve"> ROUND(R150 - ((R150 / Stats!$B$27)*(Stats!$B$21*S150)),0)</f>
        <v>1326972</v>
      </c>
      <c r="S151" s="99">
        <f xml:space="preserve"> ROUND(S150 + (R150/Stats!$B$27)*(Stats!$B$21*S150)-(S150*Stats!$B$22),0)</f>
        <v>4693</v>
      </c>
      <c r="T151" s="101">
        <f t="shared" si="72"/>
        <v>3706.5629661197527</v>
      </c>
      <c r="U151" s="99">
        <f xml:space="preserve"> ROUND(U150 + (S150 * Stats!$B$22),0)</f>
        <v>8707969</v>
      </c>
      <c r="V151" s="99">
        <f>ROUND(S151*(Stats!$I$14/100),0)</f>
        <v>114</v>
      </c>
      <c r="W151" s="105">
        <f t="shared" si="65"/>
        <v>3782.4561403508774</v>
      </c>
      <c r="X151" s="118">
        <v>149</v>
      </c>
      <c r="Y151" s="115">
        <f>GROWTH($Y$25:Y150,$X$25:X150,X151:$X$186,1)</f>
        <v>38651025977306.977</v>
      </c>
      <c r="AA151" s="39">
        <f>GROWTH($AA$25:AA150,$X$25:X150,X151:$X$186,1)</f>
        <v>21045518710.283279</v>
      </c>
      <c r="AC151" s="39">
        <f>GROWTH($AC$25:AC150,$X$25:X150,X151:$X$186,1)</f>
        <v>308105475.53001887</v>
      </c>
      <c r="AE151" s="124" t="s">
        <v>314</v>
      </c>
      <c r="AF151" s="140">
        <v>2708</v>
      </c>
      <c r="AG151" s="138">
        <f t="shared" si="191"/>
        <v>94</v>
      </c>
      <c r="AH151" s="138">
        <f t="shared" si="192"/>
        <v>3.53</v>
      </c>
      <c r="AI151" s="140">
        <v>51</v>
      </c>
      <c r="AJ151" s="138">
        <f t="shared" si="193"/>
        <v>0</v>
      </c>
      <c r="AK151" s="5">
        <f t="shared" si="194"/>
        <v>0</v>
      </c>
      <c r="AL151" s="5" t="str">
        <f t="shared" si="231"/>
        <v>2</v>
      </c>
      <c r="AM151" s="5" t="str">
        <f t="shared" si="232"/>
        <v>5</v>
      </c>
      <c r="AN151" s="5" t="str">
        <f t="shared" si="233"/>
        <v>7</v>
      </c>
      <c r="AO151" s="5" t="str">
        <f t="shared" si="234"/>
        <v>1</v>
      </c>
    </row>
    <row r="152" spans="1:41" x14ac:dyDescent="0.25">
      <c r="A152" s="37">
        <v>44040</v>
      </c>
      <c r="B152" s="121">
        <v>183383</v>
      </c>
      <c r="C152" s="6">
        <f t="shared" ref="C152" si="275">B152-B151</f>
        <v>4741</v>
      </c>
      <c r="D152" s="19">
        <f t="shared" ref="D152" si="276">ROUND(((B152/B151)-1)*100,2)</f>
        <v>2.65</v>
      </c>
      <c r="E152" s="35">
        <f t="shared" ref="E152" si="277">IFERROR(ROUND((C152/B152)*10000,0),"")</f>
        <v>259</v>
      </c>
      <c r="F152" s="25">
        <f>ROUND((B152/Stats!$B$8)*100000,0)</f>
        <v>1827</v>
      </c>
      <c r="G152" s="22">
        <f>ROUND((C152/Stats!$B$8)*100000,0)</f>
        <v>47</v>
      </c>
      <c r="H152" s="213">
        <v>4516</v>
      </c>
      <c r="I152" s="6">
        <f t="shared" ref="I152" si="278">H152-H151</f>
        <v>90</v>
      </c>
      <c r="J152" s="35">
        <f t="shared" ref="J152" si="279">IFERROR(ROUND(((H152/H151)-1)*100,2),"")</f>
        <v>2.0299999999999998</v>
      </c>
      <c r="K152" s="9">
        <f t="shared" si="167"/>
        <v>2.46</v>
      </c>
      <c r="L152" s="43">
        <f>ROUND(((H152/Stats!$B$8)*100000),0)</f>
        <v>45</v>
      </c>
      <c r="M152" s="96">
        <f>Stats!$B$8-N152</f>
        <v>4403122</v>
      </c>
      <c r="N152" s="97">
        <f>ROUND(Stats!$B$33/(1+(Stats!$B$34*EXP(-1*Stats!$B$32*(X152-$X$25)))),0)</f>
        <v>5635985</v>
      </c>
      <c r="O152" s="101">
        <f t="shared" si="71"/>
        <v>96.746212064084631</v>
      </c>
      <c r="P152" s="97">
        <f>ROUND(N152*(Stats!$I$14/100),0)</f>
        <v>136391</v>
      </c>
      <c r="Q152" s="101">
        <f t="shared" si="64"/>
        <v>96.688931087828379</v>
      </c>
      <c r="R152" s="109">
        <f xml:space="preserve"> ROUND(R151 - ((R151 / Stats!$B$27)*(Stats!$B$21*S151)),0)</f>
        <v>1326770</v>
      </c>
      <c r="S152" s="99">
        <f xml:space="preserve"> ROUND(S151 + (R151/Stats!$B$27)*(Stats!$B$21*S151)-(S151*Stats!$B$22),0)</f>
        <v>4225</v>
      </c>
      <c r="T152" s="101">
        <f t="shared" si="72"/>
        <v>4240.4260355029583</v>
      </c>
      <c r="U152" s="99">
        <f xml:space="preserve"> ROUND(U151 + (S151 * Stats!$B$22),0)</f>
        <v>8708639</v>
      </c>
      <c r="V152" s="99">
        <f>ROUND(S152*(Stats!$I$14/100),0)</f>
        <v>102</v>
      </c>
      <c r="W152" s="105">
        <f t="shared" si="65"/>
        <v>4327.4509803921565</v>
      </c>
      <c r="X152" s="118">
        <v>150</v>
      </c>
      <c r="Y152" s="115">
        <f>GROWTH($Y$25:Y151,$X$25:X151,X152:$X$186,1)</f>
        <v>47093888233141.117</v>
      </c>
      <c r="AA152" s="39">
        <f>GROWTH($AA$25:AA151,$X$25:X151,X152:$X$186,1)</f>
        <v>24096743960.463814</v>
      </c>
      <c r="AC152" s="39">
        <f>GROWTH($AC$25:AC151,$X$25:X151,X152:$X$186,1)</f>
        <v>340349502.46660984</v>
      </c>
      <c r="AE152" s="124" t="s">
        <v>314</v>
      </c>
      <c r="AF152" s="140">
        <v>4825</v>
      </c>
      <c r="AG152" s="138">
        <f t="shared" si="191"/>
        <v>84</v>
      </c>
      <c r="AH152" s="138">
        <f t="shared" si="192"/>
        <v>1.76</v>
      </c>
      <c r="AI152" s="140">
        <v>91</v>
      </c>
      <c r="AJ152" s="138">
        <f t="shared" si="193"/>
        <v>1</v>
      </c>
      <c r="AK152" s="5">
        <f t="shared" si="194"/>
        <v>1.1000000000000001</v>
      </c>
      <c r="AL152" s="5" t="str">
        <f t="shared" si="231"/>
        <v>4</v>
      </c>
      <c r="AM152" s="5" t="str">
        <f t="shared" si="232"/>
        <v>9</v>
      </c>
      <c r="AN152" s="5" t="str">
        <f t="shared" si="233"/>
        <v>8</v>
      </c>
      <c r="AO152" s="5" t="str">
        <f t="shared" si="234"/>
        <v>1</v>
      </c>
    </row>
    <row r="153" spans="1:41" x14ac:dyDescent="0.25">
      <c r="A153" s="37">
        <v>44041</v>
      </c>
      <c r="B153" s="121">
        <v>185872</v>
      </c>
      <c r="C153" s="6">
        <f t="shared" ref="C153:C156" si="280">B153-B152</f>
        <v>2489</v>
      </c>
      <c r="D153" s="19">
        <f t="shared" ref="D153:D156" si="281">ROUND(((B153/B152)-1)*100,2)</f>
        <v>1.36</v>
      </c>
      <c r="E153" s="35">
        <f t="shared" ref="E153:E156" si="282">IFERROR(ROUND((C153/B153)*10000,0),"")</f>
        <v>134</v>
      </c>
      <c r="F153" s="25">
        <f>ROUND((B153/Stats!$B$8)*100000,0)</f>
        <v>1851</v>
      </c>
      <c r="G153" s="22">
        <f>ROUND((C153/Stats!$B$8)*100000,0)</f>
        <v>25</v>
      </c>
      <c r="H153" s="213">
        <v>4552</v>
      </c>
      <c r="I153" s="6">
        <f t="shared" ref="I153:I156" si="283">H153-H152</f>
        <v>36</v>
      </c>
      <c r="J153" s="35">
        <f t="shared" ref="J153:J156" si="284">IFERROR(ROUND(((H153/H152)-1)*100,2),"")</f>
        <v>0.8</v>
      </c>
      <c r="K153" s="9">
        <f t="shared" ref="K153:K184" si="285">IFERROR(ROUND(100*(H153/B153),2),"")</f>
        <v>2.4500000000000002</v>
      </c>
      <c r="L153" s="43">
        <f>ROUND(((H153/Stats!$B$8)*100000),0)</f>
        <v>45</v>
      </c>
      <c r="M153" s="96">
        <f>Stats!$B$8-N153</f>
        <v>4403121</v>
      </c>
      <c r="N153" s="97">
        <f>ROUND(Stats!$B$33/(1+(Stats!$B$34*EXP(-1*Stats!$B$32*(X153-$X$25)))),0)</f>
        <v>5635986</v>
      </c>
      <c r="O153" s="101">
        <f t="shared" si="71"/>
        <v>96.702050005092275</v>
      </c>
      <c r="P153" s="97">
        <f>ROUND(N153*(Stats!$I$14/100),0)</f>
        <v>136391</v>
      </c>
      <c r="Q153" s="101">
        <f t="shared" ref="Q153:Q216" si="286">IFERROR(ABS((($H153/P153)-1)*100),"")</f>
        <v>96.662536384365538</v>
      </c>
      <c r="R153" s="109">
        <f xml:space="preserve"> ROUND(R152 - ((R152 / Stats!$B$27)*(Stats!$B$21*S152)),0)</f>
        <v>1326588</v>
      </c>
      <c r="S153" s="99">
        <f xml:space="preserve"> ROUND(S152 + (R152/Stats!$B$27)*(Stats!$B$21*S152)-(S152*Stats!$B$22),0)</f>
        <v>3803</v>
      </c>
      <c r="T153" s="101">
        <f t="shared" si="72"/>
        <v>4787.509860636339</v>
      </c>
      <c r="U153" s="99">
        <f xml:space="preserve"> ROUND(U152 + (S152 * Stats!$B$22),0)</f>
        <v>8709243</v>
      </c>
      <c r="V153" s="99">
        <f>ROUND(S153*(Stats!$I$14/100),0)</f>
        <v>92</v>
      </c>
      <c r="W153" s="105">
        <f t="shared" ref="W153:W216" si="287">IFERROR(ABS((($H153/V153)-1)*100),"")</f>
        <v>4847.826086956522</v>
      </c>
      <c r="X153" s="118">
        <v>151</v>
      </c>
      <c r="Y153" s="115">
        <f>GROWTH($Y$25:Y152,$X$25:X152,X153:$X$186,1)</f>
        <v>57380994497215.766</v>
      </c>
      <c r="AA153" s="39">
        <f>GROWTH($AA$25:AA152,$X$25:X152,X153:$X$186,1)</f>
        <v>27590342508.994064</v>
      </c>
      <c r="AC153" s="39">
        <f>GROWTH($AC$25:AC152,$X$25:X152,X153:$X$186,1)</f>
        <v>375967949.38486969</v>
      </c>
      <c r="AE153" s="124"/>
      <c r="AF153" s="140">
        <v>2628</v>
      </c>
      <c r="AG153" s="138">
        <f t="shared" si="191"/>
        <v>139</v>
      </c>
      <c r="AH153" s="138">
        <f t="shared" si="192"/>
        <v>5.43</v>
      </c>
      <c r="AI153" s="140">
        <v>41</v>
      </c>
      <c r="AJ153" s="138">
        <f t="shared" si="193"/>
        <v>5</v>
      </c>
      <c r="AK153" s="5">
        <f t="shared" si="194"/>
        <v>12.99</v>
      </c>
      <c r="AL153" s="5" t="str">
        <f t="shared" si="231"/>
        <v>2</v>
      </c>
      <c r="AM153" s="5" t="str">
        <f t="shared" si="232"/>
        <v>4</v>
      </c>
      <c r="AN153" s="5" t="str">
        <f t="shared" si="233"/>
        <v>6</v>
      </c>
      <c r="AO153" s="5" t="str">
        <f t="shared" si="234"/>
        <v>1</v>
      </c>
    </row>
    <row r="154" spans="1:41" x14ac:dyDescent="0.25">
      <c r="A154" s="37">
        <v>44042</v>
      </c>
      <c r="B154" s="121">
        <v>188481</v>
      </c>
      <c r="C154" s="6">
        <f t="shared" si="280"/>
        <v>2609</v>
      </c>
      <c r="D154" s="19">
        <f t="shared" si="281"/>
        <v>1.4</v>
      </c>
      <c r="E154" s="35">
        <f t="shared" si="282"/>
        <v>138</v>
      </c>
      <c r="F154" s="25">
        <f>ROUND((B154/Stats!$B$8)*100000,0)</f>
        <v>1877</v>
      </c>
      <c r="G154" s="22">
        <f>ROUND((C154/Stats!$B$8)*100000,0)</f>
        <v>26</v>
      </c>
      <c r="H154" s="213">
        <v>4621</v>
      </c>
      <c r="I154" s="6">
        <f t="shared" si="283"/>
        <v>69</v>
      </c>
      <c r="J154" s="35">
        <f t="shared" si="284"/>
        <v>1.52</v>
      </c>
      <c r="K154" s="9">
        <f t="shared" si="285"/>
        <v>2.4500000000000002</v>
      </c>
      <c r="L154" s="43">
        <f>ROUND(((H154/Stats!$B$8)*100000),0)</f>
        <v>46</v>
      </c>
      <c r="M154" s="96">
        <f>Stats!$B$8-N154</f>
        <v>4403120</v>
      </c>
      <c r="N154" s="97">
        <f>ROUND(Stats!$B$33/(1+(Stats!$B$34*EXP(-1*Stats!$B$32*(X154-$X$25)))),0)</f>
        <v>5635987</v>
      </c>
      <c r="O154" s="101">
        <f t="shared" ref="O154:O186" si="288">IFERROR(ABS((($B154/N154)-1)*100),"")</f>
        <v>96.65575878723638</v>
      </c>
      <c r="P154" s="97">
        <f>ROUND(N154*(Stats!$I$14/100),0)</f>
        <v>136391</v>
      </c>
      <c r="Q154" s="101">
        <f t="shared" si="286"/>
        <v>96.611946536061765</v>
      </c>
      <c r="R154" s="109">
        <f xml:space="preserve"> ROUND(R153 - ((R153 / Stats!$B$27)*(Stats!$B$21*S153)),0)</f>
        <v>1326424</v>
      </c>
      <c r="S154" s="99">
        <f xml:space="preserve"> ROUND(S153 + (R153/Stats!$B$27)*(Stats!$B$21*S153)-(S153*Stats!$B$22),0)</f>
        <v>3423</v>
      </c>
      <c r="T154" s="101">
        <f t="shared" ref="T154:T186" si="289">IFERROR(ABS((($B154/S154)-1)*100),"")</f>
        <v>5406.3102541630151</v>
      </c>
      <c r="U154" s="99">
        <f xml:space="preserve"> ROUND(U153 + (S153 * Stats!$B$22),0)</f>
        <v>8709786</v>
      </c>
      <c r="V154" s="99">
        <f>ROUND(S154*(Stats!$I$14/100),0)</f>
        <v>83</v>
      </c>
      <c r="W154" s="105">
        <f t="shared" si="287"/>
        <v>5467.469879518072</v>
      </c>
      <c r="X154" s="118">
        <v>152</v>
      </c>
      <c r="Y154" s="115">
        <f>GROWTH($Y$25:Y153,$X$25:X153,X154:$X$186,1)</f>
        <v>69915198192797.805</v>
      </c>
      <c r="AA154" s="39">
        <f>GROWTH($AA$25:AA153,$X$25:X153,X154:$X$186,1)</f>
        <v>31590450602.477905</v>
      </c>
      <c r="AC154" s="39">
        <f>GROWTH($AC$25:AC153,$X$25:X153,X154:$X$186,1)</f>
        <v>415313957.97627121</v>
      </c>
      <c r="AE154" s="124"/>
      <c r="AF154" s="140">
        <v>2651</v>
      </c>
      <c r="AG154" s="138">
        <f t="shared" si="191"/>
        <v>42</v>
      </c>
      <c r="AH154" s="138">
        <f t="shared" si="192"/>
        <v>1.6</v>
      </c>
      <c r="AI154" s="140">
        <v>69</v>
      </c>
      <c r="AJ154" s="138">
        <f t="shared" si="193"/>
        <v>0</v>
      </c>
      <c r="AK154" s="5">
        <f t="shared" si="194"/>
        <v>0</v>
      </c>
      <c r="AL154" s="5" t="str">
        <f t="shared" si="231"/>
        <v>2</v>
      </c>
      <c r="AM154" s="5" t="str">
        <f t="shared" si="232"/>
        <v>6</v>
      </c>
      <c r="AN154" s="5" t="str">
        <f t="shared" si="233"/>
        <v>6</v>
      </c>
      <c r="AO154" s="5" t="str">
        <f t="shared" si="234"/>
        <v>9</v>
      </c>
    </row>
    <row r="155" spans="1:41" x14ac:dyDescent="0.25">
      <c r="A155" s="37">
        <v>44043</v>
      </c>
      <c r="B155" s="121">
        <v>190693</v>
      </c>
      <c r="C155" s="6">
        <f t="shared" si="280"/>
        <v>2212</v>
      </c>
      <c r="D155" s="19">
        <f t="shared" si="281"/>
        <v>1.17</v>
      </c>
      <c r="E155" s="35">
        <f t="shared" si="282"/>
        <v>116</v>
      </c>
      <c r="F155" s="25">
        <f>ROUND((B155/Stats!$B$8)*100000,0)</f>
        <v>1900</v>
      </c>
      <c r="G155" s="22">
        <f>ROUND((C155/Stats!$B$8)*100000,0)</f>
        <v>22</v>
      </c>
      <c r="H155" s="213">
        <v>4669</v>
      </c>
      <c r="I155" s="6">
        <f t="shared" si="283"/>
        <v>48</v>
      </c>
      <c r="J155" s="35">
        <f t="shared" si="284"/>
        <v>1.04</v>
      </c>
      <c r="K155" s="9">
        <f t="shared" si="285"/>
        <v>2.4500000000000002</v>
      </c>
      <c r="L155" s="43">
        <f>ROUND(((H155/Stats!$B$8)*100000),0)</f>
        <v>47</v>
      </c>
      <c r="M155" s="96">
        <f>Stats!$B$8-N155</f>
        <v>4403120</v>
      </c>
      <c r="N155" s="97">
        <f>ROUND(Stats!$B$33/(1+(Stats!$B$34*EXP(-1*Stats!$B$32*(X155-$X$25)))),0)</f>
        <v>5635987</v>
      </c>
      <c r="O155" s="101">
        <f t="shared" si="288"/>
        <v>96.616511003307849</v>
      </c>
      <c r="P155" s="97">
        <f>ROUND(N155*(Stats!$I$14/100),0)</f>
        <v>136391</v>
      </c>
      <c r="Q155" s="101">
        <f t="shared" si="286"/>
        <v>96.57675359811131</v>
      </c>
      <c r="R155" s="109">
        <f xml:space="preserve"> ROUND(R154 - ((R154 / Stats!$B$27)*(Stats!$B$21*S154)),0)</f>
        <v>1326277</v>
      </c>
      <c r="S155" s="99">
        <f xml:space="preserve"> ROUND(S154 + (R154/Stats!$B$27)*(Stats!$B$21*S154)-(S154*Stats!$B$22),0)</f>
        <v>3081</v>
      </c>
      <c r="T155" s="101">
        <f t="shared" si="289"/>
        <v>6089.3216488153203</v>
      </c>
      <c r="U155" s="99">
        <f xml:space="preserve"> ROUND(U154 + (S154 * Stats!$B$22),0)</f>
        <v>8710275</v>
      </c>
      <c r="V155" s="99">
        <f>ROUND(S155*(Stats!$I$14/100),0)</f>
        <v>75</v>
      </c>
      <c r="W155" s="105">
        <f t="shared" si="287"/>
        <v>6125.333333333333</v>
      </c>
      <c r="X155" s="118">
        <v>153</v>
      </c>
      <c r="Y155" s="115">
        <f>GROWTH($Y$25:Y154,$X$25:X154,X155:$X$186,1)</f>
        <v>85187351337651.734</v>
      </c>
      <c r="AA155" s="39">
        <f>GROWTH($AA$25:AA154,$X$25:X154,X155:$X$186,1)</f>
        <v>36170503100.579155</v>
      </c>
      <c r="AC155" s="39">
        <f>GROWTH($AC$25:AC154,$X$25:X154,X155:$X$186,1)</f>
        <v>458777627.11455673</v>
      </c>
      <c r="AE155" s="124" t="s">
        <v>316</v>
      </c>
      <c r="AF155" s="140">
        <v>2303</v>
      </c>
      <c r="AG155" s="138">
        <f t="shared" si="191"/>
        <v>91</v>
      </c>
      <c r="AH155" s="138">
        <f t="shared" si="192"/>
        <v>4.03</v>
      </c>
      <c r="AI155" s="140">
        <v>50</v>
      </c>
      <c r="AJ155" s="138">
        <f t="shared" si="193"/>
        <v>2</v>
      </c>
      <c r="AK155" s="5">
        <f t="shared" si="194"/>
        <v>4.08</v>
      </c>
      <c r="AL155" s="5" t="str">
        <f t="shared" si="231"/>
        <v>2</v>
      </c>
      <c r="AM155" s="5" t="str">
        <f t="shared" si="232"/>
        <v>5</v>
      </c>
      <c r="AN155" s="5" t="str">
        <f t="shared" si="233"/>
        <v>3</v>
      </c>
      <c r="AO155" s="5" t="str">
        <f t="shared" si="234"/>
        <v>0</v>
      </c>
    </row>
    <row r="156" spans="1:41" x14ac:dyDescent="0.25">
      <c r="A156" s="37">
        <v>44044</v>
      </c>
      <c r="B156" s="121">
        <v>192167</v>
      </c>
      <c r="C156" s="6">
        <f t="shared" si="280"/>
        <v>1474</v>
      </c>
      <c r="D156" s="19">
        <f t="shared" si="281"/>
        <v>0.77</v>
      </c>
      <c r="E156" s="35">
        <f t="shared" si="282"/>
        <v>77</v>
      </c>
      <c r="F156" s="25">
        <f>ROUND((B156/Stats!$B$8)*100000,0)</f>
        <v>1914</v>
      </c>
      <c r="G156" s="22">
        <f>ROUND((C156/Stats!$B$8)*100000,0)</f>
        <v>15</v>
      </c>
      <c r="H156" s="213">
        <v>4692</v>
      </c>
      <c r="I156" s="6">
        <f t="shared" si="283"/>
        <v>23</v>
      </c>
      <c r="J156" s="35">
        <f t="shared" si="284"/>
        <v>0.49</v>
      </c>
      <c r="K156" s="9">
        <f t="shared" si="285"/>
        <v>2.44</v>
      </c>
      <c r="L156" s="43">
        <f>ROUND(((H156/Stats!$B$8)*100000),0)</f>
        <v>47</v>
      </c>
      <c r="M156" s="96">
        <f>Stats!$B$8-N156</f>
        <v>4403119</v>
      </c>
      <c r="N156" s="97">
        <f>ROUND(Stats!$B$33/(1+(Stats!$B$34*EXP(-1*Stats!$B$32*(X156-$X$25)))),0)</f>
        <v>5635988</v>
      </c>
      <c r="O156" s="101">
        <f t="shared" si="288"/>
        <v>96.590358247746451</v>
      </c>
      <c r="P156" s="97">
        <f>ROUND(N156*(Stats!$I$14/100),0)</f>
        <v>136391</v>
      </c>
      <c r="Q156" s="101">
        <f t="shared" si="286"/>
        <v>96.559890315343395</v>
      </c>
      <c r="R156" s="109">
        <f xml:space="preserve"> ROUND(R155 - ((R155 / Stats!$B$27)*(Stats!$B$21*S155)),0)</f>
        <v>1326144</v>
      </c>
      <c r="S156" s="99">
        <f xml:space="preserve"> ROUND(S155 + (R155/Stats!$B$27)*(Stats!$B$21*S155)-(S155*Stats!$B$22),0)</f>
        <v>2773</v>
      </c>
      <c r="T156" s="101">
        <f t="shared" si="289"/>
        <v>6829.9314821492972</v>
      </c>
      <c r="U156" s="99">
        <f xml:space="preserve"> ROUND(U155 + (S155 * Stats!$B$22),0)</f>
        <v>8710715</v>
      </c>
      <c r="V156" s="99">
        <f>ROUND(S156*(Stats!$I$14/100),0)</f>
        <v>67</v>
      </c>
      <c r="W156" s="105">
        <f t="shared" si="287"/>
        <v>6902.9850746268648</v>
      </c>
      <c r="X156" s="118">
        <v>154</v>
      </c>
      <c r="Y156" s="115">
        <f>GROWTH($Y$25:Y155,$X$25:X155,X156:$X$186,1)</f>
        <v>103795526802526</v>
      </c>
      <c r="AA156" s="39">
        <f>GROWTH($AA$25:AA155,$X$25:X155,X156:$X$186,1)</f>
        <v>41414581609.240494</v>
      </c>
      <c r="AC156" s="39">
        <f>GROWTH($AC$25:AC155,$X$25:X155,X156:$X$186,1)</f>
        <v>506789880.51946872</v>
      </c>
      <c r="AE156" s="124" t="s">
        <v>315</v>
      </c>
      <c r="AF156" s="140">
        <v>1476</v>
      </c>
      <c r="AG156" s="138">
        <f t="shared" si="191"/>
        <v>2</v>
      </c>
      <c r="AH156" s="138">
        <f t="shared" si="192"/>
        <v>0.14000000000000001</v>
      </c>
      <c r="AI156" s="140">
        <v>23</v>
      </c>
      <c r="AJ156" s="138">
        <f t="shared" si="193"/>
        <v>0</v>
      </c>
      <c r="AK156" s="5">
        <f t="shared" si="194"/>
        <v>0</v>
      </c>
      <c r="AL156" s="5" t="str">
        <f t="shared" si="231"/>
        <v>1</v>
      </c>
      <c r="AM156" s="5" t="str">
        <f t="shared" si="232"/>
        <v>2</v>
      </c>
      <c r="AN156" s="5" t="str">
        <f t="shared" si="233"/>
        <v>4</v>
      </c>
      <c r="AO156" s="5" t="str">
        <f t="shared" si="234"/>
        <v>3</v>
      </c>
    </row>
    <row r="157" spans="1:41" x14ac:dyDescent="0.25">
      <c r="A157" s="37">
        <v>44045</v>
      </c>
      <c r="B157" s="121">
        <v>193788</v>
      </c>
      <c r="C157" s="6">
        <f t="shared" ref="C157:C158" si="290">B157-B156</f>
        <v>1621</v>
      </c>
      <c r="D157" s="19">
        <f t="shared" ref="D157:D158" si="291">ROUND(((B157/B156)-1)*100,2)</f>
        <v>0.84</v>
      </c>
      <c r="E157" s="35">
        <f t="shared" ref="E157:E158" si="292">IFERROR(ROUND((C157/B157)*10000,0),"")</f>
        <v>84</v>
      </c>
      <c r="F157" s="25">
        <f>ROUND((B157/Stats!$B$8)*100000,0)</f>
        <v>1930</v>
      </c>
      <c r="G157" s="22">
        <f>ROUND((C157/Stats!$B$8)*100000,0)</f>
        <v>16</v>
      </c>
      <c r="H157" s="213">
        <v>4701</v>
      </c>
      <c r="I157" s="6">
        <f t="shared" ref="I157:I158" si="293">H157-H156</f>
        <v>9</v>
      </c>
      <c r="J157" s="35">
        <f t="shared" ref="J157:J158" si="294">IFERROR(ROUND(((H157/H156)-1)*100,2),"")</f>
        <v>0.19</v>
      </c>
      <c r="K157" s="9">
        <f t="shared" si="285"/>
        <v>2.4300000000000002</v>
      </c>
      <c r="L157" s="43">
        <f>ROUND(((H157/Stats!$B$8)*100000),0)</f>
        <v>47</v>
      </c>
      <c r="M157" s="96">
        <f>Stats!$B$8-N157</f>
        <v>4403119</v>
      </c>
      <c r="N157" s="97">
        <f>ROUND(Stats!$B$33/(1+(Stats!$B$34*EXP(-1*Stats!$B$32*(X157-$X$25)))),0)</f>
        <v>5635988</v>
      </c>
      <c r="O157" s="101">
        <f t="shared" si="288"/>
        <v>96.561596653506015</v>
      </c>
      <c r="P157" s="97">
        <f>ROUND(N157*(Stats!$I$14/100),0)</f>
        <v>136391</v>
      </c>
      <c r="Q157" s="101">
        <f t="shared" si="286"/>
        <v>96.553291639477678</v>
      </c>
      <c r="R157" s="109">
        <f xml:space="preserve"> ROUND(R156 - ((R156 / Stats!$B$27)*(Stats!$B$21*S156)),0)</f>
        <v>1326025</v>
      </c>
      <c r="S157" s="99">
        <f xml:space="preserve"> ROUND(S156 + (R156/Stats!$B$27)*(Stats!$B$21*S156)-(S156*Stats!$B$22),0)</f>
        <v>2496</v>
      </c>
      <c r="T157" s="101">
        <f t="shared" si="289"/>
        <v>7663.9423076923076</v>
      </c>
      <c r="U157" s="99">
        <f xml:space="preserve"> ROUND(U156 + (S156 * Stats!$B$22),0)</f>
        <v>8711111</v>
      </c>
      <c r="V157" s="99">
        <f>ROUND(S157*(Stats!$I$14/100),0)</f>
        <v>60</v>
      </c>
      <c r="W157" s="105">
        <f t="shared" si="287"/>
        <v>7734.9999999999991</v>
      </c>
      <c r="X157" s="118">
        <v>155</v>
      </c>
      <c r="Y157" s="115">
        <f>GROWTH($Y$25:Y156,$X$25:X156,X157:$X$186,1)</f>
        <v>126468439446036.08</v>
      </c>
      <c r="AA157" s="39">
        <f>GROWTH($AA$25:AA156,$X$25:X156,X157:$X$186,1)</f>
        <v>47418958069.205536</v>
      </c>
      <c r="AC157" s="39">
        <f>GROWTH($AC$25:AC156,$X$25:X156,X157:$X$186,1)</f>
        <v>559826739.18143427</v>
      </c>
      <c r="AE157" s="124"/>
      <c r="AF157" s="140">
        <v>1634</v>
      </c>
      <c r="AG157" s="138">
        <f t="shared" si="191"/>
        <v>13</v>
      </c>
      <c r="AH157" s="138">
        <f t="shared" si="192"/>
        <v>0.8</v>
      </c>
      <c r="AI157" s="140">
        <v>12</v>
      </c>
      <c r="AJ157" s="138">
        <f t="shared" si="193"/>
        <v>3</v>
      </c>
      <c r="AK157" s="5">
        <f t="shared" si="194"/>
        <v>28.57</v>
      </c>
      <c r="AL157" s="5" t="str">
        <f t="shared" si="231"/>
        <v>1</v>
      </c>
      <c r="AM157" s="5" t="str">
        <f t="shared" si="232"/>
        <v>1</v>
      </c>
      <c r="AN157" s="5" t="str">
        <f t="shared" si="233"/>
        <v>6</v>
      </c>
      <c r="AO157" s="5" t="str">
        <f t="shared" si="234"/>
        <v>2</v>
      </c>
    </row>
    <row r="158" spans="1:41" ht="30" x14ac:dyDescent="0.25">
      <c r="A158" s="37">
        <v>44046</v>
      </c>
      <c r="B158" s="121">
        <v>195614</v>
      </c>
      <c r="C158" s="6">
        <f t="shared" si="290"/>
        <v>1826</v>
      </c>
      <c r="D158" s="19">
        <f t="shared" si="291"/>
        <v>0.94</v>
      </c>
      <c r="E158" s="35">
        <f t="shared" si="292"/>
        <v>93</v>
      </c>
      <c r="F158" s="25">
        <f>ROUND((B158/Stats!$B$8)*100000,0)</f>
        <v>1949</v>
      </c>
      <c r="G158" s="22">
        <f>ROUND((C158/Stats!$B$8)*100000,0)</f>
        <v>18</v>
      </c>
      <c r="H158" s="213">
        <v>4758</v>
      </c>
      <c r="I158" s="6">
        <f t="shared" si="293"/>
        <v>57</v>
      </c>
      <c r="J158" s="35">
        <f t="shared" si="294"/>
        <v>1.21</v>
      </c>
      <c r="K158" s="9">
        <f t="shared" si="285"/>
        <v>2.4300000000000002</v>
      </c>
      <c r="L158" s="43">
        <f>ROUND(((H158/Stats!$B$8)*100000),0)</f>
        <v>47</v>
      </c>
      <c r="M158" s="96">
        <f>Stats!$B$8-N158</f>
        <v>4403119</v>
      </c>
      <c r="N158" s="97">
        <f>ROUND(Stats!$B$33/(1+(Stats!$B$34*EXP(-1*Stats!$B$32*(X158-$X$25)))),0)</f>
        <v>5635988</v>
      </c>
      <c r="O158" s="101">
        <f t="shared" si="288"/>
        <v>96.529197720080319</v>
      </c>
      <c r="P158" s="97">
        <f>ROUND(N158*(Stats!$I$14/100),0)</f>
        <v>136391</v>
      </c>
      <c r="Q158" s="101">
        <f t="shared" si="286"/>
        <v>96.511500025661519</v>
      </c>
      <c r="R158" s="109">
        <f xml:space="preserve"> ROUND(R157 - ((R157 / Stats!$B$27)*(Stats!$B$21*S157)),0)</f>
        <v>1325918</v>
      </c>
      <c r="S158" s="99">
        <f xml:space="preserve"> ROUND(S157 + (R157/Stats!$B$27)*(Stats!$B$21*S157)-(S157*Stats!$B$22),0)</f>
        <v>2247</v>
      </c>
      <c r="T158" s="101">
        <f t="shared" si="289"/>
        <v>8605.5629728526928</v>
      </c>
      <c r="U158" s="99">
        <f xml:space="preserve"> ROUND(U157 + (S157 * Stats!$B$22),0)</f>
        <v>8711468</v>
      </c>
      <c r="V158" s="99">
        <f>ROUND(S158*(Stats!$I$14/100),0)</f>
        <v>54</v>
      </c>
      <c r="W158" s="105">
        <f t="shared" si="287"/>
        <v>8711.1111111111113</v>
      </c>
      <c r="X158" s="118">
        <v>156</v>
      </c>
      <c r="Y158" s="115">
        <f>GROWTH($Y$25:Y157,$X$25:X157,X158:$X$186,1)</f>
        <v>154093983321122.13</v>
      </c>
      <c r="AA158" s="39">
        <f>GROWTH($AA$25:AA157,$X$25:X157,X158:$X$186,1)</f>
        <v>54293862137.372955</v>
      </c>
      <c r="AC158" s="39">
        <f>GROWTH($AC$25:AC157,$X$25:X157,X158:$X$186,1)</f>
        <v>618414040.9064039</v>
      </c>
      <c r="AE158" s="125" t="s">
        <v>317</v>
      </c>
      <c r="AF158" s="140">
        <v>1901</v>
      </c>
      <c r="AG158" s="138">
        <f t="shared" si="191"/>
        <v>75</v>
      </c>
      <c r="AH158" s="138">
        <f t="shared" si="192"/>
        <v>4.0199999999999996</v>
      </c>
      <c r="AI158" s="140">
        <v>57</v>
      </c>
      <c r="AJ158" s="138">
        <f t="shared" si="193"/>
        <v>0</v>
      </c>
      <c r="AK158" s="5">
        <f t="shared" si="194"/>
        <v>0</v>
      </c>
      <c r="AL158" s="5" t="str">
        <f t="shared" si="231"/>
        <v>1</v>
      </c>
      <c r="AM158" s="5" t="str">
        <f t="shared" si="232"/>
        <v>5</v>
      </c>
      <c r="AN158" s="5" t="str">
        <f t="shared" si="233"/>
        <v>9</v>
      </c>
      <c r="AO158" s="5" t="str">
        <f t="shared" si="234"/>
        <v>7</v>
      </c>
    </row>
    <row r="159" spans="1:41" ht="60" x14ac:dyDescent="0.25">
      <c r="A159" s="37">
        <v>44047</v>
      </c>
      <c r="B159" s="121">
        <v>197912</v>
      </c>
      <c r="C159" s="6">
        <f t="shared" ref="C159" si="295">B159-B158</f>
        <v>2298</v>
      </c>
      <c r="D159" s="19">
        <f t="shared" ref="D159" si="296">ROUND(((B159/B158)-1)*100,2)</f>
        <v>1.17</v>
      </c>
      <c r="E159" s="35">
        <f t="shared" ref="E159" si="297">IFERROR(ROUND((C159/B159)*10000,0),"")</f>
        <v>116</v>
      </c>
      <c r="F159" s="25">
        <f>ROUND((B159/Stats!$B$8)*100000,0)</f>
        <v>1971</v>
      </c>
      <c r="G159" s="22">
        <f>ROUND((C159/Stats!$B$8)*100000,0)</f>
        <v>23</v>
      </c>
      <c r="H159" s="213">
        <v>4825</v>
      </c>
      <c r="I159" s="6">
        <f t="shared" ref="I159" si="298">H159-H158</f>
        <v>67</v>
      </c>
      <c r="J159" s="35">
        <f t="shared" ref="J159" si="299">IFERROR(ROUND(((H159/H158)-1)*100,2),"")</f>
        <v>1.41</v>
      </c>
      <c r="K159" s="9">
        <f t="shared" si="285"/>
        <v>2.44</v>
      </c>
      <c r="L159" s="43">
        <f>ROUND(((H159/Stats!$B$8)*100000),0)</f>
        <v>48</v>
      </c>
      <c r="M159" s="96">
        <f>Stats!$B$8-N159</f>
        <v>4403118</v>
      </c>
      <c r="N159" s="97">
        <f>ROUND(Stats!$B$33/(1+(Stats!$B$34*EXP(-1*Stats!$B$32*(X159-$X$25)))),0)</f>
        <v>5635989</v>
      </c>
      <c r="O159" s="101">
        <f t="shared" si="288"/>
        <v>96.488424658032514</v>
      </c>
      <c r="P159" s="97">
        <f>ROUND(N159*(Stats!$I$14/100),0)</f>
        <v>136391</v>
      </c>
      <c r="Q159" s="101">
        <f t="shared" si="286"/>
        <v>96.462376549772344</v>
      </c>
      <c r="R159" s="109">
        <f xml:space="preserve"> ROUND(R158 - ((R158 / Stats!$B$27)*(Stats!$B$21*S158)),0)</f>
        <v>1325821</v>
      </c>
      <c r="S159" s="99">
        <f xml:space="preserve"> ROUND(S158 + (R158/Stats!$B$27)*(Stats!$B$21*S158)-(S158*Stats!$B$22),0)</f>
        <v>2023</v>
      </c>
      <c r="T159" s="101">
        <f t="shared" si="289"/>
        <v>9683.0944142362823</v>
      </c>
      <c r="U159" s="99">
        <f xml:space="preserve"> ROUND(U158 + (S158 * Stats!$B$22),0)</f>
        <v>8711789</v>
      </c>
      <c r="V159" s="99">
        <f>ROUND(S159*(Stats!$I$14/100),0)</f>
        <v>49</v>
      </c>
      <c r="W159" s="105">
        <f t="shared" si="287"/>
        <v>9746.9387755102052</v>
      </c>
      <c r="X159" s="118">
        <v>157</v>
      </c>
      <c r="Y159" s="115">
        <f>GROWTH($Y$25:Y158,$X$25:X158,X159:$X$186,1)</f>
        <v>187754002498800.91</v>
      </c>
      <c r="AA159" s="39">
        <f>GROWTH($AA$25:AA158,$X$25:X158,X159:$X$186,1)</f>
        <v>62165504806.956841</v>
      </c>
      <c r="AC159" s="39">
        <f>GROWTH($AC$25:AC158,$X$25:X158,X159:$X$186,1)</f>
        <v>683132653.77315533</v>
      </c>
      <c r="AE159" s="125" t="s">
        <v>318</v>
      </c>
      <c r="AF159" s="140">
        <v>2347</v>
      </c>
      <c r="AG159" s="138">
        <f t="shared" si="191"/>
        <v>49</v>
      </c>
      <c r="AH159" s="138">
        <f t="shared" si="192"/>
        <v>2.11</v>
      </c>
      <c r="AI159" s="140">
        <v>68</v>
      </c>
      <c r="AJ159" s="138">
        <f t="shared" si="193"/>
        <v>1</v>
      </c>
      <c r="AK159" s="5">
        <f t="shared" si="194"/>
        <v>1.48</v>
      </c>
      <c r="AL159" s="5" t="str">
        <f t="shared" si="231"/>
        <v>2</v>
      </c>
      <c r="AM159" s="5" t="str">
        <f t="shared" si="232"/>
        <v>6</v>
      </c>
      <c r="AN159" s="5" t="str">
        <f t="shared" si="233"/>
        <v>3</v>
      </c>
      <c r="AO159" s="5" t="str">
        <f t="shared" si="234"/>
        <v>8</v>
      </c>
    </row>
    <row r="160" spans="1:41" x14ac:dyDescent="0.25">
      <c r="A160" s="37">
        <v>44048</v>
      </c>
      <c r="B160" s="121">
        <v>201106</v>
      </c>
      <c r="C160" s="6">
        <f t="shared" ref="C160" si="300">B160-B159</f>
        <v>3194</v>
      </c>
      <c r="D160" s="19">
        <f t="shared" ref="D160" si="301">ROUND(((B160/B159)-1)*100,2)</f>
        <v>1.61</v>
      </c>
      <c r="E160" s="35">
        <f t="shared" ref="E160" si="302">IFERROR(ROUND((C160/B160)*10000,0),"")</f>
        <v>159</v>
      </c>
      <c r="F160" s="25">
        <f>ROUND((B160/Stats!$B$8)*100000,0)</f>
        <v>2003</v>
      </c>
      <c r="G160" s="22">
        <f>ROUND((C160/Stats!$B$8)*100000,0)</f>
        <v>32</v>
      </c>
      <c r="H160" s="213">
        <v>4869</v>
      </c>
      <c r="I160" s="6">
        <f t="shared" ref="I160" si="303">H160-H159</f>
        <v>44</v>
      </c>
      <c r="J160" s="35">
        <f t="shared" ref="J160" si="304">IFERROR(ROUND(((H160/H159)-1)*100,2),"")</f>
        <v>0.91</v>
      </c>
      <c r="K160" s="9">
        <f t="shared" si="285"/>
        <v>2.42</v>
      </c>
      <c r="L160" s="43">
        <f>ROUND(((H160/Stats!$B$8)*100000),0)</f>
        <v>49</v>
      </c>
      <c r="M160" s="96">
        <f>Stats!$B$8-N160</f>
        <v>4403118</v>
      </c>
      <c r="N160" s="97">
        <f>ROUND(Stats!$B$33/(1+(Stats!$B$34*EXP(-1*Stats!$B$32*(X160-$X$25)))),0)</f>
        <v>5635989</v>
      </c>
      <c r="O160" s="101">
        <f t="shared" si="288"/>
        <v>96.431753149269809</v>
      </c>
      <c r="P160" s="97">
        <f>ROUND(N160*(Stats!$I$14/100),0)</f>
        <v>136391</v>
      </c>
      <c r="Q160" s="101">
        <f t="shared" si="286"/>
        <v>96.430116356651098</v>
      </c>
      <c r="R160" s="109">
        <f xml:space="preserve"> ROUND(R159 - ((R159 / Stats!$B$27)*(Stats!$B$21*S159)),0)</f>
        <v>1325734</v>
      </c>
      <c r="S160" s="99">
        <f xml:space="preserve"> ROUND(S159 + (R159/Stats!$B$27)*(Stats!$B$21*S159)-(S159*Stats!$B$22),0)</f>
        <v>1821</v>
      </c>
      <c r="T160" s="101">
        <f t="shared" si="289"/>
        <v>10943.712246018671</v>
      </c>
      <c r="U160" s="99">
        <f xml:space="preserve"> ROUND(U159 + (S159 * Stats!$B$22),0)</f>
        <v>8712078</v>
      </c>
      <c r="V160" s="99">
        <f>ROUND(S160*(Stats!$I$14/100),0)</f>
        <v>44</v>
      </c>
      <c r="W160" s="105">
        <f t="shared" si="287"/>
        <v>10965.90909090909</v>
      </c>
      <c r="X160" s="118">
        <v>158</v>
      </c>
      <c r="Y160" s="115">
        <f>GROWTH($Y$25:Y159,$X$25:X159,X160:$X$186,1)</f>
        <v>228766657169590.5</v>
      </c>
      <c r="AA160" s="39">
        <f>GROWTH($AA$25:AA159,$X$25:X159,X160:$X$186,1)</f>
        <v>71178395416.516403</v>
      </c>
      <c r="AC160" s="39">
        <f>GROWTH($AC$25:AC159,$X$25:X159,X160:$X$186,1)</f>
        <v>754624235.19227004</v>
      </c>
      <c r="AE160" s="124" t="s">
        <v>319</v>
      </c>
      <c r="AF160" s="140">
        <v>3290</v>
      </c>
      <c r="AG160" s="138">
        <f t="shared" si="191"/>
        <v>96</v>
      </c>
      <c r="AH160" s="138">
        <f t="shared" si="192"/>
        <v>2.96</v>
      </c>
      <c r="AI160" s="140">
        <v>48</v>
      </c>
      <c r="AJ160" s="138">
        <f t="shared" si="193"/>
        <v>4</v>
      </c>
      <c r="AK160" s="5">
        <f t="shared" si="194"/>
        <v>8.6999999999999993</v>
      </c>
      <c r="AL160" s="5" t="str">
        <f t="shared" si="231"/>
        <v>3</v>
      </c>
      <c r="AM160" s="5" t="str">
        <f t="shared" si="232"/>
        <v>4</v>
      </c>
      <c r="AN160" s="5" t="str">
        <f t="shared" si="233"/>
        <v>2</v>
      </c>
      <c r="AO160" s="5" t="str">
        <f t="shared" si="234"/>
        <v>8</v>
      </c>
    </row>
    <row r="161" spans="1:41" x14ac:dyDescent="0.25">
      <c r="A161" s="37">
        <v>44049</v>
      </c>
      <c r="B161" s="121">
        <v>204167</v>
      </c>
      <c r="C161" s="6">
        <f t="shared" ref="C161" si="305">B161-B160</f>
        <v>3061</v>
      </c>
      <c r="D161" s="19">
        <f t="shared" ref="D161" si="306">ROUND(((B161/B160)-1)*100,2)</f>
        <v>1.52</v>
      </c>
      <c r="E161" s="35">
        <f t="shared" ref="E161" si="307">IFERROR(ROUND((C161/B161)*10000,0),"")</f>
        <v>150</v>
      </c>
      <c r="F161" s="25">
        <f>ROUND((B161/Stats!$B$8)*100000,0)</f>
        <v>2034</v>
      </c>
      <c r="G161" s="22">
        <f>ROUND((C161/Stats!$B$8)*100000,0)</f>
        <v>30</v>
      </c>
      <c r="H161" s="213">
        <v>4918</v>
      </c>
      <c r="I161" s="6">
        <f t="shared" ref="I161" si="308">H161-H160</f>
        <v>49</v>
      </c>
      <c r="J161" s="35">
        <f t="shared" ref="J161" si="309">IFERROR(ROUND(((H161/H160)-1)*100,2),"")</f>
        <v>1.01</v>
      </c>
      <c r="K161" s="9">
        <f t="shared" si="285"/>
        <v>2.41</v>
      </c>
      <c r="L161" s="43">
        <f>ROUND(((H161/Stats!$B$8)*100000),0)</f>
        <v>49</v>
      </c>
      <c r="M161" s="96">
        <f>Stats!$B$8-N161</f>
        <v>4403118</v>
      </c>
      <c r="N161" s="97">
        <f>ROUND(Stats!$B$33/(1+(Stats!$B$34*EXP(-1*Stats!$B$32*(X161-$X$25)))),0)</f>
        <v>5635989</v>
      </c>
      <c r="O161" s="101">
        <f t="shared" si="288"/>
        <v>96.377441474779317</v>
      </c>
      <c r="P161" s="97">
        <f>ROUND(N161*(Stats!$I$14/100),0)</f>
        <v>136391</v>
      </c>
      <c r="Q161" s="101">
        <f t="shared" si="286"/>
        <v>96.394190232493344</v>
      </c>
      <c r="R161" s="109">
        <f xml:space="preserve"> ROUND(R160 - ((R160 / Stats!$B$27)*(Stats!$B$21*S160)),0)</f>
        <v>1325656</v>
      </c>
      <c r="S161" s="99">
        <f xml:space="preserve"> ROUND(S160 + (R160/Stats!$B$27)*(Stats!$B$21*S160)-(S160*Stats!$B$22),0)</f>
        <v>1639</v>
      </c>
      <c r="T161" s="101">
        <f t="shared" si="289"/>
        <v>12356.802928615009</v>
      </c>
      <c r="U161" s="99">
        <f xml:space="preserve"> ROUND(U160 + (S160 * Stats!$B$22),0)</f>
        <v>8712338</v>
      </c>
      <c r="V161" s="99">
        <f>ROUND(S161*(Stats!$I$14/100),0)</f>
        <v>40</v>
      </c>
      <c r="W161" s="105">
        <f t="shared" si="287"/>
        <v>12195</v>
      </c>
      <c r="X161" s="118">
        <v>159</v>
      </c>
      <c r="Y161" s="115">
        <f>GROWTH($Y$25:Y160,$X$25:X160,X161:$X$186,1)</f>
        <v>278738044121762.22</v>
      </c>
      <c r="AA161" s="39">
        <f>GROWTH($AA$25:AA160,$X$25:X160,X161:$X$186,1)</f>
        <v>81497994584.015579</v>
      </c>
      <c r="AC161" s="39">
        <f>GROWTH($AC$25:AC160,$X$25:X160,X161:$X$186,1)</f>
        <v>833597593.66534054</v>
      </c>
      <c r="AE161" s="124" t="s">
        <v>319</v>
      </c>
      <c r="AF161" s="140">
        <v>3116</v>
      </c>
      <c r="AG161" s="138">
        <f t="shared" ref="AG161:AG192" si="310">AF161-C161</f>
        <v>55</v>
      </c>
      <c r="AH161" s="138">
        <f t="shared" ref="AH161:AH192" si="311">IFERROR(ROUND(100*(AG161/AVERAGE(AF161,C161)),2),"")</f>
        <v>1.78</v>
      </c>
      <c r="AI161" s="140">
        <v>53</v>
      </c>
      <c r="AJ161" s="138">
        <f t="shared" ref="AJ161:AJ192" si="312">AI161-I161</f>
        <v>4</v>
      </c>
      <c r="AK161" s="5">
        <f t="shared" ref="AK161:AK192" si="313">IFERROR(ROUND(100*(AJ161/AVERAGE(AI161,I161)),2),"")</f>
        <v>7.84</v>
      </c>
      <c r="AL161" s="5" t="str">
        <f t="shared" si="231"/>
        <v>3</v>
      </c>
      <c r="AM161" s="5" t="str">
        <f t="shared" si="232"/>
        <v>5</v>
      </c>
      <c r="AN161" s="5" t="str">
        <f t="shared" si="233"/>
        <v>1</v>
      </c>
      <c r="AO161" s="5" t="str">
        <f t="shared" si="234"/>
        <v>3</v>
      </c>
    </row>
    <row r="162" spans="1:41" x14ac:dyDescent="0.25">
      <c r="A162" s="37">
        <v>44050</v>
      </c>
      <c r="B162" s="121">
        <v>206761</v>
      </c>
      <c r="C162" s="6">
        <f t="shared" ref="C162" si="314">B162-B161</f>
        <v>2594</v>
      </c>
      <c r="D162" s="19">
        <f t="shared" ref="D162" si="315">ROUND(((B162/B161)-1)*100,2)</f>
        <v>1.27</v>
      </c>
      <c r="E162" s="35">
        <f t="shared" ref="E162" si="316">IFERROR(ROUND((C162/B162)*10000,0),"")</f>
        <v>125</v>
      </c>
      <c r="F162" s="25">
        <f>ROUND((B162/Stats!$B$8)*100000,0)</f>
        <v>2060</v>
      </c>
      <c r="G162" s="22">
        <f>ROUND((C162/Stats!$B$8)*100000,0)</f>
        <v>26</v>
      </c>
      <c r="H162" s="213">
        <v>4967</v>
      </c>
      <c r="I162" s="6">
        <f t="shared" ref="I162" si="317">H162-H161</f>
        <v>49</v>
      </c>
      <c r="J162" s="35">
        <f t="shared" ref="J162" si="318">IFERROR(ROUND(((H162/H161)-1)*100,2),"")</f>
        <v>1</v>
      </c>
      <c r="K162" s="9">
        <f t="shared" si="285"/>
        <v>2.4</v>
      </c>
      <c r="L162" s="43">
        <f>ROUND(((H162/Stats!$B$8)*100000),0)</f>
        <v>49</v>
      </c>
      <c r="M162" s="96">
        <f>Stats!$B$8-N162</f>
        <v>4403118</v>
      </c>
      <c r="N162" s="97">
        <f>ROUND(Stats!$B$33/(1+(Stats!$B$34*EXP(-1*Stats!$B$32*(X162-$X$25)))),0)</f>
        <v>5635989</v>
      </c>
      <c r="O162" s="101">
        <f t="shared" si="288"/>
        <v>96.331415834913798</v>
      </c>
      <c r="P162" s="97">
        <f>ROUND(N162*(Stats!$I$14/100),0)</f>
        <v>136391</v>
      </c>
      <c r="Q162" s="101">
        <f t="shared" si="286"/>
        <v>96.35826410833559</v>
      </c>
      <c r="R162" s="109">
        <f xml:space="preserve"> ROUND(R161 - ((R161 / Stats!$B$27)*(Stats!$B$21*S161)),0)</f>
        <v>1325586</v>
      </c>
      <c r="S162" s="99">
        <f xml:space="preserve"> ROUND(S161 + (R161/Stats!$B$27)*(Stats!$B$21*S161)-(S161*Stats!$B$22),0)</f>
        <v>1475</v>
      </c>
      <c r="T162" s="101">
        <f t="shared" si="289"/>
        <v>13917.694915254237</v>
      </c>
      <c r="U162" s="99">
        <f xml:space="preserve"> ROUND(U161 + (S161 * Stats!$B$22),0)</f>
        <v>8712572</v>
      </c>
      <c r="V162" s="99">
        <f>ROUND(S162*(Stats!$I$14/100),0)</f>
        <v>36</v>
      </c>
      <c r="W162" s="105">
        <f t="shared" si="287"/>
        <v>13697.222222222223</v>
      </c>
      <c r="X162" s="118">
        <v>160</v>
      </c>
      <c r="Y162" s="115">
        <f>GROWTH($Y$25:Y161,$X$25:X161,X162:$X$186,1)</f>
        <v>339625093106245.94</v>
      </c>
      <c r="AA162" s="39">
        <f>GROWTH($AA$25:AA161,$X$25:X161,X162:$X$186,1)</f>
        <v>93313751769.051559</v>
      </c>
      <c r="AC162" s="39">
        <f>GROWTH($AC$25:AC161,$X$25:X161,X162:$X$186,1)</f>
        <v>920835716.3185873</v>
      </c>
      <c r="AE162" s="124" t="s">
        <v>319</v>
      </c>
      <c r="AF162" s="140">
        <v>2645</v>
      </c>
      <c r="AG162" s="138">
        <f t="shared" si="310"/>
        <v>51</v>
      </c>
      <c r="AH162" s="138">
        <f t="shared" si="311"/>
        <v>1.95</v>
      </c>
      <c r="AI162" s="140">
        <v>51</v>
      </c>
      <c r="AJ162" s="138">
        <f t="shared" si="312"/>
        <v>2</v>
      </c>
      <c r="AK162" s="5">
        <f t="shared" si="313"/>
        <v>4</v>
      </c>
      <c r="AL162" s="5" t="str">
        <f t="shared" si="231"/>
        <v>2</v>
      </c>
      <c r="AM162" s="5" t="str">
        <f t="shared" si="232"/>
        <v>5</v>
      </c>
      <c r="AN162" s="5" t="str">
        <f t="shared" si="233"/>
        <v>6</v>
      </c>
      <c r="AO162" s="5" t="str">
        <f t="shared" si="234"/>
        <v>1</v>
      </c>
    </row>
    <row r="163" spans="1:41" ht="90" x14ac:dyDescent="0.25">
      <c r="A163" s="37">
        <v>44051</v>
      </c>
      <c r="B163" s="121">
        <v>208528</v>
      </c>
      <c r="C163" s="6">
        <f t="shared" ref="C163" si="319">B163-B162</f>
        <v>1767</v>
      </c>
      <c r="D163" s="19">
        <f t="shared" ref="D163" si="320">ROUND(((B163/B162)-1)*100,2)</f>
        <v>0.85</v>
      </c>
      <c r="E163" s="35">
        <f t="shared" ref="E163" si="321">IFERROR(ROUND((C163/B163)*10000,0),"")</f>
        <v>85</v>
      </c>
      <c r="F163" s="25">
        <f>ROUND((B163/Stats!$B$8)*100000,0)</f>
        <v>2077</v>
      </c>
      <c r="G163" s="22">
        <f>ROUND((C163/Stats!$B$8)*100000,0)</f>
        <v>18</v>
      </c>
      <c r="H163" s="213">
        <v>4977</v>
      </c>
      <c r="I163" s="6">
        <f t="shared" ref="I163" si="322">H163-H162</f>
        <v>10</v>
      </c>
      <c r="J163" s="35">
        <f t="shared" ref="J163" si="323">IFERROR(ROUND(((H163/H162)-1)*100,2),"")</f>
        <v>0.2</v>
      </c>
      <c r="K163" s="9">
        <f t="shared" si="285"/>
        <v>2.39</v>
      </c>
      <c r="L163" s="43">
        <f>ROUND(((H163/Stats!$B$8)*100000),0)</f>
        <v>50</v>
      </c>
      <c r="M163" s="96">
        <f>Stats!$B$8-N163</f>
        <v>4403118</v>
      </c>
      <c r="N163" s="97">
        <f>ROUND(Stats!$B$33/(1+(Stats!$B$34*EXP(-1*Stats!$B$32*(X163-$X$25)))),0)</f>
        <v>5635989</v>
      </c>
      <c r="O163" s="101">
        <f t="shared" si="288"/>
        <v>96.300063751011578</v>
      </c>
      <c r="P163" s="97">
        <f>ROUND(N163*(Stats!$I$14/100),0)</f>
        <v>136391</v>
      </c>
      <c r="Q163" s="101">
        <f t="shared" si="286"/>
        <v>96.350932246262587</v>
      </c>
      <c r="R163" s="109">
        <f xml:space="preserve"> ROUND(R162 - ((R162 / Stats!$B$27)*(Stats!$B$21*S162)),0)</f>
        <v>1325523</v>
      </c>
      <c r="S163" s="99">
        <f xml:space="preserve"> ROUND(S162 + (R162/Stats!$B$27)*(Stats!$B$21*S162)-(S162*Stats!$B$22),0)</f>
        <v>1328</v>
      </c>
      <c r="T163" s="101">
        <f t="shared" si="289"/>
        <v>15602.409638554218</v>
      </c>
      <c r="U163" s="99">
        <f xml:space="preserve"> ROUND(U162 + (S162 * Stats!$B$22),0)</f>
        <v>8712783</v>
      </c>
      <c r="V163" s="99">
        <f>ROUND(S163*(Stats!$I$14/100),0)</f>
        <v>32</v>
      </c>
      <c r="W163" s="105">
        <f t="shared" si="287"/>
        <v>15453.125</v>
      </c>
      <c r="X163" s="118">
        <v>161</v>
      </c>
      <c r="Y163" s="115">
        <f>GROWTH($Y$25:Y162,$X$25:X162,X163:$X$186,1)</f>
        <v>413812202173009.06</v>
      </c>
      <c r="AA163" s="39">
        <f>GROWTH($AA$25:AA162,$X$25:X162,X163:$X$186,1)</f>
        <v>106842583227.48949</v>
      </c>
      <c r="AC163" s="39">
        <f>GROWTH($AC$25:AC162,$X$25:X162,X163:$X$186,1)</f>
        <v>1017203531.8858999</v>
      </c>
      <c r="AE163" s="125" t="s">
        <v>369</v>
      </c>
      <c r="AF163" s="140">
        <v>1789</v>
      </c>
      <c r="AG163" s="138">
        <f t="shared" si="310"/>
        <v>22</v>
      </c>
      <c r="AH163" s="138">
        <f t="shared" si="311"/>
        <v>1.24</v>
      </c>
      <c r="AI163" s="140">
        <v>10</v>
      </c>
      <c r="AJ163" s="138">
        <f t="shared" si="312"/>
        <v>0</v>
      </c>
      <c r="AK163" s="5">
        <f t="shared" si="313"/>
        <v>0</v>
      </c>
      <c r="AL163" s="5" t="str">
        <f t="shared" si="231"/>
        <v>1</v>
      </c>
      <c r="AM163" s="5" t="str">
        <f t="shared" si="232"/>
        <v>1</v>
      </c>
      <c r="AN163" s="5" t="str">
        <f t="shared" si="233"/>
        <v>7</v>
      </c>
      <c r="AO163" s="5" t="str">
        <f t="shared" si="234"/>
        <v>0</v>
      </c>
    </row>
    <row r="164" spans="1:41" ht="75" x14ac:dyDescent="0.25">
      <c r="A164" s="37">
        <v>44052</v>
      </c>
      <c r="B164" s="121">
        <v>210424</v>
      </c>
      <c r="C164" s="6">
        <f t="shared" ref="C164" si="324">B164-B163</f>
        <v>1896</v>
      </c>
      <c r="D164" s="19">
        <f t="shared" ref="D164" si="325">ROUND(((B164/B163)-1)*100,2)</f>
        <v>0.91</v>
      </c>
      <c r="E164" s="35">
        <f t="shared" ref="E164" si="326">IFERROR(ROUND((C164/B164)*10000,0),"")</f>
        <v>90</v>
      </c>
      <c r="F164" s="25">
        <f>ROUND((B164/Stats!$B$8)*100000,0)</f>
        <v>2096</v>
      </c>
      <c r="G164" s="22">
        <f>ROUND((C164/Stats!$B$8)*100000,0)</f>
        <v>19</v>
      </c>
      <c r="H164" s="213">
        <v>4996</v>
      </c>
      <c r="I164" s="6">
        <f t="shared" ref="I164" si="327">H164-H163</f>
        <v>19</v>
      </c>
      <c r="J164" s="35">
        <f t="shared" ref="J164" si="328">IFERROR(ROUND(((H164/H163)-1)*100,2),"")</f>
        <v>0.38</v>
      </c>
      <c r="K164" s="9">
        <f t="shared" si="285"/>
        <v>2.37</v>
      </c>
      <c r="L164" s="43">
        <f>ROUND(((H164/Stats!$B$8)*100000),0)</f>
        <v>50</v>
      </c>
      <c r="M164" s="96">
        <f>Stats!$B$8-N164</f>
        <v>4403118</v>
      </c>
      <c r="N164" s="97">
        <f>ROUND(Stats!$B$33/(1+(Stats!$B$34*EXP(-1*Stats!$B$32*(X164-$X$25)))),0)</f>
        <v>5635989</v>
      </c>
      <c r="O164" s="101">
        <f t="shared" si="288"/>
        <v>96.266422805296457</v>
      </c>
      <c r="P164" s="97">
        <f>ROUND(N164*(Stats!$I$14/100),0)</f>
        <v>136391</v>
      </c>
      <c r="Q164" s="101">
        <f t="shared" si="286"/>
        <v>96.337001708323868</v>
      </c>
      <c r="R164" s="109">
        <f xml:space="preserve"> ROUND(R163 - ((R163 / Stats!$B$27)*(Stats!$B$21*S163)),0)</f>
        <v>1325466</v>
      </c>
      <c r="S164" s="99">
        <f xml:space="preserve"> ROUND(S163 + (R163/Stats!$B$27)*(Stats!$B$21*S163)-(S163*Stats!$B$22),0)</f>
        <v>1195</v>
      </c>
      <c r="T164" s="101">
        <f t="shared" si="289"/>
        <v>17508.702928870291</v>
      </c>
      <c r="U164" s="99">
        <f xml:space="preserve"> ROUND(U163 + (S163 * Stats!$B$22),0)</f>
        <v>8712973</v>
      </c>
      <c r="V164" s="99">
        <f>ROUND(S164*(Stats!$I$14/100),0)</f>
        <v>29</v>
      </c>
      <c r="W164" s="105">
        <f t="shared" si="287"/>
        <v>17127.586206896551</v>
      </c>
      <c r="X164" s="118">
        <v>162</v>
      </c>
      <c r="Y164" s="115">
        <f>GROWTH($Y$25:Y163,$X$25:X163,X164:$X$186,1)</f>
        <v>504204613095856.44</v>
      </c>
      <c r="AA164" s="39">
        <f>GROWTH($AA$25:AA163,$X$25:X163,X164:$X$186,1)</f>
        <v>122332854207.5511</v>
      </c>
      <c r="AC164" s="39">
        <f>GROWTH($AC$25:AC163,$X$25:X163,X164:$X$186,1)</f>
        <v>1123656486.1078446</v>
      </c>
      <c r="AE164" s="125" t="s">
        <v>368</v>
      </c>
      <c r="AF164" s="140">
        <v>1920</v>
      </c>
      <c r="AG164" s="138">
        <f t="shared" si="310"/>
        <v>24</v>
      </c>
      <c r="AH164" s="138">
        <f t="shared" si="311"/>
        <v>1.26</v>
      </c>
      <c r="AI164" s="140">
        <v>19</v>
      </c>
      <c r="AJ164" s="138">
        <f t="shared" si="312"/>
        <v>0</v>
      </c>
      <c r="AK164" s="5">
        <f t="shared" si="313"/>
        <v>0</v>
      </c>
      <c r="AL164" s="5" t="str">
        <f t="shared" si="231"/>
        <v>1</v>
      </c>
      <c r="AM164" s="5" t="str">
        <f t="shared" si="232"/>
        <v>1</v>
      </c>
      <c r="AN164" s="5" t="str">
        <f t="shared" si="233"/>
        <v>9</v>
      </c>
      <c r="AO164" s="5" t="str">
        <f t="shared" si="234"/>
        <v>9</v>
      </c>
    </row>
    <row r="165" spans="1:41" ht="30" x14ac:dyDescent="0.25">
      <c r="A165" s="37">
        <v>44053</v>
      </c>
      <c r="B165" s="121">
        <v>211808</v>
      </c>
      <c r="C165" s="6">
        <f t="shared" ref="C165" si="329">B165-B164</f>
        <v>1384</v>
      </c>
      <c r="D165" s="19">
        <f t="shared" ref="D165" si="330">ROUND(((B165/B164)-1)*100,2)</f>
        <v>0.66</v>
      </c>
      <c r="E165" s="35">
        <f t="shared" ref="E165" si="331">IFERROR(ROUND((C165/B165)*10000,0),"")</f>
        <v>65</v>
      </c>
      <c r="F165" s="25">
        <f>ROUND((B165/Stats!$B$8)*100000,0)</f>
        <v>2110</v>
      </c>
      <c r="G165" s="22">
        <f>ROUND((C165/Stats!$B$8)*100000,0)</f>
        <v>14</v>
      </c>
      <c r="H165" s="213">
        <v>5057</v>
      </c>
      <c r="I165" s="6">
        <f t="shared" ref="I165" si="332">H165-H164</f>
        <v>61</v>
      </c>
      <c r="J165" s="35">
        <f t="shared" ref="J165" si="333">IFERROR(ROUND(((H165/H164)-1)*100,2),"")</f>
        <v>1.22</v>
      </c>
      <c r="K165" s="9">
        <f t="shared" si="285"/>
        <v>2.39</v>
      </c>
      <c r="L165" s="43">
        <f>ROUND(((H165/Stats!$B$8)*100000),0)</f>
        <v>50</v>
      </c>
      <c r="M165" s="96">
        <f>Stats!$B$8-N165</f>
        <v>4403117</v>
      </c>
      <c r="N165" s="97">
        <f>ROUND(Stats!$B$33/(1+(Stats!$B$34*EXP(-1*Stats!$B$32*(X165-$X$25)))),0)</f>
        <v>5635990</v>
      </c>
      <c r="O165" s="101">
        <f t="shared" si="288"/>
        <v>96.241867001183465</v>
      </c>
      <c r="P165" s="97">
        <f>ROUND(N165*(Stats!$I$14/100),0)</f>
        <v>136391</v>
      </c>
      <c r="Q165" s="101">
        <f t="shared" si="286"/>
        <v>96.2922773496785</v>
      </c>
      <c r="R165" s="109">
        <f xml:space="preserve"> ROUND(R164 - ((R164 / Stats!$B$27)*(Stats!$B$21*S164)),0)</f>
        <v>1325415</v>
      </c>
      <c r="S165" s="99">
        <f xml:space="preserve"> ROUND(S164 + (R164/Stats!$B$27)*(Stats!$B$21*S164)-(S164*Stats!$B$22),0)</f>
        <v>1076</v>
      </c>
      <c r="T165" s="101">
        <f t="shared" si="289"/>
        <v>19584.758364312267</v>
      </c>
      <c r="U165" s="99">
        <f xml:space="preserve"> ROUND(U164 + (S164 * Stats!$B$22),0)</f>
        <v>8713144</v>
      </c>
      <c r="V165" s="99">
        <f>ROUND(S165*(Stats!$I$14/100),0)</f>
        <v>26</v>
      </c>
      <c r="W165" s="105">
        <f t="shared" si="287"/>
        <v>19350</v>
      </c>
      <c r="X165" s="118">
        <v>163</v>
      </c>
      <c r="Y165" s="115">
        <f>GROWTH($Y$25:Y164,$X$25:X164,X165:$X$186,1)</f>
        <v>614342183560969.25</v>
      </c>
      <c r="AA165" s="39">
        <f>GROWTH($AA$25:AA164,$X$25:X164,X165:$X$186,1)</f>
        <v>140068938493.38763</v>
      </c>
      <c r="AC165" s="39">
        <f>GROWTH($AC$25:AC164,$X$25:X164,X165:$X$186,1)</f>
        <v>1241250014.5682278</v>
      </c>
      <c r="AE165" s="125" t="s">
        <v>324</v>
      </c>
      <c r="AF165" s="140">
        <v>1440</v>
      </c>
      <c r="AG165" s="138">
        <f t="shared" si="310"/>
        <v>56</v>
      </c>
      <c r="AH165" s="138">
        <f t="shared" si="311"/>
        <v>3.97</v>
      </c>
      <c r="AI165" s="140">
        <v>63</v>
      </c>
      <c r="AJ165" s="138">
        <f t="shared" si="312"/>
        <v>2</v>
      </c>
      <c r="AK165" s="5">
        <f t="shared" si="313"/>
        <v>3.23</v>
      </c>
      <c r="AL165" s="5" t="str">
        <f t="shared" si="231"/>
        <v>1</v>
      </c>
      <c r="AM165" s="5" t="str">
        <f t="shared" si="232"/>
        <v>6</v>
      </c>
      <c r="AN165" s="5" t="str">
        <f t="shared" si="233"/>
        <v>4</v>
      </c>
      <c r="AO165" s="5" t="str">
        <f t="shared" si="234"/>
        <v>3</v>
      </c>
    </row>
    <row r="166" spans="1:41" ht="30" x14ac:dyDescent="0.25">
      <c r="A166" s="37">
        <v>44054</v>
      </c>
      <c r="B166" s="121">
        <v>214197</v>
      </c>
      <c r="C166" s="6">
        <f t="shared" ref="C166" si="334">B166-B165</f>
        <v>2389</v>
      </c>
      <c r="D166" s="19">
        <f t="shared" ref="D166" si="335">ROUND(((B166/B165)-1)*100,2)</f>
        <v>1.1299999999999999</v>
      </c>
      <c r="E166" s="35">
        <f t="shared" ref="E166" si="336">IFERROR(ROUND((C166/B166)*10000,0),"")</f>
        <v>112</v>
      </c>
      <c r="F166" s="25">
        <f>ROUND((B166/Stats!$B$8)*100000,0)</f>
        <v>2134</v>
      </c>
      <c r="G166" s="22">
        <f>ROUND((C166/Stats!$B$8)*100000,0)</f>
        <v>24</v>
      </c>
      <c r="H166" s="213">
        <v>5109</v>
      </c>
      <c r="I166" s="6">
        <f t="shared" ref="I166" si="337">H166-H165</f>
        <v>52</v>
      </c>
      <c r="J166" s="35">
        <f t="shared" ref="J166" si="338">IFERROR(ROUND(((H166/H165)-1)*100,2),"")</f>
        <v>1.03</v>
      </c>
      <c r="K166" s="9">
        <f t="shared" si="285"/>
        <v>2.39</v>
      </c>
      <c r="L166" s="43">
        <f>ROUND(((H166/Stats!$B$8)*100000),0)</f>
        <v>51</v>
      </c>
      <c r="M166" s="96">
        <f>Stats!$B$8-N166</f>
        <v>4403117</v>
      </c>
      <c r="N166" s="97">
        <f>ROUND(Stats!$B$33/(1+(Stats!$B$34*EXP(-1*Stats!$B$32*(X166-$X$25)))),0)</f>
        <v>5635990</v>
      </c>
      <c r="O166" s="101">
        <f t="shared" si="288"/>
        <v>96.19947870737883</v>
      </c>
      <c r="P166" s="97">
        <f>ROUND(N166*(Stats!$I$14/100),0)</f>
        <v>136391</v>
      </c>
      <c r="Q166" s="101">
        <f t="shared" si="286"/>
        <v>96.254151666898849</v>
      </c>
      <c r="R166" s="109">
        <f xml:space="preserve"> ROUND(R165 - ((R165 / Stats!$B$27)*(Stats!$B$21*S165)),0)</f>
        <v>1325369</v>
      </c>
      <c r="S166" s="99">
        <f xml:space="preserve"> ROUND(S165 + (R165/Stats!$B$27)*(Stats!$B$21*S165)-(S165*Stats!$B$22),0)</f>
        <v>969</v>
      </c>
      <c r="T166" s="101">
        <f t="shared" si="289"/>
        <v>22004.953560371516</v>
      </c>
      <c r="U166" s="99">
        <f xml:space="preserve"> ROUND(U165 + (S165 * Stats!$B$22),0)</f>
        <v>8713298</v>
      </c>
      <c r="V166" s="99">
        <f>ROUND(S166*(Stats!$I$14/100),0)</f>
        <v>23</v>
      </c>
      <c r="W166" s="105">
        <f t="shared" si="287"/>
        <v>22113.043478260868</v>
      </c>
      <c r="X166" s="118">
        <v>164</v>
      </c>
      <c r="Y166" s="115">
        <f>GROWTH($Y$25:Y165,$X$25:X165,X166:$X$186,1)</f>
        <v>748538011552674.88</v>
      </c>
      <c r="AA166" s="39">
        <f>GROWTH($AA$25:AA165,$X$25:X165,X166:$X$186,1)</f>
        <v>160376439001.23679</v>
      </c>
      <c r="AC166" s="39">
        <f>GROWTH($AC$25:AC165,$X$25:X165,X166:$X$186,1)</f>
        <v>1371150006.887207</v>
      </c>
      <c r="AE166" s="125" t="s">
        <v>325</v>
      </c>
      <c r="AF166" s="140">
        <v>2428</v>
      </c>
      <c r="AG166" s="138">
        <f t="shared" si="310"/>
        <v>39</v>
      </c>
      <c r="AH166" s="138">
        <f t="shared" si="311"/>
        <v>1.62</v>
      </c>
      <c r="AI166" s="140">
        <v>58</v>
      </c>
      <c r="AJ166" s="138">
        <f t="shared" si="312"/>
        <v>6</v>
      </c>
      <c r="AK166" s="5">
        <f t="shared" si="313"/>
        <v>10.91</v>
      </c>
      <c r="AL166" s="5" t="str">
        <f t="shared" si="231"/>
        <v>2</v>
      </c>
      <c r="AM166" s="5" t="str">
        <f t="shared" si="232"/>
        <v>5</v>
      </c>
      <c r="AN166" s="5" t="str">
        <f t="shared" si="233"/>
        <v>4</v>
      </c>
      <c r="AO166" s="5" t="str">
        <f t="shared" si="234"/>
        <v>8</v>
      </c>
    </row>
    <row r="167" spans="1:41" ht="30" x14ac:dyDescent="0.25">
      <c r="A167" s="37">
        <v>44055</v>
      </c>
      <c r="B167" s="121">
        <v>216139</v>
      </c>
      <c r="C167" s="6">
        <f t="shared" ref="C167:C168" si="339">B167-B166</f>
        <v>1942</v>
      </c>
      <c r="D167" s="19">
        <f t="shared" ref="D167:D168" si="340">ROUND(((B167/B166)-1)*100,2)</f>
        <v>0.91</v>
      </c>
      <c r="E167" s="35">
        <f t="shared" ref="E167:E168" si="341">IFERROR(ROUND((C167/B167)*10000,0),"")</f>
        <v>90</v>
      </c>
      <c r="F167" s="25">
        <f>ROUND((B167/Stats!$B$8)*100000,0)</f>
        <v>2153</v>
      </c>
      <c r="G167" s="22">
        <f>ROUND((C167/Stats!$B$8)*100000,0)</f>
        <v>19</v>
      </c>
      <c r="H167" s="213">
        <v>5171</v>
      </c>
      <c r="I167" s="6">
        <f t="shared" ref="I167:I168" si="342">H167-H166</f>
        <v>62</v>
      </c>
      <c r="J167" s="35">
        <f t="shared" ref="J167:J168" si="343">IFERROR(ROUND(((H167/H166)-1)*100,2),"")</f>
        <v>1.21</v>
      </c>
      <c r="K167" s="9">
        <f t="shared" si="285"/>
        <v>2.39</v>
      </c>
      <c r="L167" s="43">
        <f>ROUND(((H167/Stats!$B$8)*100000),0)</f>
        <v>52</v>
      </c>
      <c r="M167" s="96">
        <f>Stats!$B$8-N167</f>
        <v>4403117</v>
      </c>
      <c r="N167" s="97">
        <f>ROUND(Stats!$B$33/(1+(Stats!$B$34*EXP(-1*Stats!$B$32*(X167-$X$25)))),0)</f>
        <v>5635990</v>
      </c>
      <c r="O167" s="101">
        <f t="shared" si="288"/>
        <v>96.165021584495364</v>
      </c>
      <c r="P167" s="97">
        <f>ROUND(N167*(Stats!$I$14/100),0)</f>
        <v>136391</v>
      </c>
      <c r="Q167" s="101">
        <f t="shared" si="286"/>
        <v>96.208694122046182</v>
      </c>
      <c r="R167" s="109">
        <f xml:space="preserve"> ROUND(R166 - ((R166 / Stats!$B$27)*(Stats!$B$21*S166)),0)</f>
        <v>1325327</v>
      </c>
      <c r="S167" s="99">
        <f xml:space="preserve"> ROUND(S166 + (R166/Stats!$B$27)*(Stats!$B$21*S166)-(S166*Stats!$B$22),0)</f>
        <v>872</v>
      </c>
      <c r="T167" s="101">
        <f t="shared" si="289"/>
        <v>24686.582568807338</v>
      </c>
      <c r="U167" s="99">
        <f xml:space="preserve"> ROUND(U166 + (S166 * Stats!$B$22),0)</f>
        <v>8713436</v>
      </c>
      <c r="V167" s="99">
        <f>ROUND(S167*(Stats!$I$14/100),0)</f>
        <v>21</v>
      </c>
      <c r="W167" s="105">
        <f t="shared" si="287"/>
        <v>24523.809523809523</v>
      </c>
      <c r="X167" s="118">
        <v>165</v>
      </c>
      <c r="Y167" s="115">
        <f>GROWTH($Y$25:Y166,$X$25:X166,X167:$X$186,1)</f>
        <v>912047340606601.25</v>
      </c>
      <c r="AA167" s="39">
        <f>GROWTH($AA$25:AA166,$X$25:X166,X167:$X$186,1)</f>
        <v>183628165269.00372</v>
      </c>
      <c r="AC167" s="39">
        <f>GROWTH($AC$25:AC166,$X$25:X166,X167:$X$186,1)</f>
        <v>1514644366.0190296</v>
      </c>
      <c r="AE167" s="125" t="s">
        <v>326</v>
      </c>
      <c r="AF167" s="140">
        <v>1999</v>
      </c>
      <c r="AG167" s="138">
        <f t="shared" si="310"/>
        <v>57</v>
      </c>
      <c r="AH167" s="138">
        <f t="shared" si="311"/>
        <v>2.89</v>
      </c>
      <c r="AI167" s="140">
        <v>64</v>
      </c>
      <c r="AJ167" s="138">
        <f t="shared" si="312"/>
        <v>2</v>
      </c>
      <c r="AK167" s="5">
        <f t="shared" si="313"/>
        <v>3.17</v>
      </c>
      <c r="AL167" s="5" t="str">
        <f t="shared" si="231"/>
        <v>1</v>
      </c>
      <c r="AM167" s="5" t="str">
        <f t="shared" si="232"/>
        <v>6</v>
      </c>
      <c r="AN167" s="5" t="str">
        <f t="shared" si="233"/>
        <v>9</v>
      </c>
      <c r="AO167" s="5" t="str">
        <f t="shared" si="234"/>
        <v>4</v>
      </c>
    </row>
    <row r="168" spans="1:41" ht="60" x14ac:dyDescent="0.25">
      <c r="A168" s="37">
        <v>44056</v>
      </c>
      <c r="B168" s="121">
        <v>218693</v>
      </c>
      <c r="C168" s="6">
        <f t="shared" si="339"/>
        <v>2554</v>
      </c>
      <c r="D168" s="19">
        <f t="shared" si="340"/>
        <v>1.18</v>
      </c>
      <c r="E168" s="35">
        <f t="shared" si="341"/>
        <v>117</v>
      </c>
      <c r="F168" s="25">
        <f>ROUND((B168/Stats!$B$8)*100000,0)</f>
        <v>2178</v>
      </c>
      <c r="G168" s="22">
        <f>ROUND((C168/Stats!$B$8)*100000,0)</f>
        <v>25</v>
      </c>
      <c r="H168" s="213">
        <v>5214</v>
      </c>
      <c r="I168" s="6">
        <f t="shared" si="342"/>
        <v>43</v>
      </c>
      <c r="J168" s="35">
        <f t="shared" si="343"/>
        <v>0.83</v>
      </c>
      <c r="K168" s="9">
        <f t="shared" si="285"/>
        <v>2.38</v>
      </c>
      <c r="L168" s="43">
        <f>ROUND(((H168/Stats!$B$8)*100000),0)</f>
        <v>52</v>
      </c>
      <c r="M168" s="96">
        <f>Stats!$B$8-N168</f>
        <v>4403117</v>
      </c>
      <c r="N168" s="97">
        <f>ROUND(Stats!$B$33/(1+(Stats!$B$34*EXP(-1*Stats!$B$32*(X168-$X$25)))),0)</f>
        <v>5635990</v>
      </c>
      <c r="O168" s="101">
        <f t="shared" si="288"/>
        <v>96.11970567726344</v>
      </c>
      <c r="P168" s="97">
        <f>ROUND(N168*(Stats!$I$14/100),0)</f>
        <v>136391</v>
      </c>
      <c r="Q168" s="101">
        <f t="shared" si="286"/>
        <v>96.177167115132235</v>
      </c>
      <c r="R168" s="109">
        <f xml:space="preserve"> ROUND(R167 - ((R167 / Stats!$B$27)*(Stats!$B$21*S167)),0)</f>
        <v>1325290</v>
      </c>
      <c r="S168" s="99">
        <f xml:space="preserve"> ROUND(S167 + (R167/Stats!$B$27)*(Stats!$B$21*S167)-(S167*Stats!$B$22),0)</f>
        <v>785</v>
      </c>
      <c r="T168" s="101">
        <f t="shared" si="289"/>
        <v>27758.980891719744</v>
      </c>
      <c r="U168" s="99">
        <f xml:space="preserve"> ROUND(U167 + (S167 * Stats!$B$22),0)</f>
        <v>8713561</v>
      </c>
      <c r="V168" s="99">
        <f>ROUND(S168*(Stats!$I$14/100),0)</f>
        <v>19</v>
      </c>
      <c r="W168" s="105">
        <f t="shared" si="287"/>
        <v>27342.105263157897</v>
      </c>
      <c r="X168" s="118">
        <v>166</v>
      </c>
      <c r="Y168" s="115">
        <f>GROWTH($Y$25:Y167,$X$25:X167,X168:$X$186,1)</f>
        <v>1111273360429797.6</v>
      </c>
      <c r="AA168" s="39">
        <f>GROWTH($AA$25:AA167,$X$25:X167,X168:$X$186,1)</f>
        <v>210250977575.3262</v>
      </c>
      <c r="AC168" s="39">
        <f>GROWTH($AC$25:AC167,$X$25:X167,X168:$X$186,1)</f>
        <v>1673155777.2598255</v>
      </c>
      <c r="AE168" s="125" t="s">
        <v>327</v>
      </c>
      <c r="AF168" s="140">
        <v>2642</v>
      </c>
      <c r="AG168" s="138">
        <f t="shared" si="310"/>
        <v>88</v>
      </c>
      <c r="AH168" s="138">
        <f t="shared" si="311"/>
        <v>3.39</v>
      </c>
      <c r="AI168" s="140">
        <v>45</v>
      </c>
      <c r="AJ168" s="138">
        <f t="shared" si="312"/>
        <v>2</v>
      </c>
      <c r="AK168" s="5">
        <f t="shared" si="313"/>
        <v>4.55</v>
      </c>
      <c r="AL168" s="5" t="str">
        <f t="shared" si="231"/>
        <v>2</v>
      </c>
      <c r="AM168" s="5" t="str">
        <f t="shared" si="232"/>
        <v>4</v>
      </c>
      <c r="AN168" s="5" t="str">
        <f t="shared" si="233"/>
        <v>6</v>
      </c>
      <c r="AO168" s="5" t="str">
        <f t="shared" si="234"/>
        <v>5</v>
      </c>
    </row>
    <row r="169" spans="1:41" x14ac:dyDescent="0.25">
      <c r="A169" s="37">
        <v>44057</v>
      </c>
      <c r="B169" s="121">
        <v>220762</v>
      </c>
      <c r="C169" s="6">
        <f t="shared" ref="C169" si="344">B169-B168</f>
        <v>2069</v>
      </c>
      <c r="D169" s="19">
        <f t="shared" ref="D169" si="345">ROUND(((B169/B168)-1)*100,2)</f>
        <v>0.95</v>
      </c>
      <c r="E169" s="35">
        <f t="shared" ref="E169" si="346">IFERROR(ROUND((C169/B169)*10000,0),"")</f>
        <v>94</v>
      </c>
      <c r="F169" s="25">
        <f>ROUND((B169/Stats!$B$8)*100000,0)</f>
        <v>2199</v>
      </c>
      <c r="G169" s="22">
        <f>ROUND((C169/Stats!$B$8)*100000,0)</f>
        <v>21</v>
      </c>
      <c r="H169" s="213">
        <v>5245</v>
      </c>
      <c r="I169" s="6">
        <f t="shared" ref="I169" si="347">H169-H168</f>
        <v>31</v>
      </c>
      <c r="J169" s="35">
        <f t="shared" ref="J169" si="348">IFERROR(ROUND(((H169/H168)-1)*100,2),"")</f>
        <v>0.59</v>
      </c>
      <c r="K169" s="9">
        <f t="shared" si="285"/>
        <v>2.38</v>
      </c>
      <c r="L169" s="43">
        <f>ROUND(((H169/Stats!$B$8)*100000),0)</f>
        <v>52</v>
      </c>
      <c r="M169" s="96">
        <f>Stats!$B$8-N169</f>
        <v>4403117</v>
      </c>
      <c r="N169" s="97">
        <f>ROUND(Stats!$B$33/(1+(Stats!$B$34*EXP(-1*Stats!$B$32*(X169-$X$25)))),0)</f>
        <v>5635990</v>
      </c>
      <c r="O169" s="101">
        <f t="shared" si="288"/>
        <v>96.082995179196558</v>
      </c>
      <c r="P169" s="97">
        <f>ROUND(N169*(Stats!$I$14/100),0)</f>
        <v>136391</v>
      </c>
      <c r="Q169" s="101">
        <f t="shared" si="286"/>
        <v>96.154438342705902</v>
      </c>
      <c r="R169" s="109">
        <f xml:space="preserve"> ROUND(R168 - ((R168 / Stats!$B$27)*(Stats!$B$21*S168)),0)</f>
        <v>1325256</v>
      </c>
      <c r="S169" s="99">
        <f xml:space="preserve"> ROUND(S168 + (R168/Stats!$B$27)*(Stats!$B$21*S168)-(S168*Stats!$B$22),0)</f>
        <v>707</v>
      </c>
      <c r="T169" s="101">
        <f t="shared" si="289"/>
        <v>31125.176803394625</v>
      </c>
      <c r="U169" s="99">
        <f xml:space="preserve"> ROUND(U168 + (S168 * Stats!$B$22),0)</f>
        <v>8713673</v>
      </c>
      <c r="V169" s="99">
        <f>ROUND(S169*(Stats!$I$14/100),0)</f>
        <v>17</v>
      </c>
      <c r="W169" s="105">
        <f t="shared" si="287"/>
        <v>30752.941176470587</v>
      </c>
      <c r="X169" s="118">
        <v>167</v>
      </c>
      <c r="Y169" s="115">
        <f>GROWTH($Y$25:Y168,$X$25:X168,X169:$X$186,1)</f>
        <v>1354017962246983.3</v>
      </c>
      <c r="AA169" s="39">
        <f>GROWTH($AA$25:AA168,$X$25:X168,X169:$X$186,1)</f>
        <v>240733623333.9968</v>
      </c>
      <c r="AC169" s="39">
        <f>GROWTH($AC$25:AC168,$X$25:X168,X169:$X$186,1)</f>
        <v>1848255813.5648451</v>
      </c>
      <c r="AE169" s="124" t="s">
        <v>319</v>
      </c>
      <c r="AF169" s="140">
        <v>2103</v>
      </c>
      <c r="AG169" s="138">
        <f t="shared" si="310"/>
        <v>34</v>
      </c>
      <c r="AH169" s="138">
        <f t="shared" si="311"/>
        <v>1.63</v>
      </c>
      <c r="AI169" s="140">
        <v>35</v>
      </c>
      <c r="AJ169" s="138">
        <f t="shared" si="312"/>
        <v>4</v>
      </c>
      <c r="AK169" s="5">
        <f t="shared" si="313"/>
        <v>12.12</v>
      </c>
      <c r="AL169" s="5" t="str">
        <f t="shared" si="231"/>
        <v>2</v>
      </c>
      <c r="AM169" s="5" t="str">
        <f t="shared" si="232"/>
        <v>3</v>
      </c>
      <c r="AN169" s="5" t="str">
        <f t="shared" si="233"/>
        <v>1</v>
      </c>
      <c r="AO169" s="5" t="str">
        <f t="shared" si="234"/>
        <v>5</v>
      </c>
    </row>
    <row r="170" spans="1:41" x14ac:dyDescent="0.25">
      <c r="A170" s="37">
        <v>44058</v>
      </c>
      <c r="B170" s="121">
        <v>221950</v>
      </c>
      <c r="C170" s="6">
        <f t="shared" ref="C170" si="349">B170-B169</f>
        <v>1188</v>
      </c>
      <c r="D170" s="19">
        <f t="shared" ref="D170" si="350">ROUND(((B170/B169)-1)*100,2)</f>
        <v>0.54</v>
      </c>
      <c r="E170" s="35">
        <f t="shared" ref="E170" si="351">IFERROR(ROUND((C170/B170)*10000,0),"")</f>
        <v>54</v>
      </c>
      <c r="F170" s="25">
        <f>ROUND((B170/Stats!$B$8)*100000,0)</f>
        <v>2211</v>
      </c>
      <c r="G170" s="22">
        <f>ROUND((C170/Stats!$B$8)*100000,0)</f>
        <v>12</v>
      </c>
      <c r="H170" s="213">
        <v>5254</v>
      </c>
      <c r="I170" s="6">
        <f t="shared" ref="I170" si="352">H170-H169</f>
        <v>9</v>
      </c>
      <c r="J170" s="35">
        <f t="shared" ref="J170" si="353">IFERROR(ROUND(((H170/H169)-1)*100,2),"")</f>
        <v>0.17</v>
      </c>
      <c r="K170" s="9">
        <f t="shared" si="285"/>
        <v>2.37</v>
      </c>
      <c r="L170" s="43">
        <f>ROUND(((H170/Stats!$B$8)*100000),0)</f>
        <v>52</v>
      </c>
      <c r="M170" s="96">
        <f>Stats!$B$8-N170</f>
        <v>4403117</v>
      </c>
      <c r="N170" s="97">
        <f>ROUND(Stats!$B$33/(1+(Stats!$B$34*EXP(-1*Stats!$B$32*(X170-$X$25)))),0)</f>
        <v>5635990</v>
      </c>
      <c r="O170" s="101">
        <f t="shared" si="288"/>
        <v>96.061916362520165</v>
      </c>
      <c r="P170" s="97">
        <f>ROUND(N170*(Stats!$I$14/100),0)</f>
        <v>136391</v>
      </c>
      <c r="Q170" s="101">
        <f t="shared" si="286"/>
        <v>96.147839666840184</v>
      </c>
      <c r="R170" s="109">
        <f xml:space="preserve"> ROUND(R169 - ((R169 / Stats!$B$27)*(Stats!$B$21*S169)),0)</f>
        <v>1325226</v>
      </c>
      <c r="S170" s="99">
        <f xml:space="preserve"> ROUND(S169 + (R169/Stats!$B$27)*(Stats!$B$21*S169)-(S169*Stats!$B$22),0)</f>
        <v>636</v>
      </c>
      <c r="T170" s="101">
        <f t="shared" si="289"/>
        <v>34797.798742138366</v>
      </c>
      <c r="U170" s="99">
        <f xml:space="preserve"> ROUND(U169 + (S169 * Stats!$B$22),0)</f>
        <v>8713774</v>
      </c>
      <c r="V170" s="99">
        <f>ROUND(S170*(Stats!$I$14/100),0)</f>
        <v>15</v>
      </c>
      <c r="W170" s="105">
        <f t="shared" si="287"/>
        <v>34926.666666666664</v>
      </c>
      <c r="X170" s="118">
        <v>168</v>
      </c>
      <c r="Y170" s="115">
        <f>GROWTH($Y$25:Y169,$X$25:X169,X170:$X$186,1)</f>
        <v>1649787268704433.3</v>
      </c>
      <c r="AA170" s="39">
        <f>GROWTH($AA$25:AA169,$X$25:X169,X170:$X$186,1)</f>
        <v>275635709625.90155</v>
      </c>
      <c r="AC170" s="39">
        <f>GROWTH($AC$25:AC169,$X$25:X169,X170:$X$186,1)</f>
        <v>2041680517.0232501</v>
      </c>
      <c r="AE170" s="124" t="s">
        <v>328</v>
      </c>
      <c r="AF170" s="140">
        <v>1192</v>
      </c>
      <c r="AG170" s="138">
        <f t="shared" si="310"/>
        <v>4</v>
      </c>
      <c r="AH170" s="138">
        <f t="shared" si="311"/>
        <v>0.34</v>
      </c>
      <c r="AI170" s="140">
        <v>9</v>
      </c>
      <c r="AJ170" s="138">
        <f t="shared" si="312"/>
        <v>0</v>
      </c>
      <c r="AK170" s="5">
        <f t="shared" si="313"/>
        <v>0</v>
      </c>
      <c r="AL170" s="5" t="str">
        <f t="shared" si="231"/>
        <v>1</v>
      </c>
      <c r="AM170" s="5" t="str">
        <f t="shared" si="232"/>
        <v>9</v>
      </c>
      <c r="AN170" s="5" t="str">
        <f t="shared" si="233"/>
        <v>1</v>
      </c>
      <c r="AO170" s="5" t="str">
        <f t="shared" si="234"/>
        <v>9</v>
      </c>
    </row>
    <row r="171" spans="1:41" ht="30" x14ac:dyDescent="0.25">
      <c r="A171" s="37">
        <v>44059</v>
      </c>
      <c r="B171" s="121">
        <v>223131</v>
      </c>
      <c r="C171" s="6">
        <f t="shared" ref="C171" si="354">B171-B170</f>
        <v>1181</v>
      </c>
      <c r="D171" s="19">
        <f t="shared" ref="D171" si="355">ROUND(((B171/B170)-1)*100,2)</f>
        <v>0.53</v>
      </c>
      <c r="E171" s="35">
        <f t="shared" ref="E171" si="356">IFERROR(ROUND((C171/B171)*10000,0),"")</f>
        <v>53</v>
      </c>
      <c r="F171" s="25">
        <f>ROUND((B171/Stats!$B$8)*100000,0)</f>
        <v>2223</v>
      </c>
      <c r="G171" s="22">
        <f>ROUND((C171/Stats!$B$8)*100000,0)</f>
        <v>12</v>
      </c>
      <c r="H171" s="213">
        <v>5273</v>
      </c>
      <c r="I171" s="6">
        <f t="shared" ref="I171" si="357">H171-H170</f>
        <v>19</v>
      </c>
      <c r="J171" s="35">
        <f t="shared" ref="J171" si="358">IFERROR(ROUND(((H171/H170)-1)*100,2),"")</f>
        <v>0.36</v>
      </c>
      <c r="K171" s="9">
        <f t="shared" si="285"/>
        <v>2.36</v>
      </c>
      <c r="L171" s="43">
        <f>ROUND(((H171/Stats!$B$8)*100000),0)</f>
        <v>53</v>
      </c>
      <c r="M171" s="96">
        <f>Stats!$B$8-N171</f>
        <v>4403117</v>
      </c>
      <c r="N171" s="97">
        <f>ROUND(Stats!$B$33/(1+(Stats!$B$34*EXP(-1*Stats!$B$32*(X171-$X$25)))),0)</f>
        <v>5635990</v>
      </c>
      <c r="O171" s="101">
        <f t="shared" si="288"/>
        <v>96.040961747625531</v>
      </c>
      <c r="P171" s="97">
        <f>ROUND(N171*(Stats!$I$14/100),0)</f>
        <v>136391</v>
      </c>
      <c r="Q171" s="101">
        <f t="shared" si="286"/>
        <v>96.133909128901465</v>
      </c>
      <c r="R171" s="109">
        <f xml:space="preserve"> ROUND(R170 - ((R170 / Stats!$B$27)*(Stats!$B$21*S170)),0)</f>
        <v>1325199</v>
      </c>
      <c r="S171" s="99">
        <f xml:space="preserve"> ROUND(S170 + (R170/Stats!$B$27)*(Stats!$B$21*S170)-(S170*Stats!$B$22),0)</f>
        <v>572</v>
      </c>
      <c r="T171" s="101">
        <f t="shared" si="289"/>
        <v>38908.916083916083</v>
      </c>
      <c r="U171" s="99">
        <f xml:space="preserve"> ROUND(U170 + (S170 * Stats!$B$22),0)</f>
        <v>8713865</v>
      </c>
      <c r="V171" s="99">
        <f>ROUND(S171*(Stats!$I$14/100),0)</f>
        <v>14</v>
      </c>
      <c r="W171" s="105">
        <f t="shared" si="287"/>
        <v>37564.285714285717</v>
      </c>
      <c r="X171" s="118">
        <v>169</v>
      </c>
      <c r="Y171" s="115">
        <f>GROWTH($Y$25:Y170,$X$25:X170,X171:$X$186,1)</f>
        <v>2010163903189599.8</v>
      </c>
      <c r="AA171" s="39">
        <f>GROWTH($AA$25:AA170,$X$25:X170,X171:$X$186,1)</f>
        <v>315597976588.27679</v>
      </c>
      <c r="AC171" s="39">
        <f>GROWTH($AC$25:AC170,$X$25:X170,X171:$X$186,1)</f>
        <v>2255347610.97402</v>
      </c>
      <c r="AE171" s="125" t="s">
        <v>329</v>
      </c>
      <c r="AF171" s="140">
        <v>1185</v>
      </c>
      <c r="AG171" s="138">
        <f t="shared" si="310"/>
        <v>4</v>
      </c>
      <c r="AH171" s="138">
        <f t="shared" si="311"/>
        <v>0.34</v>
      </c>
      <c r="AI171" s="140">
        <v>19</v>
      </c>
      <c r="AJ171" s="138">
        <f t="shared" si="312"/>
        <v>0</v>
      </c>
      <c r="AK171" s="5">
        <f t="shared" si="313"/>
        <v>0</v>
      </c>
      <c r="AL171" s="5" t="str">
        <f t="shared" si="231"/>
        <v>1</v>
      </c>
      <c r="AM171" s="5" t="str">
        <f t="shared" si="232"/>
        <v>1</v>
      </c>
      <c r="AN171" s="5" t="str">
        <f t="shared" si="233"/>
        <v>1</v>
      </c>
      <c r="AO171" s="5" t="str">
        <f t="shared" si="234"/>
        <v>9</v>
      </c>
    </row>
    <row r="172" spans="1:41" ht="75" x14ac:dyDescent="0.25">
      <c r="A172" s="37">
        <v>44060</v>
      </c>
      <c r="B172" s="121">
        <v>224031</v>
      </c>
      <c r="C172" s="6">
        <f t="shared" ref="C172" si="359">B172-B171</f>
        <v>900</v>
      </c>
      <c r="D172" s="19">
        <f t="shared" ref="D172" si="360">ROUND(((B172/B171)-1)*100,2)</f>
        <v>0.4</v>
      </c>
      <c r="E172" s="35">
        <f t="shared" ref="E172" si="361">IFERROR(ROUND((C172/B172)*10000,0),"")</f>
        <v>40</v>
      </c>
      <c r="F172" s="25">
        <f>ROUND((B172/Stats!$B$8)*100000,0)</f>
        <v>2232</v>
      </c>
      <c r="G172" s="22">
        <f>ROUND((C172/Stats!$B$8)*100000,0)</f>
        <v>9</v>
      </c>
      <c r="H172" s="213">
        <v>5335</v>
      </c>
      <c r="I172" s="6">
        <f t="shared" ref="I172" si="362">H172-H171</f>
        <v>62</v>
      </c>
      <c r="J172" s="35">
        <f t="shared" ref="J172" si="363">IFERROR(ROUND(((H172/H171)-1)*100,2),"")</f>
        <v>1.18</v>
      </c>
      <c r="K172" s="9">
        <f t="shared" si="285"/>
        <v>2.38</v>
      </c>
      <c r="L172" s="43">
        <f>ROUND(((H172/Stats!$B$8)*100000),0)</f>
        <v>53</v>
      </c>
      <c r="M172" s="96">
        <f>Stats!$B$8-N172</f>
        <v>4403117</v>
      </c>
      <c r="N172" s="97">
        <f>ROUND(Stats!$B$33/(1+(Stats!$B$34*EXP(-1*Stats!$B$32*(X172-$X$25)))),0)</f>
        <v>5635990</v>
      </c>
      <c r="O172" s="101">
        <f t="shared" si="288"/>
        <v>96.024992947113105</v>
      </c>
      <c r="P172" s="97">
        <f>ROUND(N172*(Stats!$I$14/100),0)</f>
        <v>136391</v>
      </c>
      <c r="Q172" s="101">
        <f t="shared" si="286"/>
        <v>96.088451584048798</v>
      </c>
      <c r="R172" s="109">
        <f xml:space="preserve"> ROUND(R171 - ((R171 / Stats!$B$27)*(Stats!$B$21*S171)),0)</f>
        <v>1325174</v>
      </c>
      <c r="S172" s="99">
        <f xml:space="preserve"> ROUND(S171 + (R171/Stats!$B$27)*(Stats!$B$21*S171)-(S171*Stats!$B$22),0)</f>
        <v>515</v>
      </c>
      <c r="T172" s="101">
        <f t="shared" si="289"/>
        <v>43401.165048543691</v>
      </c>
      <c r="U172" s="99">
        <f xml:space="preserve"> ROUND(U171 + (S171 * Stats!$B$22),0)</f>
        <v>8713947</v>
      </c>
      <c r="V172" s="99">
        <f>ROUND(S172*(Stats!$I$14/100),0)</f>
        <v>12</v>
      </c>
      <c r="W172" s="105">
        <f t="shared" si="287"/>
        <v>44358.333333333328</v>
      </c>
      <c r="X172" s="118">
        <v>170</v>
      </c>
      <c r="Y172" s="115">
        <f>GROWTH($Y$25:Y171,$X$25:X171,X172:$X$186,1)</f>
        <v>2449260577007378.5</v>
      </c>
      <c r="AA172" s="39">
        <f>GROWTH($AA$25:AA171,$X$25:X171,X172:$X$186,1)</f>
        <v>361354060262.35516</v>
      </c>
      <c r="AC172" s="39">
        <f>GROWTH($AC$25:AC171,$X$25:X171,X172:$X$186,1)</f>
        <v>2491375513.4140162</v>
      </c>
      <c r="AE172" s="125" t="s">
        <v>331</v>
      </c>
      <c r="AF172" s="140">
        <v>1003</v>
      </c>
      <c r="AG172" s="138">
        <f t="shared" si="310"/>
        <v>103</v>
      </c>
      <c r="AH172" s="138">
        <f t="shared" si="311"/>
        <v>10.83</v>
      </c>
      <c r="AI172" s="140">
        <v>64</v>
      </c>
      <c r="AJ172" s="138">
        <f t="shared" si="312"/>
        <v>2</v>
      </c>
      <c r="AK172" s="5">
        <f t="shared" si="313"/>
        <v>3.17</v>
      </c>
      <c r="AL172" s="5" t="str">
        <f t="shared" si="231"/>
        <v>1</v>
      </c>
      <c r="AM172" s="5" t="str">
        <f t="shared" si="232"/>
        <v>6</v>
      </c>
      <c r="AN172" s="5" t="str">
        <f t="shared" si="233"/>
        <v>0</v>
      </c>
      <c r="AO172" s="5" t="str">
        <f t="shared" si="234"/>
        <v>4</v>
      </c>
    </row>
    <row r="173" spans="1:41" ht="45" x14ac:dyDescent="0.25">
      <c r="A173" s="37">
        <v>44061</v>
      </c>
      <c r="B173" s="121">
        <v>225827</v>
      </c>
      <c r="C173" s="6">
        <f t="shared" ref="C173" si="364">B173-B172</f>
        <v>1796</v>
      </c>
      <c r="D173" s="19">
        <f t="shared" ref="D173" si="365">ROUND(((B173/B172)-1)*100,2)</f>
        <v>0.8</v>
      </c>
      <c r="E173" s="35">
        <f t="shared" ref="E173" si="366">IFERROR(ROUND((C173/B173)*10000,0),"")</f>
        <v>80</v>
      </c>
      <c r="F173" s="25">
        <f>ROUND((B173/Stats!$B$8)*100000,0)</f>
        <v>2249</v>
      </c>
      <c r="G173" s="22">
        <f>ROUND((C173/Stats!$B$8)*100000,0)</f>
        <v>18</v>
      </c>
      <c r="H173" s="213">
        <v>5392</v>
      </c>
      <c r="I173" s="6">
        <f t="shared" ref="I173" si="367">H173-H172</f>
        <v>57</v>
      </c>
      <c r="J173" s="35">
        <f t="shared" ref="J173" si="368">IFERROR(ROUND(((H173/H172)-1)*100,2),"")</f>
        <v>1.07</v>
      </c>
      <c r="K173" s="9">
        <f t="shared" si="285"/>
        <v>2.39</v>
      </c>
      <c r="L173" s="43">
        <f>ROUND(((H173/Stats!$B$8)*100000),0)</f>
        <v>54</v>
      </c>
      <c r="M173" s="96">
        <f>Stats!$B$8-N173</f>
        <v>4403117</v>
      </c>
      <c r="N173" s="97">
        <f>ROUND(Stats!$B$33/(1+(Stats!$B$34*EXP(-1*Stats!$B$32*(X173-$X$25)))),0)</f>
        <v>5635990</v>
      </c>
      <c r="O173" s="101">
        <f t="shared" si="288"/>
        <v>95.993126318534976</v>
      </c>
      <c r="P173" s="97">
        <f>ROUND(N173*(Stats!$I$14/100),0)</f>
        <v>136391</v>
      </c>
      <c r="Q173" s="101">
        <f t="shared" si="286"/>
        <v>96.046659970232639</v>
      </c>
      <c r="R173" s="109">
        <f xml:space="preserve"> ROUND(R172 - ((R172 / Stats!$B$27)*(Stats!$B$21*S172)),0)</f>
        <v>1325152</v>
      </c>
      <c r="S173" s="99">
        <f xml:space="preserve"> ROUND(S172 + (R172/Stats!$B$27)*(Stats!$B$21*S172)-(S172*Stats!$B$22),0)</f>
        <v>464</v>
      </c>
      <c r="T173" s="101">
        <f t="shared" si="289"/>
        <v>48569.612068965514</v>
      </c>
      <c r="U173" s="99">
        <f xml:space="preserve"> ROUND(U172 + (S172 * Stats!$B$22),0)</f>
        <v>8714021</v>
      </c>
      <c r="V173" s="99">
        <f>ROUND(S173*(Stats!$I$14/100),0)</f>
        <v>11</v>
      </c>
      <c r="W173" s="105">
        <f t="shared" si="287"/>
        <v>48918.181818181816</v>
      </c>
      <c r="X173" s="118">
        <v>171</v>
      </c>
      <c r="Y173" s="115">
        <f>GROWTH($Y$25:Y172,$X$25:X172,X173:$X$186,1)</f>
        <v>2984272757342772.5</v>
      </c>
      <c r="AA173" s="39">
        <f>GROWTH($AA$25:AA172,$X$25:X172,X173:$X$186,1)</f>
        <v>413743960844.3316</v>
      </c>
      <c r="AC173" s="39">
        <f>GROWTH($AC$25:AC172,$X$25:X172,X173:$X$186,1)</f>
        <v>2752104340.2078266</v>
      </c>
      <c r="AE173" s="125" t="s">
        <v>332</v>
      </c>
      <c r="AF173" s="140">
        <v>1956</v>
      </c>
      <c r="AG173" s="138">
        <f t="shared" si="310"/>
        <v>160</v>
      </c>
      <c r="AH173" s="138">
        <f t="shared" si="311"/>
        <v>8.5299999999999994</v>
      </c>
      <c r="AI173" s="140">
        <v>61</v>
      </c>
      <c r="AJ173" s="138">
        <f t="shared" si="312"/>
        <v>4</v>
      </c>
      <c r="AK173" s="5">
        <f t="shared" si="313"/>
        <v>6.78</v>
      </c>
      <c r="AL173" s="5" t="str">
        <f t="shared" si="231"/>
        <v>1</v>
      </c>
      <c r="AM173" s="5" t="str">
        <f t="shared" si="232"/>
        <v>6</v>
      </c>
      <c r="AN173" s="5" t="str">
        <f t="shared" si="233"/>
        <v>9</v>
      </c>
      <c r="AO173" s="5" t="str">
        <f t="shared" si="234"/>
        <v>1</v>
      </c>
    </row>
    <row r="174" spans="1:41" x14ac:dyDescent="0.25">
      <c r="A174" s="37">
        <v>44062</v>
      </c>
      <c r="B174" s="121">
        <v>227346</v>
      </c>
      <c r="C174" s="6">
        <f t="shared" ref="C174" si="369">B174-B173</f>
        <v>1519</v>
      </c>
      <c r="D174" s="19">
        <f t="shared" ref="D174" si="370">ROUND(((B174/B173)-1)*100,2)</f>
        <v>0.67</v>
      </c>
      <c r="E174" s="35">
        <f t="shared" ref="E174" si="371">IFERROR(ROUND((C174/B174)*10000,0),"")</f>
        <v>67</v>
      </c>
      <c r="F174" s="25">
        <f>ROUND((B174/Stats!$B$8)*100000,0)</f>
        <v>2265</v>
      </c>
      <c r="G174" s="22">
        <f>ROUND((C174/Stats!$B$8)*100000,0)</f>
        <v>15</v>
      </c>
      <c r="H174" s="213">
        <v>5446</v>
      </c>
      <c r="I174" s="6">
        <f t="shared" ref="I174" si="372">H174-H173</f>
        <v>54</v>
      </c>
      <c r="J174" s="35">
        <f t="shared" ref="J174" si="373">IFERROR(ROUND(((H174/H173)-1)*100,2),"")</f>
        <v>1</v>
      </c>
      <c r="K174" s="9">
        <f t="shared" si="285"/>
        <v>2.4</v>
      </c>
      <c r="L174" s="43">
        <f>ROUND(((H174/Stats!$B$8)*100000),0)</f>
        <v>54</v>
      </c>
      <c r="M174" s="96">
        <f>Stats!$B$8-N174</f>
        <v>4403117</v>
      </c>
      <c r="N174" s="97">
        <f>ROUND(Stats!$B$33/(1+(Stats!$B$34*EXP(-1*Stats!$B$32*(X174-$X$25)))),0)</f>
        <v>5635990</v>
      </c>
      <c r="O174" s="101">
        <f t="shared" si="288"/>
        <v>95.966174531892364</v>
      </c>
      <c r="P174" s="97">
        <f>ROUND(N174*(Stats!$I$14/100),0)</f>
        <v>136391</v>
      </c>
      <c r="Q174" s="101">
        <f t="shared" si="286"/>
        <v>96.007067915038377</v>
      </c>
      <c r="R174" s="109">
        <f xml:space="preserve"> ROUND(R173 - ((R173 / Stats!$B$27)*(Stats!$B$21*S173)),0)</f>
        <v>1325132</v>
      </c>
      <c r="S174" s="99">
        <f xml:space="preserve"> ROUND(S173 + (R173/Stats!$B$27)*(Stats!$B$21*S173)-(S173*Stats!$B$22),0)</f>
        <v>418</v>
      </c>
      <c r="T174" s="101">
        <f t="shared" si="289"/>
        <v>54288.995215310999</v>
      </c>
      <c r="U174" s="99">
        <f xml:space="preserve"> ROUND(U173 + (S173 * Stats!$B$22),0)</f>
        <v>8714087</v>
      </c>
      <c r="V174" s="99">
        <f>ROUND(S174*(Stats!$I$14/100),0)</f>
        <v>10</v>
      </c>
      <c r="W174" s="105">
        <f t="shared" si="287"/>
        <v>54360</v>
      </c>
      <c r="X174" s="118">
        <v>172</v>
      </c>
      <c r="Y174" s="115">
        <f>GROWTH($Y$25:Y173,$X$25:X173,X174:$X$186,1)</f>
        <v>3636152059043017</v>
      </c>
      <c r="AA174" s="39">
        <f>GROWTH($AA$25:AA173,$X$25:X173,X174:$X$186,1)</f>
        <v>473729463592.76801</v>
      </c>
      <c r="AC174" s="39">
        <f>GROWTH($AC$25:AC173,$X$25:X173,X174:$X$186,1)</f>
        <v>3040119106.3372889</v>
      </c>
      <c r="AE174" s="124" t="s">
        <v>328</v>
      </c>
      <c r="AF174" s="140">
        <v>1603</v>
      </c>
      <c r="AG174" s="138">
        <f t="shared" si="310"/>
        <v>84</v>
      </c>
      <c r="AH174" s="138">
        <f t="shared" si="311"/>
        <v>5.38</v>
      </c>
      <c r="AI174" s="140">
        <v>57</v>
      </c>
      <c r="AJ174" s="138">
        <f t="shared" si="312"/>
        <v>3</v>
      </c>
      <c r="AK174" s="5">
        <f t="shared" si="313"/>
        <v>5.41</v>
      </c>
      <c r="AL174" s="5" t="str">
        <f t="shared" si="231"/>
        <v>1</v>
      </c>
      <c r="AM174" s="5" t="str">
        <f t="shared" si="232"/>
        <v>5</v>
      </c>
      <c r="AN174" s="5" t="str">
        <f t="shared" si="233"/>
        <v>6</v>
      </c>
      <c r="AO174" s="5" t="str">
        <f t="shared" si="234"/>
        <v>7</v>
      </c>
    </row>
    <row r="175" spans="1:41" x14ac:dyDescent="0.25">
      <c r="A175" s="37">
        <v>44063</v>
      </c>
      <c r="B175" s="121">
        <v>229054</v>
      </c>
      <c r="C175" s="6">
        <f t="shared" ref="C175:C176" si="374">B175-B174</f>
        <v>1708</v>
      </c>
      <c r="D175" s="19">
        <f t="shared" ref="D175:D176" si="375">ROUND(((B175/B174)-1)*100,2)</f>
        <v>0.75</v>
      </c>
      <c r="E175" s="35">
        <f t="shared" ref="E175:E176" si="376">IFERROR(ROUND((C175/B175)*10000,0),"")</f>
        <v>75</v>
      </c>
      <c r="F175" s="25">
        <f>ROUND((B175/Stats!$B$8)*100000,0)</f>
        <v>2282</v>
      </c>
      <c r="G175" s="22">
        <f>ROUND((C175/Stats!$B$8)*100000,0)</f>
        <v>17</v>
      </c>
      <c r="H175" s="213">
        <v>5491</v>
      </c>
      <c r="I175" s="6">
        <f t="shared" ref="I175:I176" si="377">H175-H174</f>
        <v>45</v>
      </c>
      <c r="J175" s="35">
        <f t="shared" ref="J175:J176" si="378">IFERROR(ROUND(((H175/H174)-1)*100,2),"")</f>
        <v>0.83</v>
      </c>
      <c r="K175" s="9">
        <f t="shared" si="285"/>
        <v>2.4</v>
      </c>
      <c r="L175" s="43">
        <f>ROUND(((H175/Stats!$B$8)*100000),0)</f>
        <v>55</v>
      </c>
      <c r="M175" s="96">
        <f>Stats!$B$8-N175</f>
        <v>4403117</v>
      </c>
      <c r="N175" s="97">
        <f>ROUND(Stats!$B$33/(1+(Stats!$B$34*EXP(-1*Stats!$B$32*(X175-$X$25)))),0)</f>
        <v>5635990</v>
      </c>
      <c r="O175" s="101">
        <f t="shared" si="288"/>
        <v>95.935869297142119</v>
      </c>
      <c r="P175" s="97">
        <f>ROUND(N175*(Stats!$I$14/100),0)</f>
        <v>136391</v>
      </c>
      <c r="Q175" s="101">
        <f t="shared" si="286"/>
        <v>95.974074535709832</v>
      </c>
      <c r="R175" s="109">
        <f xml:space="preserve"> ROUND(R174 - ((R174 / Stats!$B$27)*(Stats!$B$21*S174)),0)</f>
        <v>1325114</v>
      </c>
      <c r="S175" s="99">
        <f xml:space="preserve"> ROUND(S174 + (R174/Stats!$B$27)*(Stats!$B$21*S174)-(S174*Stats!$B$22),0)</f>
        <v>376</v>
      </c>
      <c r="T175" s="101">
        <f t="shared" si="289"/>
        <v>60818.617021276601</v>
      </c>
      <c r="U175" s="99">
        <f xml:space="preserve"> ROUND(U174 + (S174 * Stats!$B$22),0)</f>
        <v>8714147</v>
      </c>
      <c r="V175" s="99">
        <f>ROUND(S175*(Stats!$I$14/100),0)</f>
        <v>9</v>
      </c>
      <c r="W175" s="105">
        <f t="shared" si="287"/>
        <v>60911.111111111109</v>
      </c>
      <c r="X175" s="118">
        <v>173</v>
      </c>
      <c r="Y175" s="115">
        <f>GROWTH($Y$25:Y174,$X$25:X174,X175:$X$186,1)</f>
        <v>4430426730918266.5</v>
      </c>
      <c r="AA175" s="39">
        <f>GROWTH($AA$25:AA174,$X$25:X174,X175:$X$186,1)</f>
        <v>542411795492.84021</v>
      </c>
      <c r="AC175" s="39">
        <f>GROWTH($AC$25:AC174,$X$25:X174,X175:$X$186,1)</f>
        <v>3358275355.2211118</v>
      </c>
      <c r="AE175" s="124" t="s">
        <v>328</v>
      </c>
      <c r="AF175" s="140">
        <v>1759</v>
      </c>
      <c r="AG175" s="138">
        <f t="shared" si="310"/>
        <v>51</v>
      </c>
      <c r="AH175" s="138">
        <f t="shared" si="311"/>
        <v>2.94</v>
      </c>
      <c r="AI175" s="140">
        <v>46</v>
      </c>
      <c r="AJ175" s="138">
        <f t="shared" si="312"/>
        <v>1</v>
      </c>
      <c r="AK175" s="5">
        <f t="shared" si="313"/>
        <v>2.2000000000000002</v>
      </c>
      <c r="AL175" s="5" t="str">
        <f t="shared" si="231"/>
        <v>1</v>
      </c>
      <c r="AM175" s="5" t="str">
        <f t="shared" si="232"/>
        <v>4</v>
      </c>
      <c r="AN175" s="5" t="str">
        <f t="shared" si="233"/>
        <v>7</v>
      </c>
      <c r="AO175" s="5" t="str">
        <f t="shared" si="234"/>
        <v>6</v>
      </c>
    </row>
    <row r="176" spans="1:41" x14ac:dyDescent="0.25">
      <c r="A176" s="37">
        <v>44064</v>
      </c>
      <c r="B176" s="121">
        <v>230662</v>
      </c>
      <c r="C176" s="6">
        <f t="shared" si="374"/>
        <v>1608</v>
      </c>
      <c r="D176" s="19">
        <f t="shared" si="375"/>
        <v>0.7</v>
      </c>
      <c r="E176" s="35">
        <f t="shared" si="376"/>
        <v>70</v>
      </c>
      <c r="F176" s="25">
        <f>ROUND((B176/Stats!$B$8)*100000,0)</f>
        <v>2298</v>
      </c>
      <c r="G176" s="22">
        <f>ROUND((C176/Stats!$B$8)*100000,0)</f>
        <v>16</v>
      </c>
      <c r="H176" s="213">
        <v>5537</v>
      </c>
      <c r="I176" s="6">
        <f t="shared" si="377"/>
        <v>46</v>
      </c>
      <c r="J176" s="35">
        <f t="shared" si="378"/>
        <v>0.84</v>
      </c>
      <c r="K176" s="9">
        <f t="shared" si="285"/>
        <v>2.4</v>
      </c>
      <c r="L176" s="43">
        <f>ROUND(((H176/Stats!$B$8)*100000),0)</f>
        <v>55</v>
      </c>
      <c r="M176" s="96">
        <f>Stats!$B$8-N176</f>
        <v>4403117</v>
      </c>
      <c r="N176" s="97">
        <f>ROUND(Stats!$B$33/(1+(Stats!$B$34*EXP(-1*Stats!$B$32*(X176-$X$25)))),0)</f>
        <v>5635990</v>
      </c>
      <c r="O176" s="101">
        <f t="shared" si="288"/>
        <v>95.907338373559924</v>
      </c>
      <c r="P176" s="97">
        <f>ROUND(N176*(Stats!$I$14/100),0)</f>
        <v>136391</v>
      </c>
      <c r="Q176" s="101">
        <f t="shared" si="286"/>
        <v>95.940347970173988</v>
      </c>
      <c r="R176" s="109">
        <f xml:space="preserve"> ROUND(R175 - ((R175 / Stats!$B$27)*(Stats!$B$21*S175)),0)</f>
        <v>1325098</v>
      </c>
      <c r="S176" s="99">
        <f xml:space="preserve"> ROUND(S175 + (R175/Stats!$B$27)*(Stats!$B$21*S175)-(S175*Stats!$B$22),0)</f>
        <v>338</v>
      </c>
      <c r="T176" s="101">
        <f t="shared" si="289"/>
        <v>68143.195266272189</v>
      </c>
      <c r="U176" s="99">
        <f xml:space="preserve"> ROUND(U175 + (S175 * Stats!$B$22),0)</f>
        <v>8714201</v>
      </c>
      <c r="V176" s="99">
        <f>ROUND(S176*(Stats!$I$14/100),0)</f>
        <v>8</v>
      </c>
      <c r="W176" s="105">
        <f t="shared" si="287"/>
        <v>69112.5</v>
      </c>
      <c r="X176" s="118">
        <v>174</v>
      </c>
      <c r="Y176" s="115">
        <f>GROWTH($Y$25:Y175,$X$25:X175,X176:$X$186,1)</f>
        <v>5398201367629636</v>
      </c>
      <c r="AA176" s="39">
        <f>GROWTH($AA$25:AA175,$X$25:X175,X176:$X$186,1)</f>
        <v>621051841822.26892</v>
      </c>
      <c r="AC176" s="39">
        <f>GROWTH($AC$25:AC175,$X$25:X175,X176:$X$186,1)</f>
        <v>3709727470.2085948</v>
      </c>
      <c r="AE176" s="124" t="s">
        <v>328</v>
      </c>
      <c r="AF176" s="140">
        <v>1644</v>
      </c>
      <c r="AG176" s="138">
        <f t="shared" si="310"/>
        <v>36</v>
      </c>
      <c r="AH176" s="138">
        <f t="shared" si="311"/>
        <v>2.21</v>
      </c>
      <c r="AI176" s="140">
        <v>48</v>
      </c>
      <c r="AJ176" s="138">
        <f t="shared" si="312"/>
        <v>2</v>
      </c>
      <c r="AK176" s="5">
        <f t="shared" si="313"/>
        <v>4.26</v>
      </c>
      <c r="AL176" s="5" t="str">
        <f t="shared" si="231"/>
        <v>1</v>
      </c>
      <c r="AM176" s="5" t="str">
        <f t="shared" si="232"/>
        <v>4</v>
      </c>
      <c r="AN176" s="5" t="str">
        <f t="shared" si="233"/>
        <v>6</v>
      </c>
      <c r="AO176" s="5" t="str">
        <f t="shared" si="234"/>
        <v>8</v>
      </c>
    </row>
    <row r="177" spans="1:41" x14ac:dyDescent="0.25">
      <c r="A177" s="37">
        <v>44065</v>
      </c>
      <c r="B177" s="121">
        <v>231695</v>
      </c>
      <c r="C177" s="6">
        <f t="shared" ref="C177" si="379">B177-B176</f>
        <v>1033</v>
      </c>
      <c r="D177" s="19">
        <f t="shared" ref="D177" si="380">ROUND(((B177/B176)-1)*100,2)</f>
        <v>0.45</v>
      </c>
      <c r="E177" s="35">
        <f t="shared" ref="E177" si="381">IFERROR(ROUND((C177/B177)*10000,0),"")</f>
        <v>45</v>
      </c>
      <c r="F177" s="25">
        <f>ROUND((B177/Stats!$B$8)*100000,0)</f>
        <v>2308</v>
      </c>
      <c r="G177" s="22">
        <f>ROUND((C177/Stats!$B$8)*100000,0)</f>
        <v>10</v>
      </c>
      <c r="H177" s="213">
        <v>5545</v>
      </c>
      <c r="I177" s="6">
        <f t="shared" ref="I177" si="382">H177-H176</f>
        <v>8</v>
      </c>
      <c r="J177" s="35">
        <f t="shared" ref="J177" si="383">IFERROR(ROUND(((H177/H176)-1)*100,2),"")</f>
        <v>0.14000000000000001</v>
      </c>
      <c r="K177" s="9">
        <f t="shared" si="285"/>
        <v>2.39</v>
      </c>
      <c r="L177" s="43">
        <f>ROUND(((H177/Stats!$B$8)*100000),0)</f>
        <v>55</v>
      </c>
      <c r="M177" s="96">
        <f>Stats!$B$8-N177</f>
        <v>4403117</v>
      </c>
      <c r="N177" s="97">
        <f>ROUND(Stats!$B$33/(1+(Stats!$B$34*EXP(-1*Stats!$B$32*(X177-$X$25)))),0)</f>
        <v>5635990</v>
      </c>
      <c r="O177" s="101">
        <f t="shared" si="288"/>
        <v>95.889009739193995</v>
      </c>
      <c r="P177" s="97">
        <f>ROUND(N177*(Stats!$I$14/100),0)</f>
        <v>136391</v>
      </c>
      <c r="Q177" s="101">
        <f t="shared" si="286"/>
        <v>95.934482480515584</v>
      </c>
      <c r="R177" s="109">
        <f xml:space="preserve"> ROUND(R176 - ((R176 / Stats!$B$27)*(Stats!$B$21*S176)),0)</f>
        <v>1325083</v>
      </c>
      <c r="S177" s="99">
        <f xml:space="preserve"> ROUND(S176 + (R176/Stats!$B$27)*(Stats!$B$21*S176)-(S176*Stats!$B$22),0)</f>
        <v>304</v>
      </c>
      <c r="T177" s="101">
        <f t="shared" si="289"/>
        <v>76115.460526315786</v>
      </c>
      <c r="U177" s="99">
        <f xml:space="preserve"> ROUND(U176 + (S176 * Stats!$B$22),0)</f>
        <v>8714249</v>
      </c>
      <c r="V177" s="99">
        <f>ROUND(S177*(Stats!$I$14/100),0)</f>
        <v>7</v>
      </c>
      <c r="W177" s="105">
        <f t="shared" si="287"/>
        <v>79114.28571428571</v>
      </c>
      <c r="X177" s="118">
        <v>175</v>
      </c>
      <c r="Y177" s="115">
        <f>GROWTH($Y$25:Y176,$X$25:X176,X177:$X$186,1)</f>
        <v>6577374996886268</v>
      </c>
      <c r="AA177" s="39">
        <f>GROWTH($AA$25:AA176,$X$25:X176,X177:$X$186,1)</f>
        <v>711093293759.18164</v>
      </c>
      <c r="AC177" s="39">
        <f>GROWTH($AC$25:AC176,$X$25:X176,X177:$X$186,1)</f>
        <v>4097959948.9435487</v>
      </c>
      <c r="AE177" s="124" t="s">
        <v>333</v>
      </c>
      <c r="AF177" s="140">
        <v>1098</v>
      </c>
      <c r="AG177" s="138">
        <f t="shared" si="310"/>
        <v>65</v>
      </c>
      <c r="AH177" s="138">
        <f t="shared" si="311"/>
        <v>6.1</v>
      </c>
      <c r="AI177" s="140">
        <v>8</v>
      </c>
      <c r="AJ177" s="138">
        <f t="shared" si="312"/>
        <v>0</v>
      </c>
      <c r="AK177" s="5">
        <f t="shared" si="313"/>
        <v>0</v>
      </c>
      <c r="AL177" s="5" t="str">
        <f t="shared" si="231"/>
        <v>1</v>
      </c>
      <c r="AM177" s="5" t="str">
        <f t="shared" si="232"/>
        <v>8</v>
      </c>
      <c r="AN177" s="5" t="str">
        <f t="shared" si="233"/>
        <v>0</v>
      </c>
      <c r="AO177" s="5" t="str">
        <f t="shared" si="234"/>
        <v>8</v>
      </c>
    </row>
    <row r="178" spans="1:41" x14ac:dyDescent="0.25">
      <c r="A178" s="37">
        <v>44066</v>
      </c>
      <c r="B178" s="121">
        <v>232893</v>
      </c>
      <c r="C178" s="6">
        <f t="shared" ref="C178:C181" si="384">B178-B177</f>
        <v>1198</v>
      </c>
      <c r="D178" s="19">
        <f t="shared" ref="D178:D181" si="385">ROUND(((B178/B177)-1)*100,2)</f>
        <v>0.52</v>
      </c>
      <c r="E178" s="35">
        <f t="shared" ref="E178:E181" si="386">IFERROR(ROUND((C178/B178)*10000,0),"")</f>
        <v>51</v>
      </c>
      <c r="F178" s="25">
        <f>ROUND((B178/Stats!$B$8)*100000,0)</f>
        <v>2320</v>
      </c>
      <c r="G178" s="22">
        <f>ROUND((C178/Stats!$B$8)*100000,0)</f>
        <v>12</v>
      </c>
      <c r="H178" s="213">
        <v>5558</v>
      </c>
      <c r="I178" s="6">
        <f t="shared" ref="I178:I181" si="387">H178-H177</f>
        <v>13</v>
      </c>
      <c r="J178" s="35">
        <f t="shared" ref="J178:J181" si="388">IFERROR(ROUND(((H178/H177)-1)*100,2),"")</f>
        <v>0.23</v>
      </c>
      <c r="K178" s="9">
        <f t="shared" si="285"/>
        <v>2.39</v>
      </c>
      <c r="L178" s="43">
        <f>ROUND(((H178/Stats!$B$8)*100000),0)</f>
        <v>55</v>
      </c>
      <c r="M178" s="96">
        <f>Stats!$B$8-N178</f>
        <v>4403117</v>
      </c>
      <c r="N178" s="97">
        <f>ROUND(Stats!$B$33/(1+(Stats!$B$34*EXP(-1*Stats!$B$32*(X178-$X$25)))),0)</f>
        <v>5635990</v>
      </c>
      <c r="O178" s="101">
        <f t="shared" si="288"/>
        <v>95.867753491400805</v>
      </c>
      <c r="P178" s="97">
        <f>ROUND(N178*(Stats!$I$14/100),0)</f>
        <v>136391</v>
      </c>
      <c r="Q178" s="101">
        <f t="shared" si="286"/>
        <v>95.924951059820657</v>
      </c>
      <c r="R178" s="109">
        <f xml:space="preserve"> ROUND(R177 - ((R177 / Stats!$B$27)*(Stats!$B$21*S177)),0)</f>
        <v>1325070</v>
      </c>
      <c r="S178" s="99">
        <f xml:space="preserve"> ROUND(S177 + (R177/Stats!$B$27)*(Stats!$B$21*S177)-(S177*Stats!$B$22),0)</f>
        <v>274</v>
      </c>
      <c r="T178" s="101">
        <f t="shared" si="289"/>
        <v>84897.445255474449</v>
      </c>
      <c r="U178" s="99">
        <f xml:space="preserve"> ROUND(U177 + (S177 * Stats!$B$22),0)</f>
        <v>8714292</v>
      </c>
      <c r="V178" s="99">
        <f>ROUND(S178*(Stats!$I$14/100),0)</f>
        <v>7</v>
      </c>
      <c r="W178" s="105">
        <f t="shared" si="287"/>
        <v>79300</v>
      </c>
      <c r="X178" s="118">
        <v>176</v>
      </c>
      <c r="Y178" s="115">
        <f>GROWTH($Y$25:Y177,$X$25:X177,X178:$X$186,1)</f>
        <v>8014125243471851</v>
      </c>
      <c r="AA178" s="39">
        <f>GROWTH($AA$25:AA177,$X$25:X177,X178:$X$186,1)</f>
        <v>814189151980.62756</v>
      </c>
      <c r="AC178" s="39">
        <f>GROWTH($AC$25:AC177,$X$25:X177,X178:$X$186,1)</f>
        <v>4526821950.670455</v>
      </c>
      <c r="AE178" s="124"/>
      <c r="AF178" s="140">
        <v>1198</v>
      </c>
      <c r="AG178" s="138">
        <f t="shared" si="310"/>
        <v>0</v>
      </c>
      <c r="AH178" s="138">
        <f t="shared" si="311"/>
        <v>0</v>
      </c>
      <c r="AI178" s="140">
        <v>13</v>
      </c>
      <c r="AJ178" s="138">
        <f t="shared" si="312"/>
        <v>0</v>
      </c>
      <c r="AK178" s="5">
        <f t="shared" si="313"/>
        <v>0</v>
      </c>
      <c r="AL178" s="5" t="str">
        <f t="shared" si="231"/>
        <v>1</v>
      </c>
      <c r="AM178" s="5" t="str">
        <f t="shared" si="232"/>
        <v>1</v>
      </c>
      <c r="AN178" s="5" t="str">
        <f t="shared" si="233"/>
        <v>1</v>
      </c>
      <c r="AO178" s="5" t="str">
        <f t="shared" si="234"/>
        <v>3</v>
      </c>
    </row>
    <row r="179" spans="1:41" x14ac:dyDescent="0.25">
      <c r="A179" s="37">
        <v>44067</v>
      </c>
      <c r="B179" s="121">
        <v>233777</v>
      </c>
      <c r="C179" s="6">
        <f t="shared" si="384"/>
        <v>884</v>
      </c>
      <c r="D179" s="19">
        <f t="shared" si="385"/>
        <v>0.38</v>
      </c>
      <c r="E179" s="35">
        <f t="shared" si="386"/>
        <v>38</v>
      </c>
      <c r="F179" s="25">
        <f>ROUND((B179/Stats!$B$8)*100000,0)</f>
        <v>2329</v>
      </c>
      <c r="G179" s="22">
        <f>ROUND((C179/Stats!$B$8)*100000,0)</f>
        <v>9</v>
      </c>
      <c r="H179" s="213">
        <v>5605</v>
      </c>
      <c r="I179" s="6">
        <f t="shared" si="387"/>
        <v>47</v>
      </c>
      <c r="J179" s="35">
        <f t="shared" si="388"/>
        <v>0.85</v>
      </c>
      <c r="K179" s="9">
        <f t="shared" si="285"/>
        <v>2.4</v>
      </c>
      <c r="L179" s="43">
        <f>ROUND(((H179/Stats!$B$8)*100000),0)</f>
        <v>56</v>
      </c>
      <c r="M179" s="96">
        <f>Stats!$B$8-N179</f>
        <v>4403117</v>
      </c>
      <c r="N179" s="97">
        <f>ROUND(Stats!$B$33/(1+(Stats!$B$34*EXP(-1*Stats!$B$32*(X179-$X$25)))),0)</f>
        <v>5635990</v>
      </c>
      <c r="O179" s="101">
        <f t="shared" si="288"/>
        <v>95.852068580675265</v>
      </c>
      <c r="P179" s="97">
        <f>ROUND(N179*(Stats!$I$14/100),0)</f>
        <v>136391</v>
      </c>
      <c r="Q179" s="101">
        <f t="shared" si="286"/>
        <v>95.890491308077515</v>
      </c>
      <c r="R179" s="109">
        <f xml:space="preserve"> ROUND(R178 - ((R178 / Stats!$B$27)*(Stats!$B$21*S178)),0)</f>
        <v>1325058</v>
      </c>
      <c r="S179" s="99">
        <f xml:space="preserve"> ROUND(S178 + (R178/Stats!$B$27)*(Stats!$B$21*S178)-(S178*Stats!$B$22),0)</f>
        <v>247</v>
      </c>
      <c r="T179" s="101">
        <f t="shared" si="289"/>
        <v>94546.558704453448</v>
      </c>
      <c r="U179" s="99">
        <f xml:space="preserve"> ROUND(U178 + (S178 * Stats!$B$22),0)</f>
        <v>8714331</v>
      </c>
      <c r="V179" s="99">
        <f>ROUND(S179*(Stats!$I$14/100),0)</f>
        <v>6</v>
      </c>
      <c r="W179" s="105">
        <f t="shared" si="287"/>
        <v>93316.666666666657</v>
      </c>
      <c r="X179" s="118">
        <v>177</v>
      </c>
      <c r="Y179" s="115">
        <f>GROWTH($Y$25:Y178,$X$25:X178,X179:$X$186,1)</f>
        <v>9764716691454724</v>
      </c>
      <c r="AA179" s="39">
        <f>GROWTH($AA$25:AA178,$X$25:X178,X179:$X$186,1)</f>
        <v>932232072810.73291</v>
      </c>
      <c r="AC179" s="39">
        <f>GROWTH($AC$25:AC178,$X$25:X178,X179:$X$186,1)</f>
        <v>5000565459.0047216</v>
      </c>
      <c r="AE179" s="124"/>
      <c r="AF179" s="140">
        <v>989</v>
      </c>
      <c r="AG179" s="138">
        <f t="shared" si="310"/>
        <v>105</v>
      </c>
      <c r="AH179" s="138">
        <f t="shared" si="311"/>
        <v>11.21</v>
      </c>
      <c r="AI179" s="140">
        <v>51</v>
      </c>
      <c r="AJ179" s="138">
        <f t="shared" si="312"/>
        <v>4</v>
      </c>
      <c r="AK179" s="5">
        <f t="shared" si="313"/>
        <v>8.16</v>
      </c>
      <c r="AL179" s="5" t="str">
        <f t="shared" si="231"/>
        <v>9</v>
      </c>
      <c r="AM179" s="5" t="str">
        <f t="shared" si="232"/>
        <v>5</v>
      </c>
      <c r="AN179" s="5" t="str">
        <f t="shared" si="233"/>
        <v>8</v>
      </c>
      <c r="AO179" s="5" t="str">
        <f t="shared" si="234"/>
        <v>1</v>
      </c>
    </row>
    <row r="180" spans="1:41" x14ac:dyDescent="0.25">
      <c r="A180" s="37">
        <v>44068</v>
      </c>
      <c r="B180" s="121">
        <v>235386</v>
      </c>
      <c r="C180" s="6">
        <f t="shared" si="384"/>
        <v>1609</v>
      </c>
      <c r="D180" s="19">
        <f t="shared" si="385"/>
        <v>0.69</v>
      </c>
      <c r="E180" s="35">
        <f t="shared" si="386"/>
        <v>68</v>
      </c>
      <c r="F180" s="25">
        <f>ROUND((B180/Stats!$B$8)*100000,0)</f>
        <v>2345</v>
      </c>
      <c r="G180" s="22">
        <f>ROUND((C180/Stats!$B$8)*100000,0)</f>
        <v>16</v>
      </c>
      <c r="H180" s="213">
        <v>5663</v>
      </c>
      <c r="I180" s="6">
        <f t="shared" si="387"/>
        <v>58</v>
      </c>
      <c r="J180" s="35">
        <f t="shared" si="388"/>
        <v>1.03</v>
      </c>
      <c r="K180" s="9">
        <f t="shared" si="285"/>
        <v>2.41</v>
      </c>
      <c r="L180" s="43">
        <f>ROUND(((H180/Stats!$B$8)*100000),0)</f>
        <v>56</v>
      </c>
      <c r="M180" s="96">
        <f>Stats!$B$8-N180</f>
        <v>4403117</v>
      </c>
      <c r="N180" s="97">
        <f>ROUND(Stats!$B$33/(1+(Stats!$B$34*EXP(-1*Stats!$B$32*(X180-$X$25)))),0)</f>
        <v>5635990</v>
      </c>
      <c r="O180" s="101">
        <f t="shared" si="288"/>
        <v>95.823519913981386</v>
      </c>
      <c r="P180" s="97">
        <f>ROUND(N180*(Stats!$I$14/100),0)</f>
        <v>136391</v>
      </c>
      <c r="Q180" s="101">
        <f t="shared" si="286"/>
        <v>95.847966508054043</v>
      </c>
      <c r="R180" s="109">
        <f xml:space="preserve"> ROUND(R179 - ((R179 / Stats!$B$27)*(Stats!$B$21*S179)),0)</f>
        <v>1325047</v>
      </c>
      <c r="S180" s="99">
        <f xml:space="preserve"> ROUND(S179 + (R179/Stats!$B$27)*(Stats!$B$21*S179)-(S179*Stats!$B$22),0)</f>
        <v>222</v>
      </c>
      <c r="T180" s="101">
        <f t="shared" si="289"/>
        <v>105929.72972972973</v>
      </c>
      <c r="U180" s="99">
        <f xml:space="preserve"> ROUND(U179 + (S179 * Stats!$B$22),0)</f>
        <v>8714366</v>
      </c>
      <c r="V180" s="99">
        <f>ROUND(S180*(Stats!$I$14/100),0)</f>
        <v>5</v>
      </c>
      <c r="W180" s="105">
        <f t="shared" si="287"/>
        <v>113159.99999999999</v>
      </c>
      <c r="X180" s="118">
        <v>178</v>
      </c>
      <c r="Y180" s="115">
        <f>GROWTH($Y$25:Y179,$X$25:X179,X180:$X$186,1)</f>
        <v>1.1897704261865114E+16</v>
      </c>
      <c r="AA180" s="39">
        <f>GROWTH($AA$25:AA179,$X$25:X179,X180:$X$186,1)</f>
        <v>1067389114019.6299</v>
      </c>
      <c r="AC180" s="39">
        <f>GROWTH($AC$25:AC179,$X$25:X179,X180:$X$186,1)</f>
        <v>5523887438.5345535</v>
      </c>
      <c r="AE180" s="124"/>
      <c r="AF180" s="140">
        <v>1642</v>
      </c>
      <c r="AG180" s="138">
        <f t="shared" si="310"/>
        <v>33</v>
      </c>
      <c r="AH180" s="138">
        <f t="shared" si="311"/>
        <v>2.0299999999999998</v>
      </c>
      <c r="AI180" s="140">
        <v>58</v>
      </c>
      <c r="AJ180" s="138">
        <f t="shared" si="312"/>
        <v>0</v>
      </c>
      <c r="AK180" s="5">
        <f t="shared" si="313"/>
        <v>0</v>
      </c>
      <c r="AL180" s="5" t="str">
        <f t="shared" si="231"/>
        <v>1</v>
      </c>
      <c r="AM180" s="5" t="str">
        <f t="shared" si="232"/>
        <v>5</v>
      </c>
      <c r="AN180" s="5" t="str">
        <f t="shared" si="233"/>
        <v>6</v>
      </c>
      <c r="AO180" s="5" t="str">
        <f t="shared" si="234"/>
        <v>8</v>
      </c>
    </row>
    <row r="181" spans="1:41" x14ac:dyDescent="0.25">
      <c r="A181" s="37">
        <v>44069</v>
      </c>
      <c r="B181" s="121">
        <v>236986</v>
      </c>
      <c r="C181" s="6">
        <f t="shared" si="384"/>
        <v>1600</v>
      </c>
      <c r="D181" s="19">
        <f t="shared" si="385"/>
        <v>0.68</v>
      </c>
      <c r="E181" s="35">
        <f t="shared" si="386"/>
        <v>68</v>
      </c>
      <c r="F181" s="25">
        <f>ROUND((B181/Stats!$B$8)*100000,0)</f>
        <v>2361</v>
      </c>
      <c r="G181" s="22">
        <f>ROUND((C181/Stats!$B$8)*100000,0)</f>
        <v>16</v>
      </c>
      <c r="H181" s="213">
        <v>5701</v>
      </c>
      <c r="I181" s="6">
        <f t="shared" si="387"/>
        <v>38</v>
      </c>
      <c r="J181" s="35">
        <f t="shared" si="388"/>
        <v>0.67</v>
      </c>
      <c r="K181" s="9">
        <f t="shared" si="285"/>
        <v>2.41</v>
      </c>
      <c r="L181" s="43">
        <f>ROUND(((H181/Stats!$B$8)*100000),0)</f>
        <v>57</v>
      </c>
      <c r="M181" s="96">
        <f>Stats!$B$8-N181</f>
        <v>4403117</v>
      </c>
      <c r="N181" s="97">
        <f>ROUND(Stats!$B$33/(1+(Stats!$B$34*EXP(-1*Stats!$B$32*(X181-$X$25)))),0)</f>
        <v>5635990</v>
      </c>
      <c r="O181" s="101">
        <f t="shared" si="288"/>
        <v>95.795130935292647</v>
      </c>
      <c r="P181" s="97">
        <f>ROUND(N181*(Stats!$I$14/100),0)</f>
        <v>136391</v>
      </c>
      <c r="Q181" s="101">
        <f t="shared" si="286"/>
        <v>95.820105432176604</v>
      </c>
      <c r="R181" s="109">
        <f xml:space="preserve"> ROUND(R180 - ((R180 / Stats!$B$27)*(Stats!$B$21*S180)),0)</f>
        <v>1325037</v>
      </c>
      <c r="S181" s="99">
        <f xml:space="preserve"> ROUND(S180 + (R180/Stats!$B$27)*(Stats!$B$21*S180)-(S180*Stats!$B$22),0)</f>
        <v>200</v>
      </c>
      <c r="T181" s="101">
        <f t="shared" si="289"/>
        <v>118393</v>
      </c>
      <c r="U181" s="99">
        <f xml:space="preserve"> ROUND(U180 + (S180 * Stats!$B$22),0)</f>
        <v>8714398</v>
      </c>
      <c r="V181" s="99">
        <f>ROUND(S181*(Stats!$I$14/100),0)</f>
        <v>5</v>
      </c>
      <c r="W181" s="105">
        <f t="shared" si="287"/>
        <v>113920</v>
      </c>
      <c r="X181" s="118">
        <v>179</v>
      </c>
      <c r="Y181" s="115">
        <f>GROWTH($Y$25:Y180,$X$25:X180,X181:$X$186,1)</f>
        <v>1.44966178923223E+16</v>
      </c>
      <c r="AA181" s="39">
        <f>GROWTH($AA$25:AA180,$X$25:X180,X181:$X$186,1)</f>
        <v>1222141518144.1902</v>
      </c>
      <c r="AC181" s="39">
        <f>GROWTH($AC$25:AC180,$X$25:X180,X181:$X$186,1)</f>
        <v>6101976403.2192287</v>
      </c>
      <c r="AE181" s="124"/>
      <c r="AF181" s="140">
        <v>1636</v>
      </c>
      <c r="AG181" s="138">
        <f t="shared" si="310"/>
        <v>36</v>
      </c>
      <c r="AH181" s="138">
        <f t="shared" si="311"/>
        <v>2.2200000000000002</v>
      </c>
      <c r="AI181" s="140">
        <v>38</v>
      </c>
      <c r="AJ181" s="138">
        <f t="shared" si="312"/>
        <v>0</v>
      </c>
      <c r="AK181" s="5">
        <f t="shared" si="313"/>
        <v>0</v>
      </c>
      <c r="AL181" s="5" t="str">
        <f t="shared" si="231"/>
        <v>1</v>
      </c>
      <c r="AM181" s="5" t="str">
        <f t="shared" si="232"/>
        <v>3</v>
      </c>
      <c r="AN181" s="5" t="str">
        <f t="shared" si="233"/>
        <v>6</v>
      </c>
      <c r="AO181" s="5" t="str">
        <f t="shared" si="234"/>
        <v>8</v>
      </c>
    </row>
    <row r="182" spans="1:41" x14ac:dyDescent="0.25">
      <c r="A182" s="37">
        <v>44070</v>
      </c>
      <c r="B182" s="121">
        <v>238458</v>
      </c>
      <c r="C182" s="6">
        <f t="shared" ref="C182:C184" si="389">B182-B181</f>
        <v>1472</v>
      </c>
      <c r="D182" s="19">
        <f t="shared" ref="D182:D184" si="390">ROUND(((B182/B181)-1)*100,2)</f>
        <v>0.62</v>
      </c>
      <c r="E182" s="35">
        <f t="shared" ref="E182:E184" si="391">IFERROR(ROUND((C182/B182)*10000,0),"")</f>
        <v>62</v>
      </c>
      <c r="F182" s="25">
        <f>ROUND((B182/Stats!$B$8)*100000,0)</f>
        <v>2375</v>
      </c>
      <c r="G182" s="22">
        <f>ROUND((C182/Stats!$B$8)*100000,0)</f>
        <v>15</v>
      </c>
      <c r="H182" s="213">
        <v>5732</v>
      </c>
      <c r="I182" s="6">
        <f t="shared" ref="I182:I184" si="392">H182-H181</f>
        <v>31</v>
      </c>
      <c r="J182" s="35">
        <f t="shared" ref="J182:J184" si="393">IFERROR(ROUND(((H182/H181)-1)*100,2),"")</f>
        <v>0.54</v>
      </c>
      <c r="K182" s="9">
        <f t="shared" si="285"/>
        <v>2.4</v>
      </c>
      <c r="L182" s="43">
        <f>ROUND(((H182/Stats!$B$8)*100000),0)</f>
        <v>57</v>
      </c>
      <c r="M182" s="96">
        <f>Stats!$B$8-N182</f>
        <v>4403117</v>
      </c>
      <c r="N182" s="97">
        <f>ROUND(Stats!$B$33/(1+(Stats!$B$34*EXP(-1*Stats!$B$32*(X182-$X$25)))),0)</f>
        <v>5635990</v>
      </c>
      <c r="O182" s="101">
        <f t="shared" si="288"/>
        <v>95.769013074899007</v>
      </c>
      <c r="P182" s="97">
        <f>ROUND(N182*(Stats!$I$14/100),0)</f>
        <v>136391</v>
      </c>
      <c r="Q182" s="101">
        <f t="shared" si="286"/>
        <v>95.797376659750284</v>
      </c>
      <c r="R182" s="109">
        <f xml:space="preserve"> ROUND(R181 - ((R181 / Stats!$B$27)*(Stats!$B$21*S181)),0)</f>
        <v>1325028</v>
      </c>
      <c r="S182" s="99">
        <f xml:space="preserve"> ROUND(S181 + (R181/Stats!$B$27)*(Stats!$B$21*S181)-(S181*Stats!$B$22),0)</f>
        <v>180</v>
      </c>
      <c r="T182" s="101">
        <f t="shared" si="289"/>
        <v>132376.66666666666</v>
      </c>
      <c r="U182" s="99">
        <f xml:space="preserve"> ROUND(U181 + (S181 * Stats!$B$22),0)</f>
        <v>8714427</v>
      </c>
      <c r="V182" s="99">
        <f>ROUND(S182*(Stats!$I$14/100),0)</f>
        <v>4</v>
      </c>
      <c r="W182" s="105">
        <f t="shared" si="287"/>
        <v>143200</v>
      </c>
      <c r="X182" s="118">
        <v>180</v>
      </c>
      <c r="Y182" s="115">
        <f>GROWTH($Y$25:Y181,$X$25:X181,X182:$X$186,1)</f>
        <v>1.766323365336828E+16</v>
      </c>
      <c r="AA182" s="39">
        <f>GROWTH($AA$25:AA181,$X$25:X181,X182:$X$186,1)</f>
        <v>1399330263681.4338</v>
      </c>
      <c r="AC182" s="39">
        <f>GROWTH($AC$25:AC181,$X$25:X181,X182:$X$186,1)</f>
        <v>6740563858.2893009</v>
      </c>
      <c r="AE182" s="124"/>
      <c r="AF182" s="140">
        <v>1509</v>
      </c>
      <c r="AG182" s="138">
        <f t="shared" si="310"/>
        <v>37</v>
      </c>
      <c r="AH182" s="138">
        <f t="shared" si="311"/>
        <v>2.48</v>
      </c>
      <c r="AI182" s="140">
        <v>31</v>
      </c>
      <c r="AJ182" s="138">
        <f t="shared" si="312"/>
        <v>0</v>
      </c>
      <c r="AK182" s="5">
        <f t="shared" si="313"/>
        <v>0</v>
      </c>
      <c r="AL182" s="5" t="str">
        <f t="shared" si="231"/>
        <v>1</v>
      </c>
      <c r="AM182" s="5" t="str">
        <f t="shared" si="232"/>
        <v>3</v>
      </c>
      <c r="AN182" s="5" t="str">
        <f t="shared" si="233"/>
        <v>5</v>
      </c>
      <c r="AO182" s="5" t="str">
        <f t="shared" si="234"/>
        <v>1</v>
      </c>
    </row>
    <row r="183" spans="1:41" x14ac:dyDescent="0.25">
      <c r="A183" s="37">
        <v>44071</v>
      </c>
      <c r="B183" s="121">
        <v>239756</v>
      </c>
      <c r="C183" s="6">
        <f t="shared" si="389"/>
        <v>1298</v>
      </c>
      <c r="D183" s="19">
        <f t="shared" si="390"/>
        <v>0.54</v>
      </c>
      <c r="E183" s="35">
        <f t="shared" si="391"/>
        <v>54</v>
      </c>
      <c r="F183" s="25">
        <f>ROUND((B183/Stats!$B$8)*100000,0)</f>
        <v>2388</v>
      </c>
      <c r="G183" s="22">
        <f>ROUND((C183/Stats!$B$8)*100000,0)</f>
        <v>13</v>
      </c>
      <c r="H183" s="213">
        <v>5759</v>
      </c>
      <c r="I183" s="6">
        <f t="shared" si="392"/>
        <v>27</v>
      </c>
      <c r="J183" s="35">
        <f t="shared" si="393"/>
        <v>0.47</v>
      </c>
      <c r="K183" s="9">
        <f t="shared" si="285"/>
        <v>2.4</v>
      </c>
      <c r="L183" s="43">
        <f>ROUND(((H183/Stats!$B$8)*100000),0)</f>
        <v>57</v>
      </c>
      <c r="M183" s="96">
        <f>Stats!$B$8-N183</f>
        <v>4403117</v>
      </c>
      <c r="N183" s="97">
        <f>ROUND(Stats!$B$33/(1+(Stats!$B$34*EXP(-1*Stats!$B$32*(X183-$X$25)))),0)</f>
        <v>5635990</v>
      </c>
      <c r="O183" s="101">
        <f t="shared" si="288"/>
        <v>95.745982515937754</v>
      </c>
      <c r="P183" s="97">
        <f>ROUND(N183*(Stats!$I$14/100),0)</f>
        <v>136391</v>
      </c>
      <c r="Q183" s="101">
        <f t="shared" si="286"/>
        <v>95.777580632153146</v>
      </c>
      <c r="R183" s="109">
        <f xml:space="preserve"> ROUND(R182 - ((R182 / Stats!$B$27)*(Stats!$B$21*S182)),0)</f>
        <v>1325020</v>
      </c>
      <c r="S183" s="99">
        <f xml:space="preserve"> ROUND(S182 + (R182/Stats!$B$27)*(Stats!$B$21*S182)-(S182*Stats!$B$22),0)</f>
        <v>162</v>
      </c>
      <c r="T183" s="101">
        <f t="shared" si="289"/>
        <v>147897.53086419753</v>
      </c>
      <c r="U183" s="99">
        <f xml:space="preserve"> ROUND(U182 + (S182 * Stats!$B$22),0)</f>
        <v>8714453</v>
      </c>
      <c r="V183" s="99">
        <f>ROUND(S183*(Stats!$I$14/100),0)</f>
        <v>4</v>
      </c>
      <c r="W183" s="105">
        <f t="shared" si="287"/>
        <v>143875</v>
      </c>
      <c r="X183" s="118">
        <v>181</v>
      </c>
      <c r="Y183" s="115">
        <f>GROWTH($Y$25:Y182,$X$25:X182,X183:$X$186,1)</f>
        <v>2.15215594017083E+16</v>
      </c>
      <c r="AA183" s="39">
        <f>GROWTH($AA$25:AA182,$X$25:X182,X183:$X$186,1)</f>
        <v>1602208220393.4575</v>
      </c>
      <c r="AC183" s="39">
        <f>GROWTH($AC$25:AC182,$X$25:X182,X183:$X$186,1)</f>
        <v>7445981125.673583</v>
      </c>
      <c r="AE183" s="124"/>
      <c r="AF183" s="140">
        <v>1339</v>
      </c>
      <c r="AG183" s="138">
        <f t="shared" si="310"/>
        <v>41</v>
      </c>
      <c r="AH183" s="138">
        <f t="shared" si="311"/>
        <v>3.11</v>
      </c>
      <c r="AI183" s="140">
        <v>27</v>
      </c>
      <c r="AJ183" s="138">
        <f t="shared" si="312"/>
        <v>0</v>
      </c>
      <c r="AK183" s="5">
        <f t="shared" si="313"/>
        <v>0</v>
      </c>
      <c r="AL183" s="5" t="str">
        <f t="shared" si="231"/>
        <v>1</v>
      </c>
      <c r="AM183" s="5" t="str">
        <f t="shared" si="232"/>
        <v>2</v>
      </c>
      <c r="AN183" s="5" t="str">
        <f t="shared" si="233"/>
        <v>3</v>
      </c>
      <c r="AO183" s="5" t="str">
        <f t="shared" si="234"/>
        <v>7</v>
      </c>
    </row>
    <row r="184" spans="1:41" x14ac:dyDescent="0.25">
      <c r="A184" s="37">
        <v>44072</v>
      </c>
      <c r="B184" s="121">
        <v>240749</v>
      </c>
      <c r="C184" s="6">
        <f t="shared" si="389"/>
        <v>993</v>
      </c>
      <c r="D184" s="19">
        <f t="shared" si="390"/>
        <v>0.41</v>
      </c>
      <c r="E184" s="35">
        <f t="shared" si="391"/>
        <v>41</v>
      </c>
      <c r="F184" s="25">
        <f>ROUND((B184/Stats!$B$8)*100000,0)</f>
        <v>2398</v>
      </c>
      <c r="G184" s="22">
        <f>ROUND((C184/Stats!$B$8)*100000,0)</f>
        <v>10</v>
      </c>
      <c r="H184" s="213">
        <v>5769</v>
      </c>
      <c r="I184" s="6">
        <f t="shared" si="392"/>
        <v>10</v>
      </c>
      <c r="J184" s="35">
        <f t="shared" si="393"/>
        <v>0.17</v>
      </c>
      <c r="K184" s="9">
        <f t="shared" si="285"/>
        <v>2.4</v>
      </c>
      <c r="L184" s="43">
        <f>ROUND(((H184/Stats!$B$8)*100000),0)</f>
        <v>57</v>
      </c>
      <c r="M184" s="96">
        <f>Stats!$B$8-N184</f>
        <v>4403117</v>
      </c>
      <c r="N184" s="97">
        <f>ROUND(Stats!$B$33/(1+(Stats!$B$34*EXP(-1*Stats!$B$32*(X184-$X$25)))),0)</f>
        <v>5635990</v>
      </c>
      <c r="O184" s="101">
        <f t="shared" si="288"/>
        <v>95.728363606039039</v>
      </c>
      <c r="P184" s="97">
        <f>ROUND(N184*(Stats!$I$14/100),0)</f>
        <v>136391</v>
      </c>
      <c r="Q184" s="101">
        <f t="shared" si="286"/>
        <v>95.77024877008013</v>
      </c>
      <c r="R184" s="109">
        <f xml:space="preserve"> ROUND(R183 - ((R183 / Stats!$B$27)*(Stats!$B$21*S183)),0)</f>
        <v>1325013</v>
      </c>
      <c r="S184" s="99">
        <f xml:space="preserve"> ROUND(S183 + (R183/Stats!$B$27)*(Stats!$B$21*S183)-(S183*Stats!$B$22),0)</f>
        <v>146</v>
      </c>
      <c r="T184" s="101">
        <f t="shared" si="289"/>
        <v>164796.57534246575</v>
      </c>
      <c r="U184" s="99">
        <f xml:space="preserve"> ROUND(U183 + (S183 * Stats!$B$22),0)</f>
        <v>8714476</v>
      </c>
      <c r="V184" s="99">
        <f>ROUND(S184*(Stats!$I$14/100),0)</f>
        <v>4</v>
      </c>
      <c r="W184" s="105">
        <f t="shared" si="287"/>
        <v>144125</v>
      </c>
      <c r="X184" s="118">
        <v>182</v>
      </c>
      <c r="Y184" s="115">
        <f>GROWTH($Y$25:Y183,$X$25:X183,X184:$X$186,1)</f>
        <v>2.6222691052548964E+16</v>
      </c>
      <c r="AA184" s="39">
        <f>GROWTH($AA$25:AA183,$X$25:X183,X184:$X$186,1)</f>
        <v>1834499866202.2515</v>
      </c>
      <c r="AC184" s="39">
        <f>GROWTH($AC$25:AC183,$X$25:X183,X184:$X$186,1)</f>
        <v>8225222116.3524599</v>
      </c>
      <c r="AE184" s="124"/>
      <c r="AF184" s="140">
        <v>1030</v>
      </c>
      <c r="AG184" s="138">
        <f t="shared" si="310"/>
        <v>37</v>
      </c>
      <c r="AH184" s="138">
        <f t="shared" si="311"/>
        <v>3.66</v>
      </c>
      <c r="AI184" s="140">
        <v>10</v>
      </c>
      <c r="AJ184" s="138">
        <f t="shared" si="312"/>
        <v>0</v>
      </c>
      <c r="AK184" s="5">
        <f t="shared" si="313"/>
        <v>0</v>
      </c>
      <c r="AL184" s="5" t="str">
        <f t="shared" si="231"/>
        <v>1</v>
      </c>
      <c r="AM184" s="5" t="str">
        <f t="shared" si="232"/>
        <v>1</v>
      </c>
      <c r="AN184" s="5" t="str">
        <f t="shared" si="233"/>
        <v>0</v>
      </c>
      <c r="AO184" s="5" t="str">
        <f t="shared" si="234"/>
        <v>0</v>
      </c>
    </row>
    <row r="185" spans="1:41" x14ac:dyDescent="0.25">
      <c r="A185" s="37">
        <v>44073</v>
      </c>
      <c r="B185" s="121">
        <v>241768</v>
      </c>
      <c r="C185" s="6">
        <f t="shared" ref="C185" si="394">B185-B184</f>
        <v>1019</v>
      </c>
      <c r="D185" s="19">
        <f t="shared" ref="D185" si="395">ROUND(((B185/B184)-1)*100,2)</f>
        <v>0.42</v>
      </c>
      <c r="E185" s="35">
        <f t="shared" ref="E185" si="396">IFERROR(ROUND((C185/B185)*10000,0),"")</f>
        <v>42</v>
      </c>
      <c r="F185" s="25">
        <f>ROUND((B185/Stats!$B$8)*100000,0)</f>
        <v>2408</v>
      </c>
      <c r="G185" s="22">
        <f>ROUND((C185/Stats!$B$8)*100000,0)</f>
        <v>10</v>
      </c>
      <c r="H185" s="213">
        <v>5784</v>
      </c>
      <c r="I185" s="6">
        <f t="shared" ref="I185" si="397">H185-H184</f>
        <v>15</v>
      </c>
      <c r="J185" s="35">
        <f t="shared" ref="J185" si="398">IFERROR(ROUND(((H185/H184)-1)*100,2),"")</f>
        <v>0.26</v>
      </c>
      <c r="K185" s="9">
        <f t="shared" ref="K185:K213" si="399">IFERROR(ROUND(100*(H185/B185),2),"")</f>
        <v>2.39</v>
      </c>
      <c r="L185" s="43">
        <f>ROUND(((H185/Stats!$B$8)*100000),0)</f>
        <v>58</v>
      </c>
      <c r="M185" s="96">
        <f>Stats!$B$8-N185</f>
        <v>4403117</v>
      </c>
      <c r="N185" s="97">
        <f>ROUND(Stats!$B$33/(1+(Stats!$B$34*EXP(-1*Stats!$B$32*(X185-$X$25)))),0)</f>
        <v>5635990</v>
      </c>
      <c r="O185" s="101">
        <f t="shared" si="288"/>
        <v>95.710283375236642</v>
      </c>
      <c r="P185" s="97">
        <f>ROUND(N185*(Stats!$I$14/100),0)</f>
        <v>136391</v>
      </c>
      <c r="Q185" s="101">
        <f t="shared" si="286"/>
        <v>95.75925097697062</v>
      </c>
      <c r="R185" s="109">
        <f xml:space="preserve"> ROUND(R184 - ((R184 / Stats!$B$27)*(Stats!$B$21*S184)),0)</f>
        <v>1325007</v>
      </c>
      <c r="S185" s="99">
        <f xml:space="preserve"> ROUND(S184 + (R184/Stats!$B$27)*(Stats!$B$21*S184)-(S184*Stats!$B$22),0)</f>
        <v>131</v>
      </c>
      <c r="T185" s="101">
        <f t="shared" si="289"/>
        <v>184455.7251908397</v>
      </c>
      <c r="U185" s="99">
        <f xml:space="preserve"> ROUND(U184 + (S184 * Stats!$B$22),0)</f>
        <v>8714497</v>
      </c>
      <c r="V185" s="99">
        <f>ROUND(S185*(Stats!$I$14/100),0)</f>
        <v>3</v>
      </c>
      <c r="W185" s="105">
        <f t="shared" si="287"/>
        <v>192700</v>
      </c>
      <c r="X185" s="118">
        <v>183</v>
      </c>
      <c r="Y185" s="115">
        <f>GROWTH($Y$25:Y184,$X$25:X184,X185:$X$186,1)</f>
        <v>3.1950729647539048E+16</v>
      </c>
      <c r="AA185" s="39">
        <f>GROWTH($AA$25:AA184,$X$25:X184,X185:$X$186,1)</f>
        <v>2100469661970.4385</v>
      </c>
      <c r="AC185" s="39">
        <f>GROWTH($AC$25:AC184,$X$25:X184,X185:$X$186,1)</f>
        <v>9086012671.9986954</v>
      </c>
      <c r="AE185" s="124"/>
      <c r="AF185" s="140">
        <v>1022</v>
      </c>
      <c r="AG185" s="138">
        <f t="shared" si="310"/>
        <v>3</v>
      </c>
      <c r="AH185" s="138">
        <f t="shared" si="311"/>
        <v>0.28999999999999998</v>
      </c>
      <c r="AI185" s="140">
        <v>16</v>
      </c>
      <c r="AJ185" s="138">
        <f t="shared" si="312"/>
        <v>1</v>
      </c>
      <c r="AK185" s="5">
        <f t="shared" si="313"/>
        <v>6.45</v>
      </c>
      <c r="AL185" s="5" t="str">
        <f t="shared" si="231"/>
        <v>1</v>
      </c>
      <c r="AM185" s="5" t="str">
        <f t="shared" si="232"/>
        <v>1</v>
      </c>
      <c r="AN185" s="5" t="str">
        <f t="shared" si="233"/>
        <v>0</v>
      </c>
      <c r="AO185" s="5" t="str">
        <f t="shared" si="234"/>
        <v>6</v>
      </c>
    </row>
    <row r="186" spans="1:41" ht="30.75" thickBot="1" x14ac:dyDescent="0.3">
      <c r="A186" s="205">
        <v>44074</v>
      </c>
      <c r="B186" s="122">
        <v>242521</v>
      </c>
      <c r="C186" s="17">
        <f t="shared" ref="C186" si="400">B186-B185</f>
        <v>753</v>
      </c>
      <c r="D186" s="20">
        <f t="shared" ref="D186" si="401">ROUND(((B186/B185)-1)*100,2)</f>
        <v>0.31</v>
      </c>
      <c r="E186" s="36">
        <f t="shared" ref="E186" si="402">IFERROR(ROUND((C186/B186)*10000,0),"")</f>
        <v>31</v>
      </c>
      <c r="F186" s="26">
        <f>ROUND((B186/Stats!$B$8)*100000,0)</f>
        <v>2416</v>
      </c>
      <c r="G186" s="23">
        <f>ROUND((C186/Stats!$B$8)*100000,0)</f>
        <v>8</v>
      </c>
      <c r="H186" s="214">
        <v>5829</v>
      </c>
      <c r="I186" s="17">
        <f t="shared" ref="I186" si="403">H186-H185</f>
        <v>45</v>
      </c>
      <c r="J186" s="36">
        <f t="shared" ref="J186" si="404">IFERROR(ROUND(((H186/H185)-1)*100,2),"")</f>
        <v>0.78</v>
      </c>
      <c r="K186" s="11">
        <f t="shared" si="399"/>
        <v>2.4</v>
      </c>
      <c r="L186" s="208">
        <f>ROUND(((H186/Stats!$B$8)*100000),0)</f>
        <v>58</v>
      </c>
      <c r="M186" s="106">
        <f>Stats!$B$8-N186</f>
        <v>4403117</v>
      </c>
      <c r="N186" s="54">
        <f>ROUND(Stats!$B$33/(1+(Stats!$B$34*EXP(-1*Stats!$B$32*(X186-$X$25)))),0)</f>
        <v>5635990</v>
      </c>
      <c r="O186" s="12">
        <f t="shared" si="288"/>
        <v>95.696922812141267</v>
      </c>
      <c r="P186" s="54">
        <f>ROUND(N186*(Stats!$I$14/100),0)</f>
        <v>136391</v>
      </c>
      <c r="Q186" s="12">
        <f t="shared" si="286"/>
        <v>95.726257597642075</v>
      </c>
      <c r="R186" s="111">
        <f xml:space="preserve"> ROUND(R185 - ((R185 / Stats!$B$27)*(Stats!$B$21*S185)),0)</f>
        <v>1325001</v>
      </c>
      <c r="S186" s="56">
        <f xml:space="preserve"> ROUND(S185 + (R185/Stats!$B$27)*(Stats!$B$21*S185)-(S185*Stats!$B$22),0)</f>
        <v>118</v>
      </c>
      <c r="T186" s="12">
        <f t="shared" si="289"/>
        <v>205426.27118644069</v>
      </c>
      <c r="U186" s="56">
        <f xml:space="preserve"> ROUND(U185 + (S185 * Stats!$B$22),0)</f>
        <v>8714516</v>
      </c>
      <c r="V186" s="56">
        <f>ROUND(S186*(Stats!$I$14/100),0)</f>
        <v>3</v>
      </c>
      <c r="W186" s="107">
        <f t="shared" si="287"/>
        <v>194200</v>
      </c>
      <c r="X186" s="119">
        <v>184</v>
      </c>
      <c r="Y186" s="116">
        <f>GROWTH($Y$25:Y185,$X$25:X185,X186:$X$186,1)</f>
        <v>3.8929990936643512E+16</v>
      </c>
      <c r="Z186" s="12"/>
      <c r="AA186" s="40">
        <f>GROWTH($AA$25:AA185,$X$25:X185,X186:$X$186,1)</f>
        <v>2405000339406.8345</v>
      </c>
      <c r="AB186" s="12"/>
      <c r="AC186" s="40">
        <f>GROWTH($AC$25:AC185,$X$25:X185,X186:$X$186,1)</f>
        <v>10036887163.398762</v>
      </c>
      <c r="AD186" s="107"/>
      <c r="AE186" s="207" t="s">
        <v>334</v>
      </c>
      <c r="AF186" s="140">
        <v>840</v>
      </c>
      <c r="AG186" s="138">
        <f t="shared" si="310"/>
        <v>87</v>
      </c>
      <c r="AH186" s="138">
        <f t="shared" si="311"/>
        <v>10.92</v>
      </c>
      <c r="AI186" s="140">
        <v>45</v>
      </c>
      <c r="AJ186" s="138">
        <f t="shared" si="312"/>
        <v>0</v>
      </c>
      <c r="AK186" s="5">
        <f t="shared" si="313"/>
        <v>0</v>
      </c>
      <c r="AL186" s="5" t="str">
        <f t="shared" si="231"/>
        <v>8</v>
      </c>
      <c r="AM186" s="5" t="str">
        <f t="shared" si="232"/>
        <v>4</v>
      </c>
      <c r="AN186" s="5" t="str">
        <f t="shared" si="233"/>
        <v>4</v>
      </c>
      <c r="AO186" s="5" t="str">
        <f t="shared" si="234"/>
        <v>5</v>
      </c>
    </row>
    <row r="187" spans="1:41" ht="15.75" thickTop="1" x14ac:dyDescent="0.25">
      <c r="A187" s="206">
        <v>44075</v>
      </c>
      <c r="B187" s="121">
        <v>243935</v>
      </c>
      <c r="C187" s="6">
        <f t="shared" ref="C187:C192" si="405">B187-B186</f>
        <v>1414</v>
      </c>
      <c r="D187" s="19">
        <f t="shared" ref="D187:D192" si="406">ROUND(((B187/B186)-1)*100,2)</f>
        <v>0.57999999999999996</v>
      </c>
      <c r="E187" s="35">
        <f t="shared" ref="E187:E192" si="407">IFERROR(ROUND((C187/B187)*10000,0),"")</f>
        <v>58</v>
      </c>
      <c r="F187" s="25">
        <f>ROUND((B187/Stats!$B$8)*100000,0)</f>
        <v>2430</v>
      </c>
      <c r="G187" s="22">
        <f>ROUND((C187/Stats!$B$8)*100000,0)</f>
        <v>14</v>
      </c>
      <c r="H187" s="213">
        <v>5878</v>
      </c>
      <c r="I187" s="6">
        <f t="shared" ref="I187:I192" si="408">H187-H186</f>
        <v>49</v>
      </c>
      <c r="J187" s="35">
        <f t="shared" ref="J187:J192" si="409">IFERROR(ROUND(((H187/H186)-1)*100,2),"")</f>
        <v>0.84</v>
      </c>
      <c r="K187" s="9">
        <f t="shared" si="399"/>
        <v>2.41</v>
      </c>
      <c r="L187" s="43">
        <f>ROUND(((H187/Stats!$B$8)*100000),0)</f>
        <v>59</v>
      </c>
      <c r="M187" s="96">
        <f>Stats!$B$8-N187</f>
        <v>4403117</v>
      </c>
      <c r="N187" s="97">
        <f>ROUND(Stats!$B$33/(1+(Stats!$B$34*EXP(-1*Stats!$B$32*(X187-$X$25)))),0)</f>
        <v>5635990</v>
      </c>
      <c r="O187" s="101">
        <f t="shared" ref="O187:O250" si="410">IFERROR(ABS((($B187/N187)-1)*100),"")</f>
        <v>95.67183405222508</v>
      </c>
      <c r="P187" s="97">
        <f>ROUND(N187*(Stats!$I$14/100),0)</f>
        <v>136391</v>
      </c>
      <c r="Q187" s="101">
        <f t="shared" si="286"/>
        <v>95.690331473484321</v>
      </c>
      <c r="R187" s="109">
        <f xml:space="preserve"> ROUND(R186 - ((R186 / Stats!$B$27)*(Stats!$B$21*S186)),0)</f>
        <v>1324996</v>
      </c>
      <c r="S187" s="99">
        <f xml:space="preserve"> ROUND(S186 + (R186/Stats!$B$27)*(Stats!$B$21*S186)-(S186*Stats!$B$22),0)</f>
        <v>106</v>
      </c>
      <c r="T187" s="101">
        <f t="shared" ref="T187:T250" si="411">IFERROR(ABS((($B187/S187)-1)*100),"")</f>
        <v>230027.35849056602</v>
      </c>
      <c r="U187" s="99">
        <f xml:space="preserve"> ROUND(U186 + (S186 * Stats!$B$22),0)</f>
        <v>8714533</v>
      </c>
      <c r="V187" s="99">
        <f>ROUND(S187*(Stats!$I$14/100),0)</f>
        <v>3</v>
      </c>
      <c r="W187" s="105">
        <f t="shared" si="287"/>
        <v>195833.33333333331</v>
      </c>
      <c r="X187" s="204">
        <v>185</v>
      </c>
      <c r="AD187" s="105"/>
      <c r="AF187" s="140">
        <v>1457</v>
      </c>
      <c r="AG187" s="138">
        <f t="shared" si="310"/>
        <v>43</v>
      </c>
      <c r="AH187" s="138">
        <f t="shared" si="311"/>
        <v>3</v>
      </c>
      <c r="AI187" s="140">
        <v>51</v>
      </c>
      <c r="AJ187" s="138">
        <f t="shared" si="312"/>
        <v>2</v>
      </c>
      <c r="AK187" s="5">
        <f t="shared" si="313"/>
        <v>4</v>
      </c>
      <c r="AL187" s="5" t="str">
        <f t="shared" si="231"/>
        <v>1</v>
      </c>
      <c r="AM187" s="5" t="str">
        <f t="shared" si="232"/>
        <v>5</v>
      </c>
      <c r="AN187" s="5" t="str">
        <f t="shared" si="233"/>
        <v>4</v>
      </c>
      <c r="AO187" s="5" t="str">
        <f t="shared" si="234"/>
        <v>1</v>
      </c>
    </row>
    <row r="188" spans="1:41" x14ac:dyDescent="0.25">
      <c r="A188" s="206">
        <v>44076</v>
      </c>
      <c r="B188" s="121">
        <v>244999</v>
      </c>
      <c r="C188" s="6">
        <f t="shared" si="405"/>
        <v>1064</v>
      </c>
      <c r="D188" s="19">
        <f t="shared" si="406"/>
        <v>0.44</v>
      </c>
      <c r="E188" s="35">
        <f t="shared" si="407"/>
        <v>43</v>
      </c>
      <c r="F188" s="25">
        <f>ROUND((B188/Stats!$B$8)*100000,0)</f>
        <v>2440</v>
      </c>
      <c r="G188" s="22">
        <f>ROUND((C188/Stats!$B$8)*100000,0)</f>
        <v>11</v>
      </c>
      <c r="H188" s="213">
        <v>5932</v>
      </c>
      <c r="I188" s="6">
        <f t="shared" si="408"/>
        <v>54</v>
      </c>
      <c r="J188" s="35">
        <f t="shared" si="409"/>
        <v>0.92</v>
      </c>
      <c r="K188" s="9">
        <f t="shared" si="399"/>
        <v>2.42</v>
      </c>
      <c r="L188" s="43">
        <f>ROUND(((H188/Stats!$B$8)*100000),0)</f>
        <v>59</v>
      </c>
      <c r="M188" s="96">
        <f>Stats!$B$8-N188</f>
        <v>4403117</v>
      </c>
      <c r="N188" s="97">
        <f>ROUND(Stats!$B$33/(1+(Stats!$B$34*EXP(-1*Stats!$B$32*(X188-$X$25)))),0)</f>
        <v>5635990</v>
      </c>
      <c r="O188" s="101">
        <f t="shared" si="410"/>
        <v>95.652955381397049</v>
      </c>
      <c r="P188" s="97">
        <f>ROUND(N188*(Stats!$I$14/100),0)</f>
        <v>136391</v>
      </c>
      <c r="Q188" s="101">
        <f t="shared" si="286"/>
        <v>95.650739418290058</v>
      </c>
      <c r="R188" s="109">
        <f xml:space="preserve"> ROUND(R187 - ((R187 / Stats!$B$27)*(Stats!$B$21*S187)),0)</f>
        <v>1324991</v>
      </c>
      <c r="S188" s="99">
        <f xml:space="preserve"> ROUND(S187 + (R187/Stats!$B$27)*(Stats!$B$21*S187)-(S187*Stats!$B$22),0)</f>
        <v>95</v>
      </c>
      <c r="T188" s="101">
        <f t="shared" si="411"/>
        <v>257793.68421052632</v>
      </c>
      <c r="U188" s="99">
        <f xml:space="preserve"> ROUND(U187 + (S187 * Stats!$B$22),0)</f>
        <v>8714548</v>
      </c>
      <c r="V188" s="99">
        <f>ROUND(S188*(Stats!$I$14/100),0)</f>
        <v>2</v>
      </c>
      <c r="W188" s="105">
        <f t="shared" si="287"/>
        <v>296500</v>
      </c>
      <c r="X188" s="118">
        <v>186</v>
      </c>
      <c r="AD188" s="105"/>
      <c r="AF188" s="140">
        <v>1193</v>
      </c>
      <c r="AG188" s="138">
        <f t="shared" si="310"/>
        <v>129</v>
      </c>
      <c r="AH188" s="138">
        <f t="shared" si="311"/>
        <v>11.43</v>
      </c>
      <c r="AI188" s="140">
        <v>61</v>
      </c>
      <c r="AJ188" s="138">
        <f t="shared" si="312"/>
        <v>7</v>
      </c>
      <c r="AK188" s="5">
        <f t="shared" si="313"/>
        <v>12.17</v>
      </c>
      <c r="AL188" s="5" t="str">
        <f t="shared" si="231"/>
        <v>1</v>
      </c>
      <c r="AM188" s="5" t="str">
        <f t="shared" si="232"/>
        <v>6</v>
      </c>
      <c r="AN188" s="5" t="str">
        <f t="shared" si="233"/>
        <v>1</v>
      </c>
      <c r="AO188" s="5" t="str">
        <f t="shared" si="234"/>
        <v>1</v>
      </c>
    </row>
    <row r="189" spans="1:41" x14ac:dyDescent="0.25">
      <c r="A189" s="206">
        <v>44077</v>
      </c>
      <c r="B189" s="121">
        <v>246407</v>
      </c>
      <c r="C189" s="6">
        <f t="shared" si="405"/>
        <v>1408</v>
      </c>
      <c r="D189" s="19">
        <f t="shared" si="406"/>
        <v>0.56999999999999995</v>
      </c>
      <c r="E189" s="35">
        <f t="shared" si="407"/>
        <v>57</v>
      </c>
      <c r="F189" s="25">
        <f>ROUND((B189/Stats!$B$8)*100000,0)</f>
        <v>2454</v>
      </c>
      <c r="G189" s="22">
        <f>ROUND((C189/Stats!$B$8)*100000,0)</f>
        <v>14</v>
      </c>
      <c r="H189" s="213">
        <v>5977</v>
      </c>
      <c r="I189" s="6">
        <f t="shared" si="408"/>
        <v>45</v>
      </c>
      <c r="J189" s="35">
        <f t="shared" si="409"/>
        <v>0.76</v>
      </c>
      <c r="K189" s="9">
        <f t="shared" si="399"/>
        <v>2.4300000000000002</v>
      </c>
      <c r="L189" s="43">
        <f>ROUND(((H189/Stats!$B$8)*100000),0)</f>
        <v>60</v>
      </c>
      <c r="M189" s="96">
        <f>Stats!$B$8-N189</f>
        <v>4403117</v>
      </c>
      <c r="N189" s="97">
        <f>ROUND(Stats!$B$33/(1+(Stats!$B$34*EXP(-1*Stats!$B$32*(X189-$X$25)))),0)</f>
        <v>5635990</v>
      </c>
      <c r="O189" s="101">
        <f t="shared" si="410"/>
        <v>95.627973080150966</v>
      </c>
      <c r="P189" s="97">
        <f>ROUND(N189*(Stats!$I$14/100),0)</f>
        <v>136391</v>
      </c>
      <c r="Q189" s="101">
        <f t="shared" si="286"/>
        <v>95.617746038961513</v>
      </c>
      <c r="R189" s="109">
        <f xml:space="preserve"> ROUND(R188 - ((R188 / Stats!$B$27)*(Stats!$B$21*S188)),0)</f>
        <v>1324987</v>
      </c>
      <c r="S189" s="99">
        <f xml:space="preserve"> ROUND(S188 + (R188/Stats!$B$27)*(Stats!$B$21*S188)-(S188*Stats!$B$22),0)</f>
        <v>86</v>
      </c>
      <c r="T189" s="101">
        <f t="shared" si="411"/>
        <v>286419.76744186046</v>
      </c>
      <c r="U189" s="99">
        <f xml:space="preserve"> ROUND(U188 + (S188 * Stats!$B$22),0)</f>
        <v>8714562</v>
      </c>
      <c r="V189" s="99">
        <f>ROUND(S189*(Stats!$I$14/100),0)</f>
        <v>2</v>
      </c>
      <c r="W189" s="105">
        <f t="shared" si="287"/>
        <v>298750</v>
      </c>
      <c r="X189" s="118">
        <v>187</v>
      </c>
      <c r="AD189" s="105"/>
      <c r="AF189" s="140">
        <v>1493</v>
      </c>
      <c r="AG189" s="138">
        <f t="shared" si="310"/>
        <v>85</v>
      </c>
      <c r="AH189" s="138">
        <f t="shared" si="311"/>
        <v>5.86</v>
      </c>
      <c r="AI189" s="140">
        <v>47</v>
      </c>
      <c r="AJ189" s="138">
        <f t="shared" si="312"/>
        <v>2</v>
      </c>
      <c r="AK189" s="5">
        <f t="shared" si="313"/>
        <v>4.3499999999999996</v>
      </c>
      <c r="AL189" s="5" t="str">
        <f t="shared" si="231"/>
        <v>1</v>
      </c>
      <c r="AM189" s="5" t="str">
        <f t="shared" si="232"/>
        <v>4</v>
      </c>
      <c r="AN189" s="5" t="str">
        <f t="shared" si="233"/>
        <v>4</v>
      </c>
      <c r="AO189" s="5" t="str">
        <f t="shared" si="234"/>
        <v>7</v>
      </c>
    </row>
    <row r="190" spans="1:41" x14ac:dyDescent="0.25">
      <c r="A190" s="206">
        <v>44078</v>
      </c>
      <c r="B190" s="121">
        <v>247542</v>
      </c>
      <c r="C190" s="6">
        <f t="shared" si="405"/>
        <v>1135</v>
      </c>
      <c r="D190" s="19">
        <f t="shared" si="406"/>
        <v>0.46</v>
      </c>
      <c r="E190" s="35">
        <f t="shared" si="407"/>
        <v>46</v>
      </c>
      <c r="F190" s="25">
        <f>ROUND((B190/Stats!$B$8)*100000,0)</f>
        <v>2466</v>
      </c>
      <c r="G190" s="22">
        <f>ROUND((C190/Stats!$B$8)*100000,0)</f>
        <v>11</v>
      </c>
      <c r="H190" s="213">
        <v>6000</v>
      </c>
      <c r="I190" s="6">
        <f t="shared" si="408"/>
        <v>23</v>
      </c>
      <c r="J190" s="35">
        <f t="shared" si="409"/>
        <v>0.38</v>
      </c>
      <c r="K190" s="9">
        <f t="shared" si="399"/>
        <v>2.42</v>
      </c>
      <c r="L190" s="43">
        <f>ROUND(((H190/Stats!$B$8)*100000),0)</f>
        <v>60</v>
      </c>
      <c r="M190" s="96">
        <f>Stats!$B$8-N190</f>
        <v>4403117</v>
      </c>
      <c r="N190" s="97">
        <f>ROUND(Stats!$B$33/(1+(Stats!$B$34*EXP(-1*Stats!$B$32*(X190-$X$25)))),0)</f>
        <v>5635990</v>
      </c>
      <c r="O190" s="101">
        <f t="shared" si="410"/>
        <v>95.607834648393634</v>
      </c>
      <c r="P190" s="97">
        <f>ROUND(N190*(Stats!$I$14/100),0)</f>
        <v>136391</v>
      </c>
      <c r="Q190" s="101">
        <f t="shared" si="286"/>
        <v>95.600882756193599</v>
      </c>
      <c r="R190" s="109">
        <f xml:space="preserve"> ROUND(R189 - ((R189 / Stats!$B$27)*(Stats!$B$21*S189)),0)</f>
        <v>1324983</v>
      </c>
      <c r="S190" s="99">
        <f xml:space="preserve"> ROUND(S189 + (R189/Stats!$B$27)*(Stats!$B$21*S189)-(S189*Stats!$B$22),0)</f>
        <v>77</v>
      </c>
      <c r="T190" s="101">
        <f t="shared" si="411"/>
        <v>321383.11688311689</v>
      </c>
      <c r="U190" s="99">
        <f xml:space="preserve"> ROUND(U189 + (S189 * Stats!$B$22),0)</f>
        <v>8714574</v>
      </c>
      <c r="V190" s="99">
        <f>ROUND(S190*(Stats!$I$14/100),0)</f>
        <v>2</v>
      </c>
      <c r="W190" s="105">
        <f t="shared" si="287"/>
        <v>299900</v>
      </c>
      <c r="X190" s="118">
        <v>188</v>
      </c>
      <c r="AD190" s="105"/>
      <c r="AF190" s="140">
        <v>1196</v>
      </c>
      <c r="AG190" s="138">
        <f t="shared" si="310"/>
        <v>61</v>
      </c>
      <c r="AH190" s="138">
        <f t="shared" si="311"/>
        <v>5.23</v>
      </c>
      <c r="AI190" s="140">
        <v>24</v>
      </c>
      <c r="AJ190" s="138">
        <f t="shared" si="312"/>
        <v>1</v>
      </c>
      <c r="AK190" s="5">
        <f t="shared" si="313"/>
        <v>4.26</v>
      </c>
      <c r="AL190" s="5" t="str">
        <f t="shared" si="231"/>
        <v>1</v>
      </c>
      <c r="AM190" s="5" t="str">
        <f t="shared" si="232"/>
        <v>2</v>
      </c>
      <c r="AN190" s="5" t="str">
        <f t="shared" si="233"/>
        <v>1</v>
      </c>
      <c r="AO190" s="5" t="str">
        <f t="shared" si="234"/>
        <v>4</v>
      </c>
    </row>
    <row r="191" spans="1:41" x14ac:dyDescent="0.25">
      <c r="A191" s="206">
        <v>44079</v>
      </c>
      <c r="B191" s="121">
        <v>248334</v>
      </c>
      <c r="C191" s="6">
        <f t="shared" si="405"/>
        <v>792</v>
      </c>
      <c r="D191" s="19">
        <f t="shared" si="406"/>
        <v>0.32</v>
      </c>
      <c r="E191" s="35">
        <f t="shared" si="407"/>
        <v>32</v>
      </c>
      <c r="F191" s="25">
        <f>ROUND((B191/Stats!$B$8)*100000,0)</f>
        <v>2474</v>
      </c>
      <c r="G191" s="22">
        <f>ROUND((C191/Stats!$B$8)*100000,0)</f>
        <v>8</v>
      </c>
      <c r="H191" s="213">
        <v>6005</v>
      </c>
      <c r="I191" s="6">
        <f t="shared" si="408"/>
        <v>5</v>
      </c>
      <c r="J191" s="35">
        <f t="shared" si="409"/>
        <v>0.08</v>
      </c>
      <c r="K191" s="9">
        <f t="shared" si="399"/>
        <v>2.42</v>
      </c>
      <c r="L191" s="43">
        <f>ROUND(((H191/Stats!$B$8)*100000),0)</f>
        <v>60</v>
      </c>
      <c r="M191" s="96">
        <f>Stats!$B$8-N191</f>
        <v>4403117</v>
      </c>
      <c r="N191" s="97">
        <f>ROUND(Stats!$B$33/(1+(Stats!$B$34*EXP(-1*Stats!$B$32*(X191-$X$25)))),0)</f>
        <v>5635990</v>
      </c>
      <c r="O191" s="101">
        <f t="shared" si="410"/>
        <v>95.593782103942686</v>
      </c>
      <c r="P191" s="97">
        <f>ROUND(N191*(Stats!$I$14/100),0)</f>
        <v>136391</v>
      </c>
      <c r="Q191" s="101">
        <f t="shared" si="286"/>
        <v>95.597216825157076</v>
      </c>
      <c r="R191" s="109">
        <f xml:space="preserve"> ROUND(R190 - ((R190 / Stats!$B$27)*(Stats!$B$21*S190)),0)</f>
        <v>1324980</v>
      </c>
      <c r="S191" s="99">
        <f xml:space="preserve"> ROUND(S190 + (R190/Stats!$B$27)*(Stats!$B$21*S190)-(S190*Stats!$B$22),0)</f>
        <v>69</v>
      </c>
      <c r="T191" s="101">
        <f t="shared" si="411"/>
        <v>359804.34782608697</v>
      </c>
      <c r="U191" s="99">
        <f xml:space="preserve"> ROUND(U190 + (S190 * Stats!$B$22),0)</f>
        <v>8714585</v>
      </c>
      <c r="V191" s="99">
        <f>ROUND(S191*(Stats!$I$14/100),0)</f>
        <v>2</v>
      </c>
      <c r="W191" s="105">
        <f t="shared" si="287"/>
        <v>300150</v>
      </c>
      <c r="X191" s="118">
        <v>189</v>
      </c>
      <c r="AD191" s="105"/>
      <c r="AF191" s="140">
        <v>798</v>
      </c>
      <c r="AG191" s="138">
        <f t="shared" si="310"/>
        <v>6</v>
      </c>
      <c r="AH191" s="138">
        <f t="shared" si="311"/>
        <v>0.75</v>
      </c>
      <c r="AI191" s="140">
        <v>5</v>
      </c>
      <c r="AJ191" s="138">
        <f t="shared" si="312"/>
        <v>0</v>
      </c>
      <c r="AK191" s="5">
        <f t="shared" si="313"/>
        <v>0</v>
      </c>
      <c r="AL191" s="5" t="str">
        <f t="shared" si="231"/>
        <v>7</v>
      </c>
      <c r="AM191" s="5" t="str">
        <f t="shared" si="232"/>
        <v>5</v>
      </c>
      <c r="AN191" s="5" t="str">
        <f t="shared" si="233"/>
        <v>9</v>
      </c>
      <c r="AO191" s="5" t="str">
        <f t="shared" si="234"/>
        <v>5</v>
      </c>
    </row>
    <row r="192" spans="1:41" x14ac:dyDescent="0.25">
      <c r="A192" s="206">
        <v>44080</v>
      </c>
      <c r="B192" s="121">
        <v>248821</v>
      </c>
      <c r="C192" s="6">
        <f t="shared" si="405"/>
        <v>487</v>
      </c>
      <c r="D192" s="19">
        <f t="shared" si="406"/>
        <v>0.2</v>
      </c>
      <c r="E192" s="35">
        <f t="shared" si="407"/>
        <v>20</v>
      </c>
      <c r="F192" s="25">
        <f>ROUND((B192/Stats!$B$8)*100000,0)</f>
        <v>2479</v>
      </c>
      <c r="G192" s="22">
        <f>ROUND((C192/Stats!$B$8)*100000,0)</f>
        <v>5</v>
      </c>
      <c r="H192" s="213">
        <v>6030</v>
      </c>
      <c r="I192" s="6">
        <f t="shared" si="408"/>
        <v>25</v>
      </c>
      <c r="J192" s="35">
        <f t="shared" si="409"/>
        <v>0.42</v>
      </c>
      <c r="K192" s="9">
        <f t="shared" si="399"/>
        <v>2.42</v>
      </c>
      <c r="L192" s="43">
        <f>ROUND(((H192/Stats!$B$8)*100000),0)</f>
        <v>60</v>
      </c>
      <c r="M192" s="96">
        <f>Stats!$B$8-N192</f>
        <v>4403117</v>
      </c>
      <c r="N192" s="97">
        <f>ROUND(Stats!$B$33/(1+(Stats!$B$34*EXP(-1*Stats!$B$32*(X192-$X$25)))),0)</f>
        <v>5635990</v>
      </c>
      <c r="O192" s="101">
        <f t="shared" si="410"/>
        <v>95.585141208554319</v>
      </c>
      <c r="P192" s="97">
        <f>ROUND(N192*(Stats!$I$14/100),0)</f>
        <v>136391</v>
      </c>
      <c r="Q192" s="101">
        <f t="shared" si="286"/>
        <v>95.578887169974564</v>
      </c>
      <c r="R192" s="109">
        <f xml:space="preserve"> ROUND(R191 - ((R191 / Stats!$B$27)*(Stats!$B$21*S191)),0)</f>
        <v>1324977</v>
      </c>
      <c r="S192" s="99">
        <f xml:space="preserve"> ROUND(S191 + (R191/Stats!$B$27)*(Stats!$B$21*S191)-(S191*Stats!$B$22),0)</f>
        <v>62</v>
      </c>
      <c r="T192" s="101">
        <f t="shared" si="411"/>
        <v>401224.19354838709</v>
      </c>
      <c r="U192" s="99">
        <f xml:space="preserve"> ROUND(U191 + (S191 * Stats!$B$22),0)</f>
        <v>8714595</v>
      </c>
      <c r="V192" s="99">
        <f>ROUND(S192*(Stats!$I$14/100),0)</f>
        <v>2</v>
      </c>
      <c r="W192" s="105">
        <f t="shared" si="287"/>
        <v>301400</v>
      </c>
      <c r="X192" s="118">
        <v>190</v>
      </c>
      <c r="AD192" s="105"/>
      <c r="AF192" s="140">
        <v>494</v>
      </c>
      <c r="AG192" s="138">
        <f t="shared" si="310"/>
        <v>7</v>
      </c>
      <c r="AH192" s="138">
        <f t="shared" si="311"/>
        <v>1.43</v>
      </c>
      <c r="AI192" s="140">
        <v>25</v>
      </c>
      <c r="AJ192" s="138">
        <f t="shared" si="312"/>
        <v>0</v>
      </c>
      <c r="AK192" s="5">
        <f t="shared" si="313"/>
        <v>0</v>
      </c>
      <c r="AL192" s="5" t="str">
        <f t="shared" si="231"/>
        <v>4</v>
      </c>
      <c r="AM192" s="5" t="str">
        <f t="shared" si="232"/>
        <v>2</v>
      </c>
      <c r="AN192" s="5" t="str">
        <f t="shared" si="233"/>
        <v>9</v>
      </c>
      <c r="AO192" s="5" t="str">
        <f t="shared" si="234"/>
        <v>5</v>
      </c>
    </row>
    <row r="193" spans="1:41" x14ac:dyDescent="0.25">
      <c r="A193" s="206">
        <v>44081</v>
      </c>
      <c r="B193" s="121">
        <v>249241</v>
      </c>
      <c r="C193" s="6">
        <f t="shared" ref="C193" si="412">B193-B192</f>
        <v>420</v>
      </c>
      <c r="D193" s="19">
        <f t="shared" ref="D193" si="413">ROUND(((B193/B192)-1)*100,2)</f>
        <v>0.17</v>
      </c>
      <c r="E193" s="35">
        <f t="shared" ref="E193" si="414">IFERROR(ROUND((C193/B193)*10000,0),"")</f>
        <v>17</v>
      </c>
      <c r="F193" s="25">
        <f>ROUND((B193/Stats!$B$8)*100000,0)</f>
        <v>2483</v>
      </c>
      <c r="G193" s="22">
        <f>ROUND((C193/Stats!$B$8)*100000,0)</f>
        <v>4</v>
      </c>
      <c r="H193" s="213">
        <v>6036</v>
      </c>
      <c r="I193" s="6">
        <f t="shared" ref="I193" si="415">H193-H192</f>
        <v>6</v>
      </c>
      <c r="J193" s="35">
        <f t="shared" ref="J193" si="416">IFERROR(ROUND(((H193/H192)-1)*100,2),"")</f>
        <v>0.1</v>
      </c>
      <c r="K193" s="9">
        <f t="shared" si="399"/>
        <v>2.42</v>
      </c>
      <c r="L193" s="43">
        <f>ROUND(((H193/Stats!$B$8)*100000),0)</f>
        <v>60</v>
      </c>
      <c r="M193" s="96">
        <f>Stats!$B$8-N193</f>
        <v>4403117</v>
      </c>
      <c r="N193" s="97">
        <f>ROUND(Stats!$B$33/(1+(Stats!$B$34*EXP(-1*Stats!$B$32*(X193-$X$25)))),0)</f>
        <v>5635990</v>
      </c>
      <c r="O193" s="101">
        <f t="shared" si="410"/>
        <v>95.577689101648517</v>
      </c>
      <c r="P193" s="97">
        <f>ROUND(N193*(Stats!$I$14/100),0)</f>
        <v>136391</v>
      </c>
      <c r="Q193" s="101">
        <f t="shared" si="286"/>
        <v>95.574488052730757</v>
      </c>
      <c r="R193" s="109">
        <f xml:space="preserve"> ROUND(R192 - ((R192 / Stats!$B$27)*(Stats!$B$21*S192)),0)</f>
        <v>1324974</v>
      </c>
      <c r="S193" s="99">
        <f xml:space="preserve"> ROUND(S192 + (R192/Stats!$B$27)*(Stats!$B$21*S192)-(S192*Stats!$B$22),0)</f>
        <v>56</v>
      </c>
      <c r="T193" s="101">
        <f t="shared" si="411"/>
        <v>444973.21428571432</v>
      </c>
      <c r="U193" s="99">
        <f xml:space="preserve"> ROUND(U192 + (S192 * Stats!$B$22),0)</f>
        <v>8714604</v>
      </c>
      <c r="V193" s="99">
        <f>ROUND(S193*(Stats!$I$14/100),0)</f>
        <v>1</v>
      </c>
      <c r="W193" s="105">
        <f t="shared" si="287"/>
        <v>603500</v>
      </c>
      <c r="X193" s="118">
        <v>191</v>
      </c>
      <c r="AD193" s="105"/>
      <c r="AF193" s="140">
        <v>439</v>
      </c>
      <c r="AG193" s="138">
        <f t="shared" ref="AG193:AG224" si="417">AF193-C193</f>
        <v>19</v>
      </c>
      <c r="AH193" s="138">
        <f t="shared" ref="AH193:AH224" si="418">IFERROR(ROUND(100*(AG193/AVERAGE(AF193,C193)),2),"")</f>
        <v>4.42</v>
      </c>
      <c r="AI193" s="140">
        <v>7</v>
      </c>
      <c r="AJ193" s="138">
        <f t="shared" ref="AJ193:AJ224" si="419">AI193-I193</f>
        <v>1</v>
      </c>
      <c r="AK193" s="5">
        <f t="shared" ref="AK193:AK224" si="420">IFERROR(ROUND(100*(AJ193/AVERAGE(AI193,I193)),2),"")</f>
        <v>15.38</v>
      </c>
      <c r="AL193" s="5" t="str">
        <f t="shared" si="231"/>
        <v>4</v>
      </c>
      <c r="AM193" s="5" t="str">
        <f t="shared" si="232"/>
        <v>7</v>
      </c>
      <c r="AN193" s="5" t="str">
        <f t="shared" si="233"/>
        <v>3</v>
      </c>
      <c r="AO193" s="5" t="str">
        <f t="shared" si="234"/>
        <v>7</v>
      </c>
    </row>
    <row r="194" spans="1:41" x14ac:dyDescent="0.25">
      <c r="A194" s="206">
        <v>44082</v>
      </c>
      <c r="B194" s="121">
        <v>249859</v>
      </c>
      <c r="C194" s="6">
        <f t="shared" ref="C194" si="421">B194-B193</f>
        <v>618</v>
      </c>
      <c r="D194" s="19">
        <f t="shared" ref="D194" si="422">ROUND(((B194/B193)-1)*100,2)</f>
        <v>0.25</v>
      </c>
      <c r="E194" s="35">
        <f t="shared" ref="E194" si="423">IFERROR(ROUND((C194/B194)*10000,0),"")</f>
        <v>25</v>
      </c>
      <c r="F194" s="25">
        <f>ROUND((B194/Stats!$B$8)*100000,0)</f>
        <v>2489</v>
      </c>
      <c r="G194" s="22">
        <f>ROUND((C194/Stats!$B$8)*100000,0)</f>
        <v>6</v>
      </c>
      <c r="H194" s="213">
        <v>6090</v>
      </c>
      <c r="I194" s="6">
        <f t="shared" ref="I194" si="424">H194-H193</f>
        <v>54</v>
      </c>
      <c r="J194" s="35">
        <f t="shared" ref="J194" si="425">IFERROR(ROUND(((H194/H193)-1)*100,2),"")</f>
        <v>0.89</v>
      </c>
      <c r="K194" s="9">
        <f t="shared" si="399"/>
        <v>2.44</v>
      </c>
      <c r="L194" s="43">
        <f>ROUND(((H194/Stats!$B$8)*100000),0)</f>
        <v>61</v>
      </c>
      <c r="M194" s="96">
        <f>Stats!$B$8-N194</f>
        <v>4403117</v>
      </c>
      <c r="N194" s="97">
        <f>ROUND(Stats!$B$33/(1+(Stats!$B$34*EXP(-1*Stats!$B$32*(X194-$X$25)))),0)</f>
        <v>5635990</v>
      </c>
      <c r="O194" s="101">
        <f t="shared" si="410"/>
        <v>95.566723858629985</v>
      </c>
      <c r="P194" s="97">
        <f>ROUND(N194*(Stats!$I$14/100),0)</f>
        <v>136391</v>
      </c>
      <c r="Q194" s="101">
        <f t="shared" si="286"/>
        <v>95.534895997536495</v>
      </c>
      <c r="R194" s="109">
        <f xml:space="preserve"> ROUND(R193 - ((R193 / Stats!$B$27)*(Stats!$B$21*S193)),0)</f>
        <v>1324972</v>
      </c>
      <c r="S194" s="99">
        <f xml:space="preserve"> ROUND(S193 + (R193/Stats!$B$27)*(Stats!$B$21*S193)-(S193*Stats!$B$22),0)</f>
        <v>50</v>
      </c>
      <c r="T194" s="101">
        <f t="shared" si="411"/>
        <v>499618</v>
      </c>
      <c r="U194" s="99">
        <f xml:space="preserve"> ROUND(U193 + (S193 * Stats!$B$22),0)</f>
        <v>8714612</v>
      </c>
      <c r="V194" s="99">
        <f>ROUND(S194*(Stats!$I$14/100),0)</f>
        <v>1</v>
      </c>
      <c r="W194" s="105">
        <f t="shared" si="287"/>
        <v>608900</v>
      </c>
      <c r="X194" s="118">
        <v>192</v>
      </c>
      <c r="AD194" s="105"/>
      <c r="AF194" s="140">
        <v>671</v>
      </c>
      <c r="AG194" s="138">
        <f t="shared" si="417"/>
        <v>53</v>
      </c>
      <c r="AH194" s="138">
        <f t="shared" si="418"/>
        <v>8.2200000000000006</v>
      </c>
      <c r="AI194" s="140">
        <v>61</v>
      </c>
      <c r="AJ194" s="138">
        <f t="shared" si="419"/>
        <v>7</v>
      </c>
      <c r="AK194" s="5">
        <f t="shared" si="420"/>
        <v>12.17</v>
      </c>
      <c r="AL194" s="5" t="str">
        <f t="shared" si="231"/>
        <v>6</v>
      </c>
      <c r="AM194" s="5" t="str">
        <f t="shared" si="232"/>
        <v>6</v>
      </c>
      <c r="AN194" s="5" t="str">
        <f t="shared" si="233"/>
        <v>7</v>
      </c>
      <c r="AO194" s="5" t="str">
        <f t="shared" si="234"/>
        <v>1</v>
      </c>
    </row>
    <row r="195" spans="1:41" x14ac:dyDescent="0.25">
      <c r="A195" s="206">
        <v>44083</v>
      </c>
      <c r="B195" s="121">
        <v>251024</v>
      </c>
      <c r="C195" s="6">
        <f t="shared" ref="C195:C199" si="426">B195-B194</f>
        <v>1165</v>
      </c>
      <c r="D195" s="19">
        <f t="shared" ref="D195:D199" si="427">ROUND(((B195/B194)-1)*100,2)</f>
        <v>0.47</v>
      </c>
      <c r="E195" s="35">
        <f t="shared" ref="E195:E199" si="428">IFERROR(ROUND((C195/B195)*10000,0),"")</f>
        <v>46</v>
      </c>
      <c r="F195" s="25">
        <f>ROUND((B195/Stats!$B$8)*100000,0)</f>
        <v>2500</v>
      </c>
      <c r="G195" s="22">
        <f>ROUND((C195/Stats!$B$8)*100000,0)</f>
        <v>12</v>
      </c>
      <c r="H195" s="213">
        <v>6128</v>
      </c>
      <c r="I195" s="6">
        <f t="shared" ref="I195:I199" si="429">H195-H194</f>
        <v>38</v>
      </c>
      <c r="J195" s="35">
        <f t="shared" ref="J195:J199" si="430">IFERROR(ROUND(((H195/H194)-1)*100,2),"")</f>
        <v>0.62</v>
      </c>
      <c r="K195" s="9">
        <f t="shared" si="399"/>
        <v>2.44</v>
      </c>
      <c r="L195" s="43">
        <f>ROUND(((H195/Stats!$B$8)*100000),0)</f>
        <v>61</v>
      </c>
      <c r="M195" s="96">
        <f>Stats!$B$8-N195</f>
        <v>4403117</v>
      </c>
      <c r="N195" s="97">
        <f>ROUND(Stats!$B$33/(1+(Stats!$B$34*EXP(-1*Stats!$B$32*(X195-$X$25)))),0)</f>
        <v>5635990</v>
      </c>
      <c r="O195" s="101">
        <f t="shared" si="410"/>
        <v>95.546053133522236</v>
      </c>
      <c r="P195" s="97">
        <f>ROUND(N195*(Stats!$I$14/100),0)</f>
        <v>136391</v>
      </c>
      <c r="Q195" s="101">
        <f t="shared" si="286"/>
        <v>95.507034921659056</v>
      </c>
      <c r="R195" s="109">
        <f xml:space="preserve"> ROUND(R194 - ((R194 / Stats!$B$27)*(Stats!$B$21*S194)),0)</f>
        <v>1324970</v>
      </c>
      <c r="S195" s="99">
        <f xml:space="preserve"> ROUND(S194 + (R194/Stats!$B$27)*(Stats!$B$21*S194)-(S194*Stats!$B$22),0)</f>
        <v>45</v>
      </c>
      <c r="T195" s="101">
        <f t="shared" si="411"/>
        <v>557731.11111111112</v>
      </c>
      <c r="U195" s="99">
        <f xml:space="preserve"> ROUND(U194 + (S194 * Stats!$B$22),0)</f>
        <v>8714619</v>
      </c>
      <c r="V195" s="99">
        <f>ROUND(S195*(Stats!$I$14/100),0)</f>
        <v>1</v>
      </c>
      <c r="W195" s="105">
        <f t="shared" si="287"/>
        <v>612700</v>
      </c>
      <c r="X195" s="118">
        <v>193</v>
      </c>
      <c r="AD195" s="105"/>
      <c r="AF195" s="140">
        <v>1239</v>
      </c>
      <c r="AG195" s="138">
        <f t="shared" si="417"/>
        <v>74</v>
      </c>
      <c r="AH195" s="138">
        <f t="shared" si="418"/>
        <v>6.16</v>
      </c>
      <c r="AI195" s="140">
        <v>42</v>
      </c>
      <c r="AJ195" s="138">
        <f t="shared" si="419"/>
        <v>4</v>
      </c>
      <c r="AK195" s="5">
        <f t="shared" si="420"/>
        <v>10</v>
      </c>
      <c r="AL195" s="5" t="str">
        <f t="shared" si="231"/>
        <v>1</v>
      </c>
      <c r="AM195" s="5" t="str">
        <f t="shared" si="232"/>
        <v>4</v>
      </c>
      <c r="AN195" s="5" t="str">
        <f t="shared" si="233"/>
        <v>2</v>
      </c>
      <c r="AO195" s="5" t="str">
        <f t="shared" si="234"/>
        <v>2</v>
      </c>
    </row>
    <row r="196" spans="1:41" x14ac:dyDescent="0.25">
      <c r="A196" s="206">
        <v>44084</v>
      </c>
      <c r="B196" s="121">
        <v>252066</v>
      </c>
      <c r="C196" s="6">
        <f t="shared" si="426"/>
        <v>1042</v>
      </c>
      <c r="D196" s="19">
        <f t="shared" si="427"/>
        <v>0.42</v>
      </c>
      <c r="E196" s="35">
        <f t="shared" si="428"/>
        <v>41</v>
      </c>
      <c r="F196" s="25">
        <f>ROUND((B196/Stats!$B$8)*100000,0)</f>
        <v>2511</v>
      </c>
      <c r="G196" s="22">
        <f>ROUND((C196/Stats!$B$8)*100000,0)</f>
        <v>10</v>
      </c>
      <c r="H196" s="213">
        <v>6171</v>
      </c>
      <c r="I196" s="6">
        <f t="shared" si="429"/>
        <v>43</v>
      </c>
      <c r="J196" s="35">
        <f t="shared" si="430"/>
        <v>0.7</v>
      </c>
      <c r="K196" s="9">
        <f t="shared" si="399"/>
        <v>2.4500000000000002</v>
      </c>
      <c r="L196" s="43">
        <f>ROUND(((H196/Stats!$B$8)*100000),0)</f>
        <v>61</v>
      </c>
      <c r="M196" s="96">
        <f>Stats!$B$8-N196</f>
        <v>4403117</v>
      </c>
      <c r="N196" s="97">
        <f>ROUND(Stats!$B$33/(1+(Stats!$B$34*EXP(-1*Stats!$B$32*(X196-$X$25)))),0)</f>
        <v>5635990</v>
      </c>
      <c r="O196" s="101">
        <f t="shared" si="410"/>
        <v>95.527564811151194</v>
      </c>
      <c r="P196" s="97">
        <f>ROUND(N196*(Stats!$I$14/100),0)</f>
        <v>136391</v>
      </c>
      <c r="Q196" s="101">
        <f t="shared" si="286"/>
        <v>95.475507914745108</v>
      </c>
      <c r="R196" s="109">
        <f xml:space="preserve"> ROUND(R195 - ((R195 / Stats!$B$27)*(Stats!$B$21*S195)),0)</f>
        <v>1324968</v>
      </c>
      <c r="S196" s="99">
        <f xml:space="preserve"> ROUND(S195 + (R195/Stats!$B$27)*(Stats!$B$21*S195)-(S195*Stats!$B$22),0)</f>
        <v>41</v>
      </c>
      <c r="T196" s="101">
        <f t="shared" si="411"/>
        <v>614695.12195121951</v>
      </c>
      <c r="U196" s="99">
        <f xml:space="preserve"> ROUND(U195 + (S195 * Stats!$B$22),0)</f>
        <v>8714625</v>
      </c>
      <c r="V196" s="99">
        <f>ROUND(S196*(Stats!$I$14/100),0)</f>
        <v>1</v>
      </c>
      <c r="W196" s="105">
        <f t="shared" si="287"/>
        <v>617000</v>
      </c>
      <c r="X196" s="118">
        <v>194</v>
      </c>
      <c r="AD196" s="105"/>
      <c r="AF196" s="140">
        <v>1115</v>
      </c>
      <c r="AG196" s="138">
        <f t="shared" si="417"/>
        <v>73</v>
      </c>
      <c r="AH196" s="138">
        <f t="shared" si="418"/>
        <v>6.77</v>
      </c>
      <c r="AI196" s="140">
        <v>43</v>
      </c>
      <c r="AJ196" s="138">
        <f t="shared" si="419"/>
        <v>0</v>
      </c>
      <c r="AK196" s="5">
        <f t="shared" si="420"/>
        <v>0</v>
      </c>
      <c r="AL196" s="5" t="str">
        <f t="shared" si="231"/>
        <v>1</v>
      </c>
      <c r="AM196" s="5" t="str">
        <f t="shared" si="232"/>
        <v>4</v>
      </c>
      <c r="AN196" s="5" t="str">
        <f t="shared" si="233"/>
        <v>1</v>
      </c>
      <c r="AO196" s="5" t="str">
        <f t="shared" si="234"/>
        <v>3</v>
      </c>
    </row>
    <row r="197" spans="1:41" x14ac:dyDescent="0.25">
      <c r="A197" s="206">
        <v>44085</v>
      </c>
      <c r="B197" s="121">
        <v>253176</v>
      </c>
      <c r="C197" s="6">
        <f t="shared" si="426"/>
        <v>1110</v>
      </c>
      <c r="D197" s="19">
        <f t="shared" si="427"/>
        <v>0.44</v>
      </c>
      <c r="E197" s="35">
        <f t="shared" si="428"/>
        <v>44</v>
      </c>
      <c r="F197" s="25">
        <f>ROUND((B197/Stats!$B$8)*100000,0)</f>
        <v>2522</v>
      </c>
      <c r="G197" s="22">
        <f>ROUND((C197/Stats!$B$8)*100000,0)</f>
        <v>11</v>
      </c>
      <c r="H197" s="213">
        <v>6197</v>
      </c>
      <c r="I197" s="6">
        <f t="shared" si="429"/>
        <v>26</v>
      </c>
      <c r="J197" s="35">
        <f t="shared" si="430"/>
        <v>0.42</v>
      </c>
      <c r="K197" s="9">
        <f t="shared" si="399"/>
        <v>2.4500000000000002</v>
      </c>
      <c r="L197" s="43">
        <f>ROUND(((H197/Stats!$B$8)*100000),0)</f>
        <v>62</v>
      </c>
      <c r="M197" s="96">
        <f>Stats!$B$8-N197</f>
        <v>4403117</v>
      </c>
      <c r="N197" s="97">
        <f>ROUND(Stats!$B$33/(1+(Stats!$B$34*EXP(-1*Stats!$B$32*(X197-$X$25)))),0)</f>
        <v>5635990</v>
      </c>
      <c r="O197" s="101">
        <f t="shared" si="410"/>
        <v>95.507869957185875</v>
      </c>
      <c r="P197" s="97">
        <f>ROUND(N197*(Stats!$I$14/100),0)</f>
        <v>136391</v>
      </c>
      <c r="Q197" s="101">
        <f t="shared" si="286"/>
        <v>95.456445073355283</v>
      </c>
      <c r="R197" s="109">
        <f xml:space="preserve"> ROUND(R196 - ((R196 / Stats!$B$27)*(Stats!$B$21*S196)),0)</f>
        <v>1324966</v>
      </c>
      <c r="S197" s="99">
        <f xml:space="preserve"> ROUND(S196 + (R196/Stats!$B$27)*(Stats!$B$21*S196)-(S196*Stats!$B$22),0)</f>
        <v>37</v>
      </c>
      <c r="T197" s="101">
        <f t="shared" si="411"/>
        <v>684159.45945945953</v>
      </c>
      <c r="U197" s="99">
        <f xml:space="preserve"> ROUND(U196 + (S196 * Stats!$B$22),0)</f>
        <v>8714631</v>
      </c>
      <c r="V197" s="99">
        <f>ROUND(S197*(Stats!$I$14/100),0)</f>
        <v>1</v>
      </c>
      <c r="W197" s="105">
        <f t="shared" si="287"/>
        <v>619600</v>
      </c>
      <c r="X197" s="118">
        <v>195</v>
      </c>
      <c r="AD197" s="105"/>
      <c r="AF197" s="140">
        <v>1177</v>
      </c>
      <c r="AG197" s="138">
        <f t="shared" si="417"/>
        <v>67</v>
      </c>
      <c r="AH197" s="138">
        <f t="shared" si="418"/>
        <v>5.86</v>
      </c>
      <c r="AI197" s="140">
        <v>29</v>
      </c>
      <c r="AJ197" s="138">
        <f t="shared" si="419"/>
        <v>3</v>
      </c>
      <c r="AK197" s="5">
        <f t="shared" si="420"/>
        <v>10.91</v>
      </c>
      <c r="AL197" s="5" t="str">
        <f t="shared" si="231"/>
        <v>1</v>
      </c>
      <c r="AM197" s="5" t="str">
        <f t="shared" si="232"/>
        <v>2</v>
      </c>
      <c r="AN197" s="5" t="str">
        <f t="shared" si="233"/>
        <v>1</v>
      </c>
      <c r="AO197" s="5" t="str">
        <f t="shared" si="234"/>
        <v>9</v>
      </c>
    </row>
    <row r="198" spans="1:41" x14ac:dyDescent="0.25">
      <c r="A198" s="206">
        <v>44086</v>
      </c>
      <c r="B198" s="121">
        <v>253985</v>
      </c>
      <c r="C198" s="6">
        <f t="shared" si="426"/>
        <v>809</v>
      </c>
      <c r="D198" s="19">
        <f t="shared" si="427"/>
        <v>0.32</v>
      </c>
      <c r="E198" s="35">
        <f t="shared" si="428"/>
        <v>32</v>
      </c>
      <c r="F198" s="25">
        <f>ROUND((B198/Stats!$B$8)*100000,0)</f>
        <v>2530</v>
      </c>
      <c r="G198" s="22">
        <f>ROUND((C198/Stats!$B$8)*100000,0)</f>
        <v>8</v>
      </c>
      <c r="H198" s="213">
        <v>6208</v>
      </c>
      <c r="I198" s="6">
        <f t="shared" si="429"/>
        <v>11</v>
      </c>
      <c r="J198" s="35">
        <f t="shared" si="430"/>
        <v>0.18</v>
      </c>
      <c r="K198" s="9">
        <f t="shared" si="399"/>
        <v>2.44</v>
      </c>
      <c r="L198" s="43">
        <f>ROUND(((H198/Stats!$B$8)*100000),0)</f>
        <v>62</v>
      </c>
      <c r="M198" s="96">
        <f>Stats!$B$8-N198</f>
        <v>4403117</v>
      </c>
      <c r="N198" s="97">
        <f>ROUND(Stats!$B$33/(1+(Stats!$B$34*EXP(-1*Stats!$B$32*(X198-$X$25)))),0)</f>
        <v>5635990</v>
      </c>
      <c r="O198" s="101">
        <f t="shared" si="410"/>
        <v>95.493515779836372</v>
      </c>
      <c r="P198" s="97">
        <f>ROUND(N198*(Stats!$I$14/100),0)</f>
        <v>136391</v>
      </c>
      <c r="Q198" s="101">
        <f t="shared" si="286"/>
        <v>95.448380025074968</v>
      </c>
      <c r="R198" s="109">
        <f xml:space="preserve"> ROUND(R197 - ((R197 / Stats!$B$27)*(Stats!$B$21*S197)),0)</f>
        <v>1324964</v>
      </c>
      <c r="S198" s="99">
        <f xml:space="preserve"> ROUND(S197 + (R197/Stats!$B$27)*(Stats!$B$21*S197)-(S197*Stats!$B$22),0)</f>
        <v>33</v>
      </c>
      <c r="T198" s="101">
        <f t="shared" si="411"/>
        <v>769551.51515151514</v>
      </c>
      <c r="U198" s="99">
        <f xml:space="preserve"> ROUND(U197 + (S197 * Stats!$B$22),0)</f>
        <v>8714636</v>
      </c>
      <c r="V198" s="99">
        <f>ROUND(S198*(Stats!$I$14/100),0)</f>
        <v>1</v>
      </c>
      <c r="W198" s="105">
        <f t="shared" si="287"/>
        <v>620700</v>
      </c>
      <c r="X198" s="118">
        <v>196</v>
      </c>
      <c r="AD198" s="105"/>
      <c r="AF198" s="140">
        <v>816</v>
      </c>
      <c r="AG198" s="138">
        <f t="shared" si="417"/>
        <v>7</v>
      </c>
      <c r="AH198" s="138">
        <f t="shared" si="418"/>
        <v>0.86</v>
      </c>
      <c r="AI198" s="140">
        <v>11</v>
      </c>
      <c r="AJ198" s="138">
        <f t="shared" si="419"/>
        <v>0</v>
      </c>
      <c r="AK198" s="5">
        <f t="shared" si="420"/>
        <v>0</v>
      </c>
      <c r="AL198" s="5" t="str">
        <f t="shared" si="231"/>
        <v>8</v>
      </c>
      <c r="AM198" s="5" t="str">
        <f t="shared" si="232"/>
        <v>1</v>
      </c>
      <c r="AN198" s="5" t="str">
        <f t="shared" si="233"/>
        <v>1</v>
      </c>
      <c r="AO198" s="5" t="str">
        <f t="shared" si="234"/>
        <v>1</v>
      </c>
    </row>
    <row r="199" spans="1:41" x14ac:dyDescent="0.25">
      <c r="A199" s="206">
        <v>44087</v>
      </c>
      <c r="B199" s="121">
        <v>254656</v>
      </c>
      <c r="C199" s="6">
        <f t="shared" si="426"/>
        <v>671</v>
      </c>
      <c r="D199" s="19">
        <f t="shared" si="427"/>
        <v>0.26</v>
      </c>
      <c r="E199" s="35">
        <f t="shared" si="428"/>
        <v>26</v>
      </c>
      <c r="F199" s="25">
        <f>ROUND((B199/Stats!$B$8)*100000,0)</f>
        <v>2537</v>
      </c>
      <c r="G199" s="22">
        <f>ROUND((C199/Stats!$B$8)*100000,0)</f>
        <v>7</v>
      </c>
      <c r="H199" s="213">
        <v>6231</v>
      </c>
      <c r="I199" s="6">
        <f t="shared" si="429"/>
        <v>23</v>
      </c>
      <c r="J199" s="35">
        <f t="shared" si="430"/>
        <v>0.37</v>
      </c>
      <c r="K199" s="9">
        <f t="shared" si="399"/>
        <v>2.4500000000000002</v>
      </c>
      <c r="L199" s="43">
        <f>ROUND(((H199/Stats!$B$8)*100000),0)</f>
        <v>62</v>
      </c>
      <c r="M199" s="96">
        <f>Stats!$B$8-N199</f>
        <v>4403117</v>
      </c>
      <c r="N199" s="97">
        <f>ROUND(Stats!$B$33/(1+(Stats!$B$34*EXP(-1*Stats!$B$32*(X199-$X$25)))),0)</f>
        <v>5635990</v>
      </c>
      <c r="O199" s="101">
        <f t="shared" si="410"/>
        <v>95.481610151898778</v>
      </c>
      <c r="P199" s="97">
        <f>ROUND(N199*(Stats!$I$14/100),0)</f>
        <v>136391</v>
      </c>
      <c r="Q199" s="101">
        <f t="shared" si="286"/>
        <v>95.431516742307039</v>
      </c>
      <c r="R199" s="109">
        <f xml:space="preserve"> ROUND(R198 - ((R198 / Stats!$B$27)*(Stats!$B$21*S198)),0)</f>
        <v>1324963</v>
      </c>
      <c r="S199" s="99">
        <f xml:space="preserve"> ROUND(S198 + (R198/Stats!$B$27)*(Stats!$B$21*S198)-(S198*Stats!$B$22),0)</f>
        <v>30</v>
      </c>
      <c r="T199" s="101">
        <f t="shared" si="411"/>
        <v>848753.33333333326</v>
      </c>
      <c r="U199" s="99">
        <f xml:space="preserve"> ROUND(U198 + (S198 * Stats!$B$22),0)</f>
        <v>8714641</v>
      </c>
      <c r="V199" s="99">
        <f>ROUND(S199*(Stats!$I$14/100),0)</f>
        <v>1</v>
      </c>
      <c r="W199" s="105">
        <f t="shared" si="287"/>
        <v>623000</v>
      </c>
      <c r="X199" s="118">
        <v>197</v>
      </c>
      <c r="AD199" s="105"/>
      <c r="AF199" s="140">
        <v>733</v>
      </c>
      <c r="AG199" s="138">
        <f t="shared" si="417"/>
        <v>62</v>
      </c>
      <c r="AH199" s="138">
        <f t="shared" si="418"/>
        <v>8.83</v>
      </c>
      <c r="AI199" s="140">
        <v>24</v>
      </c>
      <c r="AJ199" s="138">
        <f t="shared" si="419"/>
        <v>1</v>
      </c>
      <c r="AK199" s="5">
        <f t="shared" si="420"/>
        <v>4.26</v>
      </c>
      <c r="AL199" s="5" t="str">
        <f t="shared" si="231"/>
        <v>7</v>
      </c>
      <c r="AM199" s="5" t="str">
        <f t="shared" si="232"/>
        <v>2</v>
      </c>
      <c r="AN199" s="5" t="str">
        <f t="shared" si="233"/>
        <v>3</v>
      </c>
      <c r="AO199" s="5" t="str">
        <f t="shared" si="234"/>
        <v>4</v>
      </c>
    </row>
    <row r="200" spans="1:41" x14ac:dyDescent="0.25">
      <c r="A200" s="206">
        <v>44088</v>
      </c>
      <c r="B200" s="121">
        <v>255049</v>
      </c>
      <c r="C200" s="6">
        <f t="shared" ref="C200:C204" si="431">B200-B199</f>
        <v>393</v>
      </c>
      <c r="D200" s="19">
        <f t="shared" ref="D200:D204" si="432">ROUND(((B200/B199)-1)*100,2)</f>
        <v>0.15</v>
      </c>
      <c r="E200" s="35">
        <f t="shared" ref="E200:E204" si="433">IFERROR(ROUND((C200/B200)*10000,0),"")</f>
        <v>15</v>
      </c>
      <c r="F200" s="25">
        <f>ROUND((B200/Stats!$B$8)*100000,0)</f>
        <v>2541</v>
      </c>
      <c r="G200" s="22">
        <f>ROUND((C200/Stats!$B$8)*100000,0)</f>
        <v>4</v>
      </c>
      <c r="H200" s="213">
        <v>6273</v>
      </c>
      <c r="I200" s="6">
        <f t="shared" ref="I200:I204" si="434">H200-H199</f>
        <v>42</v>
      </c>
      <c r="J200" s="35">
        <f t="shared" ref="J200:J204" si="435">IFERROR(ROUND(((H200/H199)-1)*100,2),"")</f>
        <v>0.67</v>
      </c>
      <c r="K200" s="9">
        <f t="shared" si="399"/>
        <v>2.46</v>
      </c>
      <c r="L200" s="43">
        <f>ROUND(((H200/Stats!$B$8)*100000),0)</f>
        <v>62</v>
      </c>
      <c r="M200" s="96">
        <f>Stats!$B$8-N200</f>
        <v>4403117</v>
      </c>
      <c r="N200" s="97">
        <f>ROUND(Stats!$B$33/(1+(Stats!$B$34*EXP(-1*Stats!$B$32*(X200-$X$25)))),0)</f>
        <v>5635990</v>
      </c>
      <c r="O200" s="101">
        <f t="shared" si="410"/>
        <v>95.474637109008356</v>
      </c>
      <c r="P200" s="97">
        <f>ROUND(N200*(Stats!$I$14/100),0)</f>
        <v>136391</v>
      </c>
      <c r="Q200" s="101">
        <f t="shared" si="286"/>
        <v>95.400722921600405</v>
      </c>
      <c r="R200" s="109">
        <f xml:space="preserve"> ROUND(R199 - ((R199 / Stats!$B$27)*(Stats!$B$21*S199)),0)</f>
        <v>1324962</v>
      </c>
      <c r="S200" s="99">
        <f xml:space="preserve"> ROUND(S199 + (R199/Stats!$B$27)*(Stats!$B$21*S199)-(S199*Stats!$B$22),0)</f>
        <v>27</v>
      </c>
      <c r="T200" s="101">
        <f t="shared" si="411"/>
        <v>944525.92592592596</v>
      </c>
      <c r="U200" s="99">
        <f xml:space="preserve"> ROUND(U199 + (S199 * Stats!$B$22),0)</f>
        <v>8714645</v>
      </c>
      <c r="V200" s="99">
        <f>ROUND(S200*(Stats!$I$14/100),0)</f>
        <v>1</v>
      </c>
      <c r="W200" s="105">
        <f t="shared" si="287"/>
        <v>627200</v>
      </c>
      <c r="X200" s="118">
        <v>198</v>
      </c>
      <c r="AD200" s="105"/>
      <c r="AF200" s="140">
        <v>474</v>
      </c>
      <c r="AG200" s="138">
        <f t="shared" si="417"/>
        <v>81</v>
      </c>
      <c r="AH200" s="138">
        <f t="shared" si="418"/>
        <v>18.690000000000001</v>
      </c>
      <c r="AI200" s="140">
        <v>47</v>
      </c>
      <c r="AJ200" s="138">
        <f t="shared" si="419"/>
        <v>5</v>
      </c>
      <c r="AK200" s="5">
        <f t="shared" si="420"/>
        <v>11.24</v>
      </c>
      <c r="AL200" s="5" t="str">
        <f t="shared" si="231"/>
        <v>4</v>
      </c>
      <c r="AM200" s="5" t="str">
        <f t="shared" si="232"/>
        <v>4</v>
      </c>
      <c r="AN200" s="5" t="str">
        <f t="shared" si="233"/>
        <v>7</v>
      </c>
      <c r="AO200" s="5" t="str">
        <f t="shared" si="234"/>
        <v>7</v>
      </c>
    </row>
    <row r="201" spans="1:41" x14ac:dyDescent="0.25">
      <c r="A201" s="206">
        <v>44089</v>
      </c>
      <c r="B201" s="121">
        <v>256148</v>
      </c>
      <c r="C201" s="6">
        <f t="shared" si="431"/>
        <v>1099</v>
      </c>
      <c r="D201" s="19">
        <f t="shared" si="432"/>
        <v>0.43</v>
      </c>
      <c r="E201" s="35">
        <f t="shared" si="433"/>
        <v>43</v>
      </c>
      <c r="F201" s="25">
        <f>ROUND((B201/Stats!$B$8)*100000,0)</f>
        <v>2552</v>
      </c>
      <c r="G201" s="22">
        <f>ROUND((C201/Stats!$B$8)*100000,0)</f>
        <v>11</v>
      </c>
      <c r="H201" s="213">
        <v>6303</v>
      </c>
      <c r="I201" s="6">
        <f t="shared" si="434"/>
        <v>30</v>
      </c>
      <c r="J201" s="35">
        <f t="shared" si="435"/>
        <v>0.48</v>
      </c>
      <c r="K201" s="9">
        <f t="shared" si="399"/>
        <v>2.46</v>
      </c>
      <c r="L201" s="43">
        <f>ROUND(((H201/Stats!$B$8)*100000),0)</f>
        <v>63</v>
      </c>
      <c r="M201" s="96">
        <f>Stats!$B$8-N201</f>
        <v>4403117</v>
      </c>
      <c r="N201" s="97">
        <f>ROUND(Stats!$B$33/(1+(Stats!$B$34*EXP(-1*Stats!$B$32*(X201-$X$25)))),0)</f>
        <v>5635990</v>
      </c>
      <c r="O201" s="101">
        <f t="shared" si="410"/>
        <v>95.455137429271517</v>
      </c>
      <c r="P201" s="97">
        <f>ROUND(N201*(Stats!$I$14/100),0)</f>
        <v>136391</v>
      </c>
      <c r="Q201" s="101">
        <f t="shared" si="286"/>
        <v>95.37872733538137</v>
      </c>
      <c r="R201" s="109">
        <f xml:space="preserve"> ROUND(R200 - ((R200 / Stats!$B$27)*(Stats!$B$21*S200)),0)</f>
        <v>1324961</v>
      </c>
      <c r="S201" s="99">
        <f xml:space="preserve"> ROUND(S200 + (R200/Stats!$B$27)*(Stats!$B$21*S200)-(S200*Stats!$B$22),0)</f>
        <v>24</v>
      </c>
      <c r="T201" s="101">
        <f t="shared" si="411"/>
        <v>1067183.3333333335</v>
      </c>
      <c r="U201" s="99">
        <f xml:space="preserve"> ROUND(U200 + (S200 * Stats!$B$22),0)</f>
        <v>8714649</v>
      </c>
      <c r="V201" s="99">
        <f>ROUND(S201*(Stats!$I$14/100),0)</f>
        <v>1</v>
      </c>
      <c r="W201" s="105">
        <f t="shared" si="287"/>
        <v>630200</v>
      </c>
      <c r="X201" s="118">
        <v>199</v>
      </c>
      <c r="AD201" s="105"/>
      <c r="AF201" s="140">
        <v>1148</v>
      </c>
      <c r="AG201" s="138">
        <f t="shared" si="417"/>
        <v>49</v>
      </c>
      <c r="AH201" s="138">
        <f t="shared" si="418"/>
        <v>4.3600000000000003</v>
      </c>
      <c r="AI201" s="140">
        <v>31</v>
      </c>
      <c r="AJ201" s="138">
        <f t="shared" si="419"/>
        <v>1</v>
      </c>
      <c r="AK201" s="5">
        <f t="shared" si="420"/>
        <v>3.28</v>
      </c>
      <c r="AL201" s="5" t="str">
        <f t="shared" si="231"/>
        <v>1</v>
      </c>
      <c r="AM201" s="5" t="str">
        <f t="shared" si="232"/>
        <v>3</v>
      </c>
      <c r="AN201" s="5" t="str">
        <f t="shared" si="233"/>
        <v>1</v>
      </c>
      <c r="AO201" s="5" t="str">
        <f t="shared" si="234"/>
        <v>1</v>
      </c>
    </row>
    <row r="202" spans="1:41" x14ac:dyDescent="0.25">
      <c r="A202" s="206">
        <v>44090</v>
      </c>
      <c r="B202" s="121">
        <v>257271</v>
      </c>
      <c r="C202" s="6">
        <f t="shared" si="431"/>
        <v>1123</v>
      </c>
      <c r="D202" s="19">
        <f t="shared" si="432"/>
        <v>0.44</v>
      </c>
      <c r="E202" s="35">
        <f t="shared" si="433"/>
        <v>44</v>
      </c>
      <c r="F202" s="25">
        <f>ROUND((B202/Stats!$B$8)*100000,0)</f>
        <v>2563</v>
      </c>
      <c r="G202" s="22">
        <f>ROUND((C202/Stats!$B$8)*100000,0)</f>
        <v>11</v>
      </c>
      <c r="H202" s="213">
        <v>6324</v>
      </c>
      <c r="I202" s="6">
        <f t="shared" si="434"/>
        <v>21</v>
      </c>
      <c r="J202" s="35">
        <f t="shared" si="435"/>
        <v>0.33</v>
      </c>
      <c r="K202" s="9">
        <f t="shared" si="399"/>
        <v>2.46</v>
      </c>
      <c r="L202" s="43">
        <f>ROUND(((H202/Stats!$B$8)*100000),0)</f>
        <v>63</v>
      </c>
      <c r="M202" s="96">
        <f>Stats!$B$8-N202</f>
        <v>4403117</v>
      </c>
      <c r="N202" s="97">
        <f>ROUND(Stats!$B$33/(1+(Stats!$B$34*EXP(-1*Stats!$B$32*(X202-$X$25)))),0)</f>
        <v>5635990</v>
      </c>
      <c r="O202" s="101">
        <f t="shared" si="410"/>
        <v>95.435211914854364</v>
      </c>
      <c r="P202" s="97">
        <f>ROUND(N202*(Stats!$I$14/100),0)</f>
        <v>136391</v>
      </c>
      <c r="Q202" s="101">
        <f t="shared" si="286"/>
        <v>95.363330425028053</v>
      </c>
      <c r="R202" s="109">
        <f xml:space="preserve"> ROUND(R201 - ((R201 / Stats!$B$27)*(Stats!$B$21*S201)),0)</f>
        <v>1324960</v>
      </c>
      <c r="S202" s="99">
        <f xml:space="preserve"> ROUND(S201 + (R201/Stats!$B$27)*(Stats!$B$21*S201)-(S201*Stats!$B$22),0)</f>
        <v>22</v>
      </c>
      <c r="T202" s="101">
        <f t="shared" si="411"/>
        <v>1169313.6363636365</v>
      </c>
      <c r="U202" s="99">
        <f xml:space="preserve"> ROUND(U201 + (S201 * Stats!$B$22),0)</f>
        <v>8714652</v>
      </c>
      <c r="V202" s="99">
        <f>ROUND(S202*(Stats!$I$14/100),0)</f>
        <v>1</v>
      </c>
      <c r="W202" s="105">
        <f t="shared" si="287"/>
        <v>632300</v>
      </c>
      <c r="X202" s="118">
        <v>200</v>
      </c>
      <c r="AD202" s="105"/>
      <c r="AF202" s="140">
        <v>1160</v>
      </c>
      <c r="AG202" s="138">
        <f t="shared" si="417"/>
        <v>37</v>
      </c>
      <c r="AH202" s="138">
        <f t="shared" si="418"/>
        <v>3.24</v>
      </c>
      <c r="AI202" s="140">
        <v>38</v>
      </c>
      <c r="AJ202" s="138">
        <f t="shared" si="419"/>
        <v>17</v>
      </c>
      <c r="AK202" s="5">
        <f t="shared" si="420"/>
        <v>57.63</v>
      </c>
      <c r="AL202" s="5" t="str">
        <f t="shared" si="231"/>
        <v>1</v>
      </c>
      <c r="AM202" s="5" t="str">
        <f t="shared" si="232"/>
        <v>3</v>
      </c>
      <c r="AN202" s="5" t="str">
        <f t="shared" si="233"/>
        <v>1</v>
      </c>
      <c r="AO202" s="5" t="str">
        <f t="shared" si="234"/>
        <v>8</v>
      </c>
    </row>
    <row r="203" spans="1:41" ht="60" x14ac:dyDescent="0.25">
      <c r="A203" s="206">
        <v>44091</v>
      </c>
      <c r="B203" s="121">
        <v>258516</v>
      </c>
      <c r="C203" s="6">
        <f t="shared" si="431"/>
        <v>1245</v>
      </c>
      <c r="D203" s="19">
        <f t="shared" si="432"/>
        <v>0.48</v>
      </c>
      <c r="E203" s="35">
        <f t="shared" si="433"/>
        <v>48</v>
      </c>
      <c r="F203" s="25">
        <f>ROUND((B203/Stats!$B$8)*100000,0)</f>
        <v>2575</v>
      </c>
      <c r="G203" s="22">
        <f>ROUND((C203/Stats!$B$8)*100000,0)</f>
        <v>12</v>
      </c>
      <c r="H203" s="166">
        <v>6330</v>
      </c>
      <c r="I203" s="6">
        <f t="shared" si="434"/>
        <v>6</v>
      </c>
      <c r="J203" s="35">
        <f t="shared" si="435"/>
        <v>0.09</v>
      </c>
      <c r="K203" s="9">
        <f t="shared" si="399"/>
        <v>2.4500000000000002</v>
      </c>
      <c r="L203" s="43">
        <f>ROUND(((H203/Stats!$B$8)*100000),0)</f>
        <v>63</v>
      </c>
      <c r="M203" s="96">
        <f>Stats!$B$8-N203</f>
        <v>4403117</v>
      </c>
      <c r="N203" s="97">
        <f>ROUND(Stats!$B$33/(1+(Stats!$B$34*EXP(-1*Stats!$B$32*(X203-$X$25)))),0)</f>
        <v>5635990</v>
      </c>
      <c r="O203" s="101">
        <f t="shared" si="410"/>
        <v>95.413121740812173</v>
      </c>
      <c r="P203" s="97">
        <f>ROUND(N203*(Stats!$I$14/100),0)</f>
        <v>136391</v>
      </c>
      <c r="Q203" s="101">
        <f t="shared" si="286"/>
        <v>95.358931307784232</v>
      </c>
      <c r="R203" s="109">
        <f xml:space="preserve"> ROUND(R202 - ((R202 / Stats!$B$27)*(Stats!$B$21*S202)),0)</f>
        <v>1324959</v>
      </c>
      <c r="S203" s="99">
        <f xml:space="preserve"> ROUND(S202 + (R202/Stats!$B$27)*(Stats!$B$21*S202)-(S202*Stats!$B$22),0)</f>
        <v>20</v>
      </c>
      <c r="T203" s="101">
        <f t="shared" si="411"/>
        <v>1292480</v>
      </c>
      <c r="U203" s="99">
        <f xml:space="preserve"> ROUND(U202 + (S202 * Stats!$B$22),0)</f>
        <v>8714655</v>
      </c>
      <c r="V203" s="99">
        <f>ROUND(S203*(Stats!$I$14/100),0)</f>
        <v>0</v>
      </c>
      <c r="W203" s="105" t="str">
        <f t="shared" si="287"/>
        <v/>
      </c>
      <c r="X203" s="118">
        <v>201</v>
      </c>
      <c r="AD203" s="105"/>
      <c r="AE203" s="51" t="s">
        <v>339</v>
      </c>
      <c r="AF203" s="140">
        <v>1281</v>
      </c>
      <c r="AG203" s="138">
        <f t="shared" si="417"/>
        <v>36</v>
      </c>
      <c r="AH203" s="138">
        <f t="shared" si="418"/>
        <v>2.85</v>
      </c>
      <c r="AI203" s="140">
        <v>22</v>
      </c>
      <c r="AJ203" s="138">
        <f t="shared" si="419"/>
        <v>16</v>
      </c>
      <c r="AK203" s="5">
        <f t="shared" si="420"/>
        <v>114.29</v>
      </c>
      <c r="AL203" s="5" t="str">
        <f t="shared" si="231"/>
        <v>1</v>
      </c>
      <c r="AM203" s="5" t="str">
        <f t="shared" si="232"/>
        <v>2</v>
      </c>
      <c r="AN203" s="5" t="str">
        <f t="shared" si="233"/>
        <v>2</v>
      </c>
      <c r="AO203" s="5" t="str">
        <f t="shared" si="234"/>
        <v>2</v>
      </c>
    </row>
    <row r="204" spans="1:41" ht="30" x14ac:dyDescent="0.25">
      <c r="A204" s="206">
        <v>44092</v>
      </c>
      <c r="B204" s="121">
        <v>259817</v>
      </c>
      <c r="C204" s="6">
        <f t="shared" si="431"/>
        <v>1301</v>
      </c>
      <c r="D204" s="19">
        <f t="shared" si="432"/>
        <v>0.5</v>
      </c>
      <c r="E204" s="35">
        <f t="shared" si="433"/>
        <v>50</v>
      </c>
      <c r="F204" s="25">
        <f>ROUND((B204/Stats!$B$8)*100000,0)</f>
        <v>2588</v>
      </c>
      <c r="G204" s="22">
        <f>ROUND((C204/Stats!$B$8)*100000,0)</f>
        <v>13</v>
      </c>
      <c r="H204" s="166">
        <v>6330</v>
      </c>
      <c r="I204" s="47">
        <f t="shared" si="434"/>
        <v>0</v>
      </c>
      <c r="J204" s="35">
        <f t="shared" si="435"/>
        <v>0</v>
      </c>
      <c r="K204" s="9">
        <f t="shared" si="399"/>
        <v>2.44</v>
      </c>
      <c r="L204" s="43">
        <f>ROUND(((H204/Stats!$B$8)*100000),0)</f>
        <v>63</v>
      </c>
      <c r="M204" s="96">
        <f>Stats!$B$8-N204</f>
        <v>4403117</v>
      </c>
      <c r="N204" s="97">
        <f>ROUND(Stats!$B$33/(1+(Stats!$B$34*EXP(-1*Stats!$B$32*(X204-$X$25)))),0)</f>
        <v>5635990</v>
      </c>
      <c r="O204" s="101">
        <f t="shared" si="410"/>
        <v>95.390037952515883</v>
      </c>
      <c r="P204" s="97">
        <f>ROUND(N204*(Stats!$I$14/100),0)</f>
        <v>136391</v>
      </c>
      <c r="Q204" s="101">
        <f t="shared" si="286"/>
        <v>95.358931307784232</v>
      </c>
      <c r="R204" s="109">
        <f xml:space="preserve"> ROUND(R203 - ((R203 / Stats!$B$27)*(Stats!$B$21*S203)),0)</f>
        <v>1324958</v>
      </c>
      <c r="S204" s="99">
        <f xml:space="preserve"> ROUND(S203 + (R203/Stats!$B$27)*(Stats!$B$21*S203)-(S203*Stats!$B$22),0)</f>
        <v>18</v>
      </c>
      <c r="T204" s="101">
        <f t="shared" si="411"/>
        <v>1443327.7777777778</v>
      </c>
      <c r="U204" s="99">
        <f xml:space="preserve"> ROUND(U203 + (S203 * Stats!$B$22),0)</f>
        <v>8714658</v>
      </c>
      <c r="V204" s="99">
        <f>ROUND(S204*(Stats!$I$14/100),0)</f>
        <v>0</v>
      </c>
      <c r="W204" s="105" t="str">
        <f t="shared" si="287"/>
        <v/>
      </c>
      <c r="X204" s="118">
        <v>202</v>
      </c>
      <c r="AD204" s="105"/>
      <c r="AE204" s="129" t="s">
        <v>344</v>
      </c>
      <c r="AF204" s="140">
        <v>1343</v>
      </c>
      <c r="AG204" s="138">
        <f t="shared" si="417"/>
        <v>42</v>
      </c>
      <c r="AH204" s="138">
        <f t="shared" si="418"/>
        <v>3.18</v>
      </c>
      <c r="AI204" s="163">
        <v>13</v>
      </c>
      <c r="AJ204" s="138">
        <f t="shared" si="419"/>
        <v>13</v>
      </c>
      <c r="AK204" s="5">
        <f t="shared" si="420"/>
        <v>200</v>
      </c>
      <c r="AL204" s="5" t="str">
        <f t="shared" si="231"/>
        <v>1</v>
      </c>
      <c r="AM204" s="5" t="str">
        <f t="shared" si="232"/>
        <v>1</v>
      </c>
      <c r="AN204" s="5" t="str">
        <f t="shared" si="233"/>
        <v>3</v>
      </c>
      <c r="AO204" s="5" t="str">
        <f t="shared" si="234"/>
        <v>3</v>
      </c>
    </row>
    <row r="205" spans="1:41" ht="60" x14ac:dyDescent="0.25">
      <c r="A205" s="206">
        <v>44093</v>
      </c>
      <c r="B205" s="121">
        <v>260797</v>
      </c>
      <c r="C205" s="6">
        <f t="shared" ref="C205" si="436">B205-B204</f>
        <v>980</v>
      </c>
      <c r="D205" s="19">
        <f t="shared" ref="D205" si="437">ROUND(((B205/B204)-1)*100,2)</f>
        <v>0.38</v>
      </c>
      <c r="E205" s="35">
        <f t="shared" ref="E205" si="438">IFERROR(ROUND((C205/B205)*10000,0),"")</f>
        <v>38</v>
      </c>
      <c r="F205" s="25">
        <f>ROUND((B205/Stats!$B$8)*100000,0)</f>
        <v>2598</v>
      </c>
      <c r="G205" s="22">
        <f>ROUND((C205/Stats!$B$8)*100000,0)</f>
        <v>10</v>
      </c>
      <c r="H205" s="213">
        <v>6353</v>
      </c>
      <c r="I205" s="6">
        <f t="shared" ref="I205" si="439">H205-H204</f>
        <v>23</v>
      </c>
      <c r="J205" s="35">
        <f t="shared" ref="J205" si="440">IFERROR(ROUND(((H205/H204)-1)*100,2),"")</f>
        <v>0.36</v>
      </c>
      <c r="K205" s="9">
        <f t="shared" si="399"/>
        <v>2.44</v>
      </c>
      <c r="L205" s="43">
        <f>ROUND(((H205/Stats!$B$8)*100000),0)</f>
        <v>63</v>
      </c>
      <c r="M205" s="96">
        <f>Stats!$B$8-N205</f>
        <v>4403117</v>
      </c>
      <c r="N205" s="97">
        <f>ROUND(Stats!$B$33/(1+(Stats!$B$34*EXP(-1*Stats!$B$32*(X205-$X$25)))),0)</f>
        <v>5635990</v>
      </c>
      <c r="O205" s="101">
        <f t="shared" si="410"/>
        <v>95.37264970306903</v>
      </c>
      <c r="P205" s="97">
        <f>ROUND(N205*(Stats!$I$14/100),0)</f>
        <v>136391</v>
      </c>
      <c r="Q205" s="101">
        <f t="shared" si="286"/>
        <v>95.342068025016317</v>
      </c>
      <c r="R205" s="109">
        <f xml:space="preserve"> ROUND(R204 - ((R204 / Stats!$B$27)*(Stats!$B$21*S204)),0)</f>
        <v>1324957</v>
      </c>
      <c r="S205" s="99">
        <f xml:space="preserve"> ROUND(S204 + (R204/Stats!$B$27)*(Stats!$B$21*S204)-(S204*Stats!$B$22),0)</f>
        <v>16</v>
      </c>
      <c r="T205" s="101">
        <f t="shared" si="411"/>
        <v>1629881.25</v>
      </c>
      <c r="U205" s="99">
        <f xml:space="preserve"> ROUND(U204 + (S204 * Stats!$B$22),0)</f>
        <v>8714661</v>
      </c>
      <c r="V205" s="99">
        <f>ROUND(S205*(Stats!$I$14/100),0)</f>
        <v>0</v>
      </c>
      <c r="W205" s="105" t="str">
        <f t="shared" si="287"/>
        <v/>
      </c>
      <c r="X205" s="118">
        <v>203</v>
      </c>
      <c r="AD205" s="105"/>
      <c r="AE205" s="51" t="s">
        <v>367</v>
      </c>
      <c r="AF205" s="140">
        <v>991</v>
      </c>
      <c r="AG205" s="138">
        <f t="shared" si="417"/>
        <v>11</v>
      </c>
      <c r="AH205" s="138">
        <f t="shared" si="418"/>
        <v>1.1200000000000001</v>
      </c>
      <c r="AI205" s="140">
        <v>23</v>
      </c>
      <c r="AJ205" s="138">
        <f t="shared" si="419"/>
        <v>0</v>
      </c>
      <c r="AK205" s="5">
        <f t="shared" si="420"/>
        <v>0</v>
      </c>
      <c r="AL205" s="5" t="str">
        <f t="shared" ref="AL205:AL268" si="441">LEFT(AF205,1)</f>
        <v>9</v>
      </c>
      <c r="AM205" s="5" t="str">
        <f t="shared" ref="AM205:AM268" si="442">LEFT(AI205,1)</f>
        <v>2</v>
      </c>
      <c r="AN205" s="5" t="str">
        <f t="shared" ref="AN205:AN268" si="443">RIGHT(LEFT(AF205,2),1)</f>
        <v>9</v>
      </c>
      <c r="AO205" s="5" t="str">
        <f t="shared" ref="AO205:AO268" si="444">RIGHT(LEFT(AI205,2),1)</f>
        <v>3</v>
      </c>
    </row>
    <row r="206" spans="1:41" x14ac:dyDescent="0.25">
      <c r="A206" s="206">
        <v>44094</v>
      </c>
      <c r="B206" s="121">
        <v>261446</v>
      </c>
      <c r="C206" s="6">
        <f t="shared" ref="C206:C211" si="445">B206-B205</f>
        <v>649</v>
      </c>
      <c r="D206" s="19">
        <f t="shared" ref="D206:D211" si="446">ROUND(((B206/B205)-1)*100,2)</f>
        <v>0.25</v>
      </c>
      <c r="E206" s="35">
        <f t="shared" ref="E206:E211" si="447">IFERROR(ROUND((C206/B206)*10000,0),"")</f>
        <v>25</v>
      </c>
      <c r="F206" s="25">
        <f>ROUND((B206/Stats!$B$8)*100000,0)</f>
        <v>2604</v>
      </c>
      <c r="G206" s="22">
        <f>ROUND((C206/Stats!$B$8)*100000,0)</f>
        <v>6</v>
      </c>
      <c r="H206" s="213">
        <v>6366</v>
      </c>
      <c r="I206" s="6">
        <f t="shared" ref="I206:I211" si="448">H206-H205</f>
        <v>13</v>
      </c>
      <c r="J206" s="35">
        <f t="shared" ref="J206:J211" si="449">IFERROR(ROUND(((H206/H205)-1)*100,2),"")</f>
        <v>0.2</v>
      </c>
      <c r="K206" s="9">
        <f t="shared" si="399"/>
        <v>2.4300000000000002</v>
      </c>
      <c r="L206" s="43">
        <f>ROUND(((H206/Stats!$B$8)*100000),0)</f>
        <v>63</v>
      </c>
      <c r="M206" s="96">
        <f>Stats!$B$8-N206</f>
        <v>4403117</v>
      </c>
      <c r="N206" s="97">
        <f>ROUND(Stats!$B$33/(1+(Stats!$B$34*EXP(-1*Stats!$B$32*(X206-$X$25)))),0)</f>
        <v>5635990</v>
      </c>
      <c r="O206" s="101">
        <f t="shared" si="410"/>
        <v>95.361134423588396</v>
      </c>
      <c r="P206" s="97">
        <f>ROUND(N206*(Stats!$I$14/100),0)</f>
        <v>136391</v>
      </c>
      <c r="Q206" s="101">
        <f t="shared" si="286"/>
        <v>95.33253660432139</v>
      </c>
      <c r="R206" s="109">
        <f xml:space="preserve"> ROUND(R205 - ((R205 / Stats!$B$27)*(Stats!$B$21*S205)),0)</f>
        <v>1324956</v>
      </c>
      <c r="S206" s="99">
        <f xml:space="preserve"> ROUND(S205 + (R205/Stats!$B$27)*(Stats!$B$21*S205)-(S205*Stats!$B$22),0)</f>
        <v>14</v>
      </c>
      <c r="T206" s="101">
        <f t="shared" si="411"/>
        <v>1867371.4285714286</v>
      </c>
      <c r="U206" s="99">
        <f xml:space="preserve"> ROUND(U205 + (S205 * Stats!$B$22),0)</f>
        <v>8714663</v>
      </c>
      <c r="V206" s="99">
        <f>ROUND(S206*(Stats!$I$14/100),0)</f>
        <v>0</v>
      </c>
      <c r="W206" s="105" t="str">
        <f t="shared" si="287"/>
        <v/>
      </c>
      <c r="X206" s="118">
        <v>204</v>
      </c>
      <c r="AD206" s="105"/>
      <c r="AF206" s="140">
        <v>652</v>
      </c>
      <c r="AG206" s="138">
        <f t="shared" si="417"/>
        <v>3</v>
      </c>
      <c r="AH206" s="138">
        <f t="shared" si="418"/>
        <v>0.46</v>
      </c>
      <c r="AI206" s="140">
        <v>16</v>
      </c>
      <c r="AJ206" s="138">
        <f t="shared" si="419"/>
        <v>3</v>
      </c>
      <c r="AK206" s="5">
        <f t="shared" si="420"/>
        <v>20.69</v>
      </c>
      <c r="AL206" s="5" t="str">
        <f t="shared" si="441"/>
        <v>6</v>
      </c>
      <c r="AM206" s="5" t="str">
        <f t="shared" si="442"/>
        <v>1</v>
      </c>
      <c r="AN206" s="5" t="str">
        <f t="shared" si="443"/>
        <v>5</v>
      </c>
      <c r="AO206" s="5" t="str">
        <f t="shared" si="444"/>
        <v>6</v>
      </c>
    </row>
    <row r="207" spans="1:41" x14ac:dyDescent="0.25">
      <c r="A207" s="206">
        <v>44095</v>
      </c>
      <c r="B207" s="121">
        <v>262133</v>
      </c>
      <c r="C207" s="6">
        <f t="shared" si="445"/>
        <v>687</v>
      </c>
      <c r="D207" s="19">
        <f t="shared" si="446"/>
        <v>0.26</v>
      </c>
      <c r="E207" s="35">
        <f t="shared" si="447"/>
        <v>26</v>
      </c>
      <c r="F207" s="25">
        <f>ROUND((B207/Stats!$B$8)*100000,0)</f>
        <v>2611</v>
      </c>
      <c r="G207" s="22">
        <f>ROUND((C207/Stats!$B$8)*100000,0)</f>
        <v>7</v>
      </c>
      <c r="H207" s="213">
        <v>6401</v>
      </c>
      <c r="I207" s="6">
        <f t="shared" si="448"/>
        <v>35</v>
      </c>
      <c r="J207" s="35">
        <f t="shared" si="449"/>
        <v>0.55000000000000004</v>
      </c>
      <c r="K207" s="9">
        <f t="shared" si="399"/>
        <v>2.44</v>
      </c>
      <c r="L207" s="43">
        <f>ROUND(((H207/Stats!$B$8)*100000),0)</f>
        <v>64</v>
      </c>
      <c r="M207" s="96">
        <f>Stats!$B$8-N207</f>
        <v>4403117</v>
      </c>
      <c r="N207" s="97">
        <f>ROUND(Stats!$B$33/(1+(Stats!$B$34*EXP(-1*Stats!$B$32*(X207-$X$25)))),0)</f>
        <v>5635990</v>
      </c>
      <c r="O207" s="101">
        <f t="shared" si="410"/>
        <v>95.348944905863917</v>
      </c>
      <c r="P207" s="97">
        <f>ROUND(N207*(Stats!$I$14/100),0)</f>
        <v>136391</v>
      </c>
      <c r="Q207" s="101">
        <f t="shared" si="286"/>
        <v>95.306875087065862</v>
      </c>
      <c r="R207" s="109">
        <f xml:space="preserve"> ROUND(R206 - ((R206 / Stats!$B$27)*(Stats!$B$21*S206)),0)</f>
        <v>1324955</v>
      </c>
      <c r="S207" s="99">
        <f xml:space="preserve"> ROUND(S206 + (R206/Stats!$B$27)*(Stats!$B$21*S206)-(S206*Stats!$B$22),0)</f>
        <v>13</v>
      </c>
      <c r="T207" s="101">
        <f t="shared" si="411"/>
        <v>2016307.6923076923</v>
      </c>
      <c r="U207" s="99">
        <f xml:space="preserve"> ROUND(U206 + (S206 * Stats!$B$22),0)</f>
        <v>8714665</v>
      </c>
      <c r="V207" s="99">
        <f>ROUND(S207*(Stats!$I$14/100),0)</f>
        <v>0</v>
      </c>
      <c r="W207" s="105" t="str">
        <f t="shared" si="287"/>
        <v/>
      </c>
      <c r="X207" s="118">
        <v>205</v>
      </c>
      <c r="AD207" s="105"/>
      <c r="AE207" s="49" t="s">
        <v>340</v>
      </c>
      <c r="AF207" s="140">
        <v>810</v>
      </c>
      <c r="AG207" s="138">
        <f t="shared" si="417"/>
        <v>123</v>
      </c>
      <c r="AH207" s="138">
        <f t="shared" si="418"/>
        <v>16.43</v>
      </c>
      <c r="AI207" s="140">
        <v>40</v>
      </c>
      <c r="AJ207" s="138">
        <f t="shared" si="419"/>
        <v>5</v>
      </c>
      <c r="AK207" s="5">
        <f t="shared" si="420"/>
        <v>13.33</v>
      </c>
      <c r="AL207" s="5" t="str">
        <f t="shared" si="441"/>
        <v>8</v>
      </c>
      <c r="AM207" s="5" t="str">
        <f t="shared" si="442"/>
        <v>4</v>
      </c>
      <c r="AN207" s="5" t="str">
        <f t="shared" si="443"/>
        <v>1</v>
      </c>
      <c r="AO207" s="5" t="str">
        <f t="shared" si="444"/>
        <v>0</v>
      </c>
    </row>
    <row r="208" spans="1:41" ht="45" x14ac:dyDescent="0.25">
      <c r="A208" s="206">
        <v>44096</v>
      </c>
      <c r="B208" s="121">
        <v>263333</v>
      </c>
      <c r="C208" s="6">
        <f t="shared" si="445"/>
        <v>1200</v>
      </c>
      <c r="D208" s="19">
        <f t="shared" si="446"/>
        <v>0.46</v>
      </c>
      <c r="E208" s="35">
        <f t="shared" si="447"/>
        <v>46</v>
      </c>
      <c r="F208" s="25">
        <f>ROUND((B208/Stats!$B$8)*100000,0)</f>
        <v>2623</v>
      </c>
      <c r="G208" s="22">
        <f>ROUND((C208/Stats!$B$8)*100000,0)</f>
        <v>12</v>
      </c>
      <c r="H208" s="213">
        <v>6423</v>
      </c>
      <c r="I208" s="6">
        <f t="shared" si="448"/>
        <v>22</v>
      </c>
      <c r="J208" s="35">
        <f t="shared" si="449"/>
        <v>0.34</v>
      </c>
      <c r="K208" s="9">
        <f t="shared" si="399"/>
        <v>2.44</v>
      </c>
      <c r="L208" s="43">
        <f>ROUND(((H208/Stats!$B$8)*100000),0)</f>
        <v>64</v>
      </c>
      <c r="M208" s="96">
        <f>Stats!$B$8-N208</f>
        <v>4403117</v>
      </c>
      <c r="N208" s="97">
        <f>ROUND(Stats!$B$33/(1+(Stats!$B$34*EXP(-1*Stats!$B$32*(X208-$X$25)))),0)</f>
        <v>5635990</v>
      </c>
      <c r="O208" s="101">
        <f t="shared" si="410"/>
        <v>95.327653171847359</v>
      </c>
      <c r="P208" s="97">
        <f>ROUND(N208*(Stats!$I$14/100),0)</f>
        <v>136391</v>
      </c>
      <c r="Q208" s="101">
        <f t="shared" si="286"/>
        <v>95.290744990505232</v>
      </c>
      <c r="R208" s="109">
        <f xml:space="preserve"> ROUND(R207 - ((R207 / Stats!$B$27)*(Stats!$B$21*S207)),0)</f>
        <v>1324954</v>
      </c>
      <c r="S208" s="99">
        <f xml:space="preserve"> ROUND(S207 + (R207/Stats!$B$27)*(Stats!$B$21*S207)-(S207*Stats!$B$22),0)</f>
        <v>12</v>
      </c>
      <c r="T208" s="101">
        <f t="shared" si="411"/>
        <v>2194341.666666667</v>
      </c>
      <c r="U208" s="99">
        <f xml:space="preserve"> ROUND(U207 + (S207 * Stats!$B$22),0)</f>
        <v>8714667</v>
      </c>
      <c r="V208" s="99">
        <f>ROUND(S208*(Stats!$I$14/100),0)</f>
        <v>0</v>
      </c>
      <c r="W208" s="105" t="str">
        <f t="shared" si="287"/>
        <v/>
      </c>
      <c r="X208" s="118">
        <v>206</v>
      </c>
      <c r="AD208" s="105"/>
      <c r="AE208" s="51" t="s">
        <v>341</v>
      </c>
      <c r="AF208" s="140">
        <v>1265</v>
      </c>
      <c r="AG208" s="138">
        <f t="shared" si="417"/>
        <v>65</v>
      </c>
      <c r="AH208" s="138">
        <f t="shared" si="418"/>
        <v>5.27</v>
      </c>
      <c r="AI208" s="140">
        <v>31</v>
      </c>
      <c r="AJ208" s="138">
        <f t="shared" si="419"/>
        <v>9</v>
      </c>
      <c r="AK208" s="5">
        <f t="shared" si="420"/>
        <v>33.96</v>
      </c>
      <c r="AL208" s="5" t="str">
        <f t="shared" si="441"/>
        <v>1</v>
      </c>
      <c r="AM208" s="5" t="str">
        <f t="shared" si="442"/>
        <v>3</v>
      </c>
      <c r="AN208" s="5" t="str">
        <f t="shared" si="443"/>
        <v>2</v>
      </c>
      <c r="AO208" s="5" t="str">
        <f t="shared" si="444"/>
        <v>1</v>
      </c>
    </row>
    <row r="209" spans="1:41" x14ac:dyDescent="0.25">
      <c r="A209" s="206">
        <v>44097</v>
      </c>
      <c r="B209" s="121">
        <v>264414</v>
      </c>
      <c r="C209" s="6">
        <f t="shared" si="445"/>
        <v>1081</v>
      </c>
      <c r="D209" s="19">
        <f t="shared" si="446"/>
        <v>0.41</v>
      </c>
      <c r="E209" s="35">
        <f t="shared" si="447"/>
        <v>41</v>
      </c>
      <c r="F209" s="25">
        <f>ROUND((B209/Stats!$B$8)*100000,0)</f>
        <v>2634</v>
      </c>
      <c r="G209" s="22">
        <f>ROUND((C209/Stats!$B$8)*100000,0)</f>
        <v>11</v>
      </c>
      <c r="H209" s="213">
        <v>6455</v>
      </c>
      <c r="I209" s="6">
        <f t="shared" si="448"/>
        <v>32</v>
      </c>
      <c r="J209" s="35">
        <f t="shared" si="449"/>
        <v>0.5</v>
      </c>
      <c r="K209" s="9">
        <f t="shared" si="399"/>
        <v>2.44</v>
      </c>
      <c r="L209" s="43">
        <f>ROUND(((H209/Stats!$B$8)*100000),0)</f>
        <v>64</v>
      </c>
      <c r="M209" s="96">
        <f>Stats!$B$8-N209</f>
        <v>4403117</v>
      </c>
      <c r="N209" s="97">
        <f>ROUND(Stats!$B$33/(1+(Stats!$B$34*EXP(-1*Stats!$B$32*(X209-$X$25)))),0)</f>
        <v>5635990</v>
      </c>
      <c r="O209" s="101">
        <f t="shared" si="410"/>
        <v>95.308472868120774</v>
      </c>
      <c r="P209" s="97">
        <f>ROUND(N209*(Stats!$I$14/100),0)</f>
        <v>136391</v>
      </c>
      <c r="Q209" s="101">
        <f t="shared" si="286"/>
        <v>95.267283031871614</v>
      </c>
      <c r="R209" s="109">
        <f xml:space="preserve"> ROUND(R208 - ((R208 / Stats!$B$27)*(Stats!$B$21*S208)),0)</f>
        <v>1324953</v>
      </c>
      <c r="S209" s="99">
        <f xml:space="preserve"> ROUND(S208 + (R208/Stats!$B$27)*(Stats!$B$21*S208)-(S208*Stats!$B$22),0)</f>
        <v>11</v>
      </c>
      <c r="T209" s="101">
        <f t="shared" si="411"/>
        <v>2403663.6363636362</v>
      </c>
      <c r="U209" s="99">
        <f xml:space="preserve"> ROUND(U208 + (S208 * Stats!$B$22),0)</f>
        <v>8714669</v>
      </c>
      <c r="V209" s="99">
        <f>ROUND(S209*(Stats!$I$14/100),0)</f>
        <v>0</v>
      </c>
      <c r="W209" s="105" t="str">
        <f t="shared" si="287"/>
        <v/>
      </c>
      <c r="X209" s="118">
        <v>207</v>
      </c>
      <c r="AD209" s="105"/>
      <c r="AF209" s="140">
        <v>1165</v>
      </c>
      <c r="AG209" s="138">
        <f t="shared" si="417"/>
        <v>84</v>
      </c>
      <c r="AH209" s="138">
        <f t="shared" si="418"/>
        <v>7.48</v>
      </c>
      <c r="AI209" s="140">
        <v>39</v>
      </c>
      <c r="AJ209" s="138">
        <f t="shared" si="419"/>
        <v>7</v>
      </c>
      <c r="AK209" s="5">
        <f t="shared" si="420"/>
        <v>19.72</v>
      </c>
      <c r="AL209" s="5" t="str">
        <f t="shared" si="441"/>
        <v>1</v>
      </c>
      <c r="AM209" s="5" t="str">
        <f t="shared" si="442"/>
        <v>3</v>
      </c>
      <c r="AN209" s="5" t="str">
        <f t="shared" si="443"/>
        <v>1</v>
      </c>
      <c r="AO209" s="5" t="str">
        <f t="shared" si="444"/>
        <v>9</v>
      </c>
    </row>
    <row r="210" spans="1:41" ht="135" x14ac:dyDescent="0.25">
      <c r="A210" s="206">
        <v>44098</v>
      </c>
      <c r="B210" s="210">
        <v>265775</v>
      </c>
      <c r="C210" s="211">
        <f t="shared" si="445"/>
        <v>1361</v>
      </c>
      <c r="D210" s="19">
        <f t="shared" si="446"/>
        <v>0.51</v>
      </c>
      <c r="E210" s="35">
        <f t="shared" si="447"/>
        <v>51</v>
      </c>
      <c r="F210" s="25">
        <f>ROUND((B210/Stats!$B$8)*100000,0)</f>
        <v>2647</v>
      </c>
      <c r="G210" s="22">
        <f>ROUND((C210/Stats!$B$8)*100000,0)</f>
        <v>14</v>
      </c>
      <c r="H210" s="166">
        <v>6488</v>
      </c>
      <c r="I210" s="211">
        <f t="shared" si="448"/>
        <v>33</v>
      </c>
      <c r="J210" s="35">
        <f t="shared" si="449"/>
        <v>0.51</v>
      </c>
      <c r="K210" s="9">
        <f t="shared" si="399"/>
        <v>2.44</v>
      </c>
      <c r="L210" s="43">
        <f>ROUND(((H210/Stats!$B$8)*100000),0)</f>
        <v>65</v>
      </c>
      <c r="M210" s="96">
        <f>Stats!$B$8-N210</f>
        <v>4403117</v>
      </c>
      <c r="N210" s="97">
        <f>ROUND(Stats!$B$33/(1+(Stats!$B$34*EXP(-1*Stats!$B$32*(X210-$X$25)))),0)</f>
        <v>5635990</v>
      </c>
      <c r="O210" s="101">
        <f t="shared" si="410"/>
        <v>95.284324493123663</v>
      </c>
      <c r="P210" s="97">
        <f>ROUND(N210*(Stats!$I$14/100),0)</f>
        <v>136391</v>
      </c>
      <c r="Q210" s="101">
        <f t="shared" si="286"/>
        <v>95.243087887030669</v>
      </c>
      <c r="R210" s="109">
        <f xml:space="preserve"> ROUND(R209 - ((R209 / Stats!$B$27)*(Stats!$B$21*S209)),0)</f>
        <v>1324953</v>
      </c>
      <c r="S210" s="99">
        <f xml:space="preserve"> ROUND(S209 + (R209/Stats!$B$27)*(Stats!$B$21*S209)-(S209*Stats!$B$22),0)</f>
        <v>10</v>
      </c>
      <c r="T210" s="101">
        <f t="shared" si="411"/>
        <v>2657650</v>
      </c>
      <c r="U210" s="99">
        <f xml:space="preserve"> ROUND(U209 + (S209 * Stats!$B$22),0)</f>
        <v>8714671</v>
      </c>
      <c r="V210" s="99">
        <f>ROUND(S210*(Stats!$I$14/100),0)</f>
        <v>0</v>
      </c>
      <c r="W210" s="105" t="str">
        <f t="shared" si="287"/>
        <v/>
      </c>
      <c r="X210" s="118">
        <v>208</v>
      </c>
      <c r="AD210" s="105"/>
      <c r="AE210" s="129" t="s">
        <v>366</v>
      </c>
      <c r="AF210" s="163">
        <v>1401</v>
      </c>
      <c r="AG210" s="164">
        <f t="shared" si="417"/>
        <v>40</v>
      </c>
      <c r="AH210" s="164">
        <f t="shared" si="418"/>
        <v>2.9</v>
      </c>
      <c r="AI210" s="163">
        <v>34</v>
      </c>
      <c r="AJ210" s="164">
        <f t="shared" si="419"/>
        <v>1</v>
      </c>
      <c r="AK210" s="209">
        <f t="shared" si="420"/>
        <v>2.99</v>
      </c>
      <c r="AL210" s="5" t="str">
        <f t="shared" si="441"/>
        <v>1</v>
      </c>
      <c r="AM210" s="5" t="str">
        <f t="shared" si="442"/>
        <v>3</v>
      </c>
      <c r="AN210" s="5" t="str">
        <f t="shared" si="443"/>
        <v>4</v>
      </c>
      <c r="AO210" s="5" t="str">
        <f t="shared" si="444"/>
        <v>4</v>
      </c>
    </row>
    <row r="211" spans="1:41" ht="135" x14ac:dyDescent="0.25">
      <c r="A211" s="206">
        <v>44099</v>
      </c>
      <c r="B211" s="121">
        <v>266988</v>
      </c>
      <c r="C211" s="6">
        <f t="shared" si="445"/>
        <v>1213</v>
      </c>
      <c r="D211" s="19">
        <f t="shared" si="446"/>
        <v>0.46</v>
      </c>
      <c r="E211" s="35">
        <f t="shared" si="447"/>
        <v>45</v>
      </c>
      <c r="F211" s="25">
        <f>ROUND((B211/Stats!$B$8)*100000,0)</f>
        <v>2659</v>
      </c>
      <c r="G211" s="22">
        <f>ROUND((C211/Stats!$B$8)*100000,0)</f>
        <v>12</v>
      </c>
      <c r="H211" s="213">
        <v>6504</v>
      </c>
      <c r="I211" s="6">
        <f t="shared" si="448"/>
        <v>16</v>
      </c>
      <c r="J211" s="35">
        <f t="shared" si="449"/>
        <v>0.25</v>
      </c>
      <c r="K211" s="9">
        <f t="shared" si="399"/>
        <v>2.44</v>
      </c>
      <c r="L211" s="43">
        <f>ROUND(((H211/Stats!$B$8)*100000),0)</f>
        <v>65</v>
      </c>
      <c r="M211" s="96">
        <f>Stats!$B$8-N211</f>
        <v>4403117</v>
      </c>
      <c r="N211" s="97">
        <f>ROUND(Stats!$B$33/(1+(Stats!$B$34*EXP(-1*Stats!$B$32*(X211-$X$25)))),0)</f>
        <v>5635990</v>
      </c>
      <c r="O211" s="101">
        <f t="shared" si="410"/>
        <v>95.262802098655257</v>
      </c>
      <c r="P211" s="97">
        <f>ROUND(N211*(Stats!$I$14/100),0)</f>
        <v>136391</v>
      </c>
      <c r="Q211" s="101">
        <f t="shared" si="286"/>
        <v>95.231356907713845</v>
      </c>
      <c r="R211" s="109">
        <f xml:space="preserve"> ROUND(R210 - ((R210 / Stats!$B$27)*(Stats!$B$21*S210)),0)</f>
        <v>1324953</v>
      </c>
      <c r="S211" s="99">
        <f xml:space="preserve"> ROUND(S210 + (R210/Stats!$B$27)*(Stats!$B$21*S210)-(S210*Stats!$B$22),0)</f>
        <v>9</v>
      </c>
      <c r="T211" s="101">
        <f t="shared" si="411"/>
        <v>2966433.333333333</v>
      </c>
      <c r="U211" s="99">
        <f xml:space="preserve"> ROUND(U210 + (S210 * Stats!$B$22),0)</f>
        <v>8714672</v>
      </c>
      <c r="V211" s="99">
        <f>ROUND(S211*(Stats!$I$14/100),0)</f>
        <v>0</v>
      </c>
      <c r="W211" s="105" t="str">
        <f t="shared" si="287"/>
        <v/>
      </c>
      <c r="X211" s="118">
        <v>209</v>
      </c>
      <c r="AD211" s="105"/>
      <c r="AE211" s="51" t="s">
        <v>342</v>
      </c>
      <c r="AF211" s="140">
        <v>1236</v>
      </c>
      <c r="AG211" s="138">
        <f t="shared" si="417"/>
        <v>23</v>
      </c>
      <c r="AH211" s="138">
        <f t="shared" si="418"/>
        <v>1.88</v>
      </c>
      <c r="AI211" s="140">
        <v>18</v>
      </c>
      <c r="AJ211" s="138">
        <f t="shared" si="419"/>
        <v>2</v>
      </c>
      <c r="AK211" s="5">
        <f t="shared" si="420"/>
        <v>11.76</v>
      </c>
      <c r="AL211" s="5" t="str">
        <f t="shared" si="441"/>
        <v>1</v>
      </c>
      <c r="AM211" s="5" t="str">
        <f t="shared" si="442"/>
        <v>1</v>
      </c>
      <c r="AN211" s="5" t="str">
        <f t="shared" si="443"/>
        <v>2</v>
      </c>
      <c r="AO211" s="5" t="str">
        <f t="shared" si="444"/>
        <v>8</v>
      </c>
    </row>
    <row r="212" spans="1:41" ht="30" x14ac:dyDescent="0.25">
      <c r="A212" s="206">
        <v>44100</v>
      </c>
      <c r="B212" s="121">
        <v>267801</v>
      </c>
      <c r="C212" s="6">
        <f t="shared" ref="C212:C213" si="450">B212-B211</f>
        <v>813</v>
      </c>
      <c r="D212" s="19">
        <f t="shared" ref="D212:D213" si="451">ROUND(((B212/B211)-1)*100,2)</f>
        <v>0.3</v>
      </c>
      <c r="E212" s="35">
        <f t="shared" ref="E212:E213" si="452">IFERROR(ROUND((C212/B212)*10000,0),"")</f>
        <v>30</v>
      </c>
      <c r="F212" s="25">
        <f>ROUND((B212/Stats!$B$8)*100000,0)</f>
        <v>2668</v>
      </c>
      <c r="G212" s="22">
        <f>ROUND((C212/Stats!$B$8)*100000,0)</f>
        <v>8</v>
      </c>
      <c r="H212" s="213">
        <v>6514</v>
      </c>
      <c r="I212" s="6">
        <f t="shared" ref="I212:I213" si="453">H212-H211</f>
        <v>10</v>
      </c>
      <c r="J212" s="35">
        <f t="shared" ref="J212:J213" si="454">IFERROR(ROUND(((H212/H211)-1)*100,2),"")</f>
        <v>0.15</v>
      </c>
      <c r="K212" s="9">
        <f t="shared" si="399"/>
        <v>2.4300000000000002</v>
      </c>
      <c r="L212" s="43">
        <f>ROUND(((H212/Stats!$B$8)*100000),0)</f>
        <v>65</v>
      </c>
      <c r="M212" s="96">
        <f>Stats!$B$8-N212</f>
        <v>4403117</v>
      </c>
      <c r="N212" s="97">
        <f>ROUND(Stats!$B$33/(1+(Stats!$B$34*EXP(-1*Stats!$B$32*(X212-$X$25)))),0)</f>
        <v>5635990</v>
      </c>
      <c r="O212" s="101">
        <f t="shared" si="410"/>
        <v>95.248376948859033</v>
      </c>
      <c r="P212" s="97">
        <f>ROUND(N212*(Stats!$I$14/100),0)</f>
        <v>136391</v>
      </c>
      <c r="Q212" s="101">
        <f t="shared" si="286"/>
        <v>95.224025045640843</v>
      </c>
      <c r="R212" s="109">
        <f xml:space="preserve"> ROUND(R211 - ((R211 / Stats!$B$27)*(Stats!$B$21*S211)),0)</f>
        <v>1324953</v>
      </c>
      <c r="S212" s="99">
        <f xml:space="preserve"> ROUND(S211 + (R211/Stats!$B$27)*(Stats!$B$21*S211)-(S211*Stats!$B$22),0)</f>
        <v>8</v>
      </c>
      <c r="T212" s="101">
        <f t="shared" si="411"/>
        <v>3347412.5</v>
      </c>
      <c r="U212" s="99">
        <f xml:space="preserve"> ROUND(U211 + (S211 * Stats!$B$22),0)</f>
        <v>8714673</v>
      </c>
      <c r="V212" s="99">
        <f>ROUND(S212*(Stats!$I$14/100),0)</f>
        <v>0</v>
      </c>
      <c r="W212" s="105" t="str">
        <f t="shared" si="287"/>
        <v/>
      </c>
      <c r="X212" s="118">
        <v>210</v>
      </c>
      <c r="AD212" s="105"/>
      <c r="AE212" s="51" t="s">
        <v>343</v>
      </c>
      <c r="AF212" s="140">
        <v>815</v>
      </c>
      <c r="AG212" s="138">
        <f t="shared" si="417"/>
        <v>2</v>
      </c>
      <c r="AH212" s="138">
        <f t="shared" si="418"/>
        <v>0.25</v>
      </c>
      <c r="AI212" s="140">
        <v>10</v>
      </c>
      <c r="AJ212" s="138">
        <f t="shared" si="419"/>
        <v>0</v>
      </c>
      <c r="AK212" s="5">
        <f t="shared" si="420"/>
        <v>0</v>
      </c>
      <c r="AL212" s="5" t="str">
        <f t="shared" si="441"/>
        <v>8</v>
      </c>
      <c r="AM212" s="5" t="str">
        <f t="shared" si="442"/>
        <v>1</v>
      </c>
      <c r="AN212" s="5" t="str">
        <f t="shared" si="443"/>
        <v>1</v>
      </c>
      <c r="AO212" s="5" t="str">
        <f t="shared" si="444"/>
        <v>0</v>
      </c>
    </row>
    <row r="213" spans="1:41" x14ac:dyDescent="0.25">
      <c r="A213" s="206">
        <v>44101</v>
      </c>
      <c r="B213" s="121">
        <v>268455</v>
      </c>
      <c r="C213" s="6">
        <f t="shared" si="450"/>
        <v>654</v>
      </c>
      <c r="D213" s="19">
        <f t="shared" si="451"/>
        <v>0.24</v>
      </c>
      <c r="E213" s="35">
        <f t="shared" si="452"/>
        <v>24</v>
      </c>
      <c r="F213" s="25">
        <f>ROUND((B213/Stats!$B$8)*100000,0)</f>
        <v>2674</v>
      </c>
      <c r="G213" s="22">
        <f>ROUND((C213/Stats!$B$8)*100000,0)</f>
        <v>7</v>
      </c>
      <c r="H213" s="213">
        <v>6515</v>
      </c>
      <c r="I213" s="6">
        <f t="shared" si="453"/>
        <v>1</v>
      </c>
      <c r="J213" s="35">
        <f t="shared" si="454"/>
        <v>0.02</v>
      </c>
      <c r="K213" s="9">
        <f t="shared" si="399"/>
        <v>2.4300000000000002</v>
      </c>
      <c r="L213" s="43">
        <f>ROUND(((H213/Stats!$B$8)*100000),0)</f>
        <v>65</v>
      </c>
      <c r="M213" s="96">
        <f>Stats!$B$8-N213</f>
        <v>4403117</v>
      </c>
      <c r="N213" s="97">
        <f>ROUND(Stats!$B$33/(1+(Stats!$B$34*EXP(-1*Stats!$B$32*(X213-$X$25)))),0)</f>
        <v>5635990</v>
      </c>
      <c r="O213" s="101">
        <f t="shared" si="410"/>
        <v>95.236772953820008</v>
      </c>
      <c r="P213" s="97">
        <f>ROUND(N213*(Stats!$I$14/100),0)</f>
        <v>136391</v>
      </c>
      <c r="Q213" s="101">
        <f t="shared" si="286"/>
        <v>95.223291859433544</v>
      </c>
      <c r="R213" s="109">
        <f xml:space="preserve"> ROUND(R212 - ((R212 / Stats!$B$27)*(Stats!$B$21*S212)),0)</f>
        <v>1324953</v>
      </c>
      <c r="S213" s="99">
        <f xml:space="preserve"> ROUND(S212 + (R212/Stats!$B$27)*(Stats!$B$21*S212)-(S212*Stats!$B$22),0)</f>
        <v>7</v>
      </c>
      <c r="T213" s="101">
        <f t="shared" si="411"/>
        <v>3834971.4285714282</v>
      </c>
      <c r="U213" s="99">
        <f xml:space="preserve"> ROUND(U212 + (S212 * Stats!$B$22),0)</f>
        <v>8714674</v>
      </c>
      <c r="V213" s="99">
        <f>ROUND(S213*(Stats!$I$14/100),0)</f>
        <v>0</v>
      </c>
      <c r="W213" s="105" t="str">
        <f t="shared" si="287"/>
        <v/>
      </c>
      <c r="X213" s="118">
        <v>211</v>
      </c>
      <c r="AD213" s="105"/>
      <c r="AF213" s="140">
        <v>663</v>
      </c>
      <c r="AG213" s="138">
        <f t="shared" si="417"/>
        <v>9</v>
      </c>
      <c r="AH213" s="138">
        <f t="shared" si="418"/>
        <v>1.37</v>
      </c>
      <c r="AI213" s="140">
        <v>1</v>
      </c>
      <c r="AJ213" s="138">
        <f t="shared" si="419"/>
        <v>0</v>
      </c>
      <c r="AK213" s="5">
        <f t="shared" si="420"/>
        <v>0</v>
      </c>
      <c r="AL213" s="5" t="str">
        <f t="shared" si="441"/>
        <v>6</v>
      </c>
      <c r="AM213" s="5" t="str">
        <f t="shared" si="442"/>
        <v>1</v>
      </c>
      <c r="AN213" s="5" t="str">
        <f t="shared" si="443"/>
        <v>6</v>
      </c>
      <c r="AO213" s="5" t="str">
        <f t="shared" si="444"/>
        <v>1</v>
      </c>
    </row>
    <row r="214" spans="1:41" x14ac:dyDescent="0.25">
      <c r="A214" s="206">
        <v>44102</v>
      </c>
      <c r="B214" s="121">
        <v>269284</v>
      </c>
      <c r="C214" s="6">
        <f t="shared" ref="C214:C215" si="455">B214-B213</f>
        <v>829</v>
      </c>
      <c r="D214" s="19">
        <f t="shared" ref="D214:D215" si="456">ROUND(((B214/B213)-1)*100,2)</f>
        <v>0.31</v>
      </c>
      <c r="E214" s="35">
        <f t="shared" ref="E214:E215" si="457">IFERROR(ROUND((C214/B214)*10000,0),"")</f>
        <v>31</v>
      </c>
      <c r="F214" s="25">
        <f>ROUND((B214/Stats!$B$8)*100000,0)</f>
        <v>2682</v>
      </c>
      <c r="G214" s="22">
        <f>ROUND((C214/Stats!$B$8)*100000,0)</f>
        <v>8</v>
      </c>
      <c r="H214" s="213">
        <v>6551</v>
      </c>
      <c r="I214" s="6">
        <f t="shared" ref="I214:I215" si="458">H214-H213</f>
        <v>36</v>
      </c>
      <c r="J214" s="35">
        <f t="shared" ref="J214:J215" si="459">IFERROR(ROUND(((H214/H213)-1)*100,2),"")</f>
        <v>0.55000000000000004</v>
      </c>
      <c r="K214" s="9">
        <f t="shared" ref="K214:K215" si="460">IFERROR(ROUND(100*(H214/B214),2),"")</f>
        <v>2.4300000000000002</v>
      </c>
      <c r="L214" s="43">
        <f>ROUND(((H214/Stats!$B$8)*100000),0)</f>
        <v>65</v>
      </c>
      <c r="M214" s="96">
        <f>Stats!$B$8-N214</f>
        <v>4403117</v>
      </c>
      <c r="N214" s="97">
        <f>ROUND(Stats!$B$33/(1+(Stats!$B$34*EXP(-1*Stats!$B$32*(X214-$X$25)))),0)</f>
        <v>5635990</v>
      </c>
      <c r="O214" s="101">
        <f t="shared" si="410"/>
        <v>95.222063914236898</v>
      </c>
      <c r="P214" s="97">
        <f>ROUND(N214*(Stats!$I$14/100),0)</f>
        <v>136391</v>
      </c>
      <c r="Q214" s="101">
        <f t="shared" si="286"/>
        <v>95.196897155970703</v>
      </c>
      <c r="R214" s="109">
        <f xml:space="preserve"> ROUND(R213 - ((R213 / Stats!$B$27)*(Stats!$B$21*S213)),0)</f>
        <v>1324953</v>
      </c>
      <c r="S214" s="99">
        <f xml:space="preserve"> ROUND(S213 + (R213/Stats!$B$27)*(Stats!$B$21*S213)-(S213*Stats!$B$22),0)</f>
        <v>6</v>
      </c>
      <c r="T214" s="101">
        <f t="shared" si="411"/>
        <v>4487966.666666666</v>
      </c>
      <c r="U214" s="99">
        <f xml:space="preserve"> ROUND(U213 + (S213 * Stats!$B$22),0)</f>
        <v>8714675</v>
      </c>
      <c r="V214" s="99">
        <f>ROUND(S214*(Stats!$I$14/100),0)</f>
        <v>0</v>
      </c>
      <c r="W214" s="105" t="str">
        <f t="shared" si="287"/>
        <v/>
      </c>
      <c r="X214" s="118">
        <v>212</v>
      </c>
      <c r="AD214" s="105"/>
      <c r="AF214" s="140">
        <v>905</v>
      </c>
      <c r="AG214" s="138">
        <f t="shared" si="417"/>
        <v>76</v>
      </c>
      <c r="AH214" s="138">
        <f t="shared" si="418"/>
        <v>8.77</v>
      </c>
      <c r="AI214" s="140">
        <v>39</v>
      </c>
      <c r="AJ214" s="138">
        <f t="shared" si="419"/>
        <v>3</v>
      </c>
      <c r="AK214" s="5">
        <f t="shared" si="420"/>
        <v>8</v>
      </c>
      <c r="AL214" s="5" t="str">
        <f t="shared" si="441"/>
        <v>9</v>
      </c>
      <c r="AM214" s="5" t="str">
        <f t="shared" si="442"/>
        <v>3</v>
      </c>
      <c r="AN214" s="5" t="str">
        <f t="shared" si="443"/>
        <v>0</v>
      </c>
      <c r="AO214" s="5" t="str">
        <f t="shared" si="444"/>
        <v>9</v>
      </c>
    </row>
    <row r="215" spans="1:41" x14ac:dyDescent="0.25">
      <c r="A215" s="206">
        <v>44103</v>
      </c>
      <c r="B215" s="121">
        <v>270299</v>
      </c>
      <c r="C215" s="6">
        <f t="shared" si="455"/>
        <v>1015</v>
      </c>
      <c r="D215" s="19">
        <f t="shared" si="456"/>
        <v>0.38</v>
      </c>
      <c r="E215" s="35">
        <f t="shared" si="457"/>
        <v>38</v>
      </c>
      <c r="F215" s="25">
        <f>ROUND((B215/Stats!$B$8)*100000,0)</f>
        <v>2692</v>
      </c>
      <c r="G215" s="22">
        <f>ROUND((C215/Stats!$B$8)*100000,0)</f>
        <v>10</v>
      </c>
      <c r="H215" s="213">
        <v>6576</v>
      </c>
      <c r="I215" s="6">
        <f t="shared" si="458"/>
        <v>25</v>
      </c>
      <c r="J215" s="35">
        <f t="shared" si="459"/>
        <v>0.38</v>
      </c>
      <c r="K215" s="9">
        <f t="shared" si="460"/>
        <v>2.4300000000000002</v>
      </c>
      <c r="L215" s="43">
        <f>ROUND(((H215/Stats!$B$8)*100000),0)</f>
        <v>66</v>
      </c>
      <c r="M215" s="96">
        <f>Stats!$B$8-N215</f>
        <v>4403117</v>
      </c>
      <c r="N215" s="97">
        <f>ROUND(Stats!$B$33/(1+(Stats!$B$34*EXP(-1*Stats!$B$32*(X215-$X$25)))),0)</f>
        <v>5635990</v>
      </c>
      <c r="O215" s="101">
        <f t="shared" si="410"/>
        <v>95.204054655881222</v>
      </c>
      <c r="P215" s="97">
        <f>ROUND(N215*(Stats!$I$14/100),0)</f>
        <v>136391</v>
      </c>
      <c r="Q215" s="101">
        <f t="shared" si="286"/>
        <v>95.178567500788176</v>
      </c>
      <c r="R215" s="109">
        <f xml:space="preserve"> ROUND(R214 - ((R214 / Stats!$B$27)*(Stats!$B$21*S214)),0)</f>
        <v>1324953</v>
      </c>
      <c r="S215" s="99">
        <f xml:space="preserve"> ROUND(S214 + (R214/Stats!$B$27)*(Stats!$B$21*S214)-(S214*Stats!$B$22),0)</f>
        <v>5</v>
      </c>
      <c r="T215" s="101">
        <f t="shared" si="411"/>
        <v>5405880</v>
      </c>
      <c r="U215" s="99">
        <f xml:space="preserve"> ROUND(U214 + (S214 * Stats!$B$22),0)</f>
        <v>8714676</v>
      </c>
      <c r="V215" s="99">
        <f>ROUND(S215*(Stats!$I$14/100),0)</f>
        <v>0</v>
      </c>
      <c r="W215" s="105" t="str">
        <f t="shared" si="287"/>
        <v/>
      </c>
      <c r="X215" s="118">
        <v>213</v>
      </c>
      <c r="AD215" s="105"/>
      <c r="AF215" s="140">
        <v>1063</v>
      </c>
      <c r="AG215" s="138">
        <f t="shared" si="417"/>
        <v>48</v>
      </c>
      <c r="AH215" s="138">
        <f t="shared" si="418"/>
        <v>4.62</v>
      </c>
      <c r="AI215" s="140">
        <v>30</v>
      </c>
      <c r="AJ215" s="138">
        <f t="shared" si="419"/>
        <v>5</v>
      </c>
      <c r="AK215" s="5">
        <f t="shared" si="420"/>
        <v>18.18</v>
      </c>
      <c r="AL215" s="5" t="str">
        <f t="shared" si="441"/>
        <v>1</v>
      </c>
      <c r="AM215" s="5" t="str">
        <f t="shared" si="442"/>
        <v>3</v>
      </c>
      <c r="AN215" s="5" t="str">
        <f t="shared" si="443"/>
        <v>0</v>
      </c>
      <c r="AO215" s="5" t="str">
        <f t="shared" si="444"/>
        <v>0</v>
      </c>
    </row>
    <row r="216" spans="1:41" x14ac:dyDescent="0.25">
      <c r="A216" s="206">
        <v>44104</v>
      </c>
      <c r="B216" s="121">
        <v>271371</v>
      </c>
      <c r="C216" s="6">
        <f t="shared" ref="C216:C217" si="461">B216-B215</f>
        <v>1072</v>
      </c>
      <c r="D216" s="19">
        <f t="shared" ref="D216:D217" si="462">ROUND(((B216/B215)-1)*100,2)</f>
        <v>0.4</v>
      </c>
      <c r="E216" s="35">
        <f t="shared" ref="E216:E217" si="463">IFERROR(ROUND((C216/B216)*10000,0),"")</f>
        <v>40</v>
      </c>
      <c r="F216" s="25">
        <f>ROUND((B216/Stats!$B$8)*100000,0)</f>
        <v>2703</v>
      </c>
      <c r="G216" s="22">
        <f>ROUND((C216/Stats!$B$8)*100000,0)</f>
        <v>11</v>
      </c>
      <c r="H216" s="213">
        <v>6610</v>
      </c>
      <c r="I216" s="6">
        <f t="shared" ref="I216:I217" si="464">H216-H215</f>
        <v>34</v>
      </c>
      <c r="J216" s="35">
        <f t="shared" ref="J216:J217" si="465">IFERROR(ROUND(((H216/H215)-1)*100,2),"")</f>
        <v>0.52</v>
      </c>
      <c r="K216" s="9">
        <f t="shared" ref="K216:K217" si="466">IFERROR(ROUND(100*(H216/B216),2),"")</f>
        <v>2.44</v>
      </c>
      <c r="L216" s="43">
        <f>ROUND(((H216/Stats!$B$8)*100000),0)</f>
        <v>66</v>
      </c>
      <c r="M216" s="96">
        <f>Stats!$B$8-N216</f>
        <v>4403117</v>
      </c>
      <c r="N216" s="97">
        <f>ROUND(Stats!$B$33/(1+(Stats!$B$34*EXP(-1*Stats!$B$32*(X216-$X$25)))),0)</f>
        <v>5635990</v>
      </c>
      <c r="O216" s="101">
        <f t="shared" si="410"/>
        <v>95.185034040159749</v>
      </c>
      <c r="P216" s="97">
        <f>ROUND(N216*(Stats!$I$14/100),0)</f>
        <v>136391</v>
      </c>
      <c r="Q216" s="101">
        <f t="shared" si="286"/>
        <v>95.153639169739932</v>
      </c>
      <c r="R216" s="109">
        <f xml:space="preserve"> ROUND(R215 - ((R215 / Stats!$B$27)*(Stats!$B$21*S215)),0)</f>
        <v>1324953</v>
      </c>
      <c r="S216" s="99">
        <f xml:space="preserve"> ROUND(S215 + (R215/Stats!$B$27)*(Stats!$B$21*S215)-(S215*Stats!$B$22),0)</f>
        <v>5</v>
      </c>
      <c r="T216" s="101">
        <f t="shared" si="411"/>
        <v>5427320</v>
      </c>
      <c r="U216" s="99">
        <f xml:space="preserve"> ROUND(U215 + (S215 * Stats!$B$22),0)</f>
        <v>8714677</v>
      </c>
      <c r="V216" s="99">
        <f>ROUND(S216*(Stats!$I$14/100),0)</f>
        <v>0</v>
      </c>
      <c r="W216" s="105" t="str">
        <f t="shared" si="287"/>
        <v/>
      </c>
      <c r="X216" s="118">
        <v>214</v>
      </c>
      <c r="AD216" s="105"/>
      <c r="AF216" s="140">
        <v>1148</v>
      </c>
      <c r="AG216" s="138">
        <f t="shared" si="417"/>
        <v>76</v>
      </c>
      <c r="AH216" s="138">
        <f t="shared" si="418"/>
        <v>6.85</v>
      </c>
      <c r="AI216" s="140">
        <v>35</v>
      </c>
      <c r="AJ216" s="138">
        <f t="shared" si="419"/>
        <v>1</v>
      </c>
      <c r="AK216" s="5">
        <f t="shared" si="420"/>
        <v>2.9</v>
      </c>
      <c r="AL216" s="5" t="str">
        <f t="shared" si="441"/>
        <v>1</v>
      </c>
      <c r="AM216" s="5" t="str">
        <f t="shared" si="442"/>
        <v>3</v>
      </c>
      <c r="AN216" s="5" t="str">
        <f t="shared" si="443"/>
        <v>1</v>
      </c>
      <c r="AO216" s="5" t="str">
        <f t="shared" si="444"/>
        <v>5</v>
      </c>
    </row>
    <row r="217" spans="1:41" x14ac:dyDescent="0.25">
      <c r="A217" s="206">
        <v>44105</v>
      </c>
      <c r="B217" s="121">
        <v>272653</v>
      </c>
      <c r="C217" s="6">
        <f t="shared" si="461"/>
        <v>1282</v>
      </c>
      <c r="D217" s="19">
        <f t="shared" si="462"/>
        <v>0.47</v>
      </c>
      <c r="E217" s="35">
        <f t="shared" si="463"/>
        <v>47</v>
      </c>
      <c r="F217" s="25">
        <f>ROUND((B217/Stats!$B$8)*100000,0)</f>
        <v>2716</v>
      </c>
      <c r="G217" s="22">
        <f>ROUND((C217/Stats!$B$8)*100000,0)</f>
        <v>13</v>
      </c>
      <c r="H217" s="213">
        <v>6626</v>
      </c>
      <c r="I217" s="6">
        <f t="shared" si="464"/>
        <v>16</v>
      </c>
      <c r="J217" s="35">
        <f t="shared" si="465"/>
        <v>0.24</v>
      </c>
      <c r="K217" s="9">
        <f t="shared" si="466"/>
        <v>2.4300000000000002</v>
      </c>
      <c r="L217" s="43">
        <f>ROUND(((H217/Stats!$B$8)*100000),0)</f>
        <v>66</v>
      </c>
      <c r="M217" s="96">
        <f>Stats!$B$8-N217</f>
        <v>4403117</v>
      </c>
      <c r="N217" s="97">
        <f>ROUND(Stats!$B$33/(1+(Stats!$B$34*EXP(-1*Stats!$B$32*(X217-$X$25)))),0)</f>
        <v>5635990</v>
      </c>
      <c r="O217" s="101">
        <f t="shared" si="410"/>
        <v>95.162287370985396</v>
      </c>
      <c r="P217" s="97">
        <f>ROUND(N217*(Stats!$I$14/100),0)</f>
        <v>136391</v>
      </c>
      <c r="Q217" s="101">
        <f t="shared" ref="Q217:Q280" si="467">IFERROR(ABS((($H217/P217)-1)*100),"")</f>
        <v>95.141908190423123</v>
      </c>
      <c r="R217" s="109">
        <f xml:space="preserve"> ROUND(R216 - ((R216 / Stats!$B$27)*(Stats!$B$21*S216)),0)</f>
        <v>1324953</v>
      </c>
      <c r="S217" s="99">
        <f xml:space="preserve"> ROUND(S216 + (R216/Stats!$B$27)*(Stats!$B$21*S216)-(S216*Stats!$B$22),0)</f>
        <v>5</v>
      </c>
      <c r="T217" s="101">
        <f t="shared" si="411"/>
        <v>5452960</v>
      </c>
      <c r="U217" s="99">
        <f xml:space="preserve"> ROUND(U216 + (S216 * Stats!$B$22),0)</f>
        <v>8714678</v>
      </c>
      <c r="V217" s="99">
        <f>ROUND(S217*(Stats!$I$14/100),0)</f>
        <v>0</v>
      </c>
      <c r="W217" s="105" t="str">
        <f t="shared" ref="W217:W280" si="468">IFERROR(ABS((($H217/V217)-1)*100),"")</f>
        <v/>
      </c>
      <c r="X217" s="118">
        <v>215</v>
      </c>
      <c r="AD217" s="105"/>
      <c r="AF217" s="140">
        <v>1324</v>
      </c>
      <c r="AG217" s="138">
        <f t="shared" si="417"/>
        <v>42</v>
      </c>
      <c r="AH217" s="138">
        <f t="shared" si="418"/>
        <v>3.22</v>
      </c>
      <c r="AI217" s="140">
        <v>21</v>
      </c>
      <c r="AJ217" s="138">
        <f t="shared" si="419"/>
        <v>5</v>
      </c>
      <c r="AK217" s="5">
        <f t="shared" si="420"/>
        <v>27.03</v>
      </c>
      <c r="AL217" s="5" t="str">
        <f t="shared" si="441"/>
        <v>1</v>
      </c>
      <c r="AM217" s="5" t="str">
        <f t="shared" si="442"/>
        <v>2</v>
      </c>
      <c r="AN217" s="5" t="str">
        <f t="shared" si="443"/>
        <v>3</v>
      </c>
      <c r="AO217" s="5" t="str">
        <f t="shared" si="444"/>
        <v>1</v>
      </c>
    </row>
    <row r="218" spans="1:41" x14ac:dyDescent="0.25">
      <c r="A218" s="206">
        <v>44106</v>
      </c>
      <c r="B218" s="121">
        <v>273638</v>
      </c>
      <c r="C218" s="6">
        <f t="shared" ref="C218" si="469">B218-B217</f>
        <v>985</v>
      </c>
      <c r="D218" s="19">
        <f t="shared" ref="D218" si="470">ROUND(((B218/B217)-1)*100,2)</f>
        <v>0.36</v>
      </c>
      <c r="E218" s="35">
        <f t="shared" ref="E218" si="471">IFERROR(ROUND((C218/B218)*10000,0),"")</f>
        <v>36</v>
      </c>
      <c r="F218" s="25">
        <f>ROUND((B218/Stats!$B$8)*100000,0)</f>
        <v>2726</v>
      </c>
      <c r="G218" s="22">
        <f>ROUND((C218/Stats!$B$8)*100000,0)</f>
        <v>10</v>
      </c>
      <c r="H218" s="213">
        <v>6642</v>
      </c>
      <c r="I218" s="6">
        <f t="shared" ref="I218" si="472">H218-H217</f>
        <v>16</v>
      </c>
      <c r="J218" s="35">
        <f t="shared" ref="J218" si="473">IFERROR(ROUND(((H218/H217)-1)*100,2),"")</f>
        <v>0.24</v>
      </c>
      <c r="K218" s="9">
        <f t="shared" ref="K218" si="474">IFERROR(ROUND(100*(H218/B218),2),"")</f>
        <v>2.4300000000000002</v>
      </c>
      <c r="L218" s="43">
        <f>ROUND(((H218/Stats!$B$8)*100000),0)</f>
        <v>66</v>
      </c>
      <c r="M218" s="96">
        <f>Stats!$B$8-N218</f>
        <v>4403117</v>
      </c>
      <c r="N218" s="97">
        <f>ROUND(Stats!$B$33/(1+(Stats!$B$34*EXP(-1*Stats!$B$32*(X218-$X$25)))),0)</f>
        <v>5635990</v>
      </c>
      <c r="O218" s="101">
        <f t="shared" si="410"/>
        <v>95.144810405980138</v>
      </c>
      <c r="P218" s="97">
        <f>ROUND(N218*(Stats!$I$14/100),0)</f>
        <v>136391</v>
      </c>
      <c r="Q218" s="101">
        <f t="shared" si="467"/>
        <v>95.1301772111063</v>
      </c>
      <c r="R218" s="109">
        <f xml:space="preserve"> ROUND(R217 - ((R217 / Stats!$B$27)*(Stats!$B$21*S217)),0)</f>
        <v>1324953</v>
      </c>
      <c r="S218" s="99">
        <f xml:space="preserve"> ROUND(S217 + (R217/Stats!$B$27)*(Stats!$B$21*S217)-(S217*Stats!$B$22),0)</f>
        <v>5</v>
      </c>
      <c r="T218" s="101">
        <f t="shared" si="411"/>
        <v>5472660</v>
      </c>
      <c r="U218" s="99">
        <f xml:space="preserve"> ROUND(U217 + (S217 * Stats!$B$22),0)</f>
        <v>8714679</v>
      </c>
      <c r="V218" s="99">
        <f>ROUND(S218*(Stats!$I$14/100),0)</f>
        <v>0</v>
      </c>
      <c r="W218" s="105" t="str">
        <f t="shared" si="468"/>
        <v/>
      </c>
      <c r="X218" s="118">
        <v>216</v>
      </c>
      <c r="AD218" s="105"/>
      <c r="AF218" s="140">
        <v>1062</v>
      </c>
      <c r="AG218" s="138">
        <f t="shared" si="417"/>
        <v>77</v>
      </c>
      <c r="AH218" s="138">
        <f t="shared" si="418"/>
        <v>7.52</v>
      </c>
      <c r="AI218" s="140">
        <v>17</v>
      </c>
      <c r="AJ218" s="138">
        <f t="shared" si="419"/>
        <v>1</v>
      </c>
      <c r="AK218" s="5">
        <f t="shared" si="420"/>
        <v>6.06</v>
      </c>
      <c r="AL218" s="5" t="str">
        <f t="shared" si="441"/>
        <v>1</v>
      </c>
      <c r="AM218" s="5" t="str">
        <f t="shared" si="442"/>
        <v>1</v>
      </c>
      <c r="AN218" s="5" t="str">
        <f t="shared" si="443"/>
        <v>0</v>
      </c>
      <c r="AO218" s="5" t="str">
        <f t="shared" si="444"/>
        <v>7</v>
      </c>
    </row>
    <row r="219" spans="1:41" x14ac:dyDescent="0.25">
      <c r="A219" s="206">
        <v>44107</v>
      </c>
      <c r="B219" s="121">
        <v>274565</v>
      </c>
      <c r="C219" s="6">
        <f t="shared" ref="C219:C220" si="475">B219-B218</f>
        <v>927</v>
      </c>
      <c r="D219" s="19">
        <f t="shared" ref="D219:D220" si="476">ROUND(((B219/B218)-1)*100,2)</f>
        <v>0.34</v>
      </c>
      <c r="E219" s="35">
        <f t="shared" ref="E219:E220" si="477">IFERROR(ROUND((C219/B219)*10000,0),"")</f>
        <v>34</v>
      </c>
      <c r="F219" s="25">
        <f>ROUND((B219/Stats!$B$8)*100000,0)</f>
        <v>2735</v>
      </c>
      <c r="G219" s="22">
        <f>ROUND((C219/Stats!$B$8)*100000,0)</f>
        <v>9</v>
      </c>
      <c r="H219" s="213">
        <v>6647</v>
      </c>
      <c r="I219" s="6">
        <f t="shared" ref="I219:I220" si="478">H219-H218</f>
        <v>5</v>
      </c>
      <c r="J219" s="35">
        <f t="shared" ref="J219:J220" si="479">IFERROR(ROUND(((H219/H218)-1)*100,2),"")</f>
        <v>0.08</v>
      </c>
      <c r="K219" s="9">
        <f t="shared" ref="K219:K220" si="480">IFERROR(ROUND(100*(H219/B219),2),"")</f>
        <v>2.42</v>
      </c>
      <c r="L219" s="43">
        <f>ROUND(((H219/Stats!$B$8)*100000),0)</f>
        <v>66</v>
      </c>
      <c r="M219" s="96">
        <f>Stats!$B$8-N219</f>
        <v>4403117</v>
      </c>
      <c r="N219" s="97">
        <f>ROUND(Stats!$B$33/(1+(Stats!$B$34*EXP(-1*Stats!$B$32*(X219-$X$25)))),0)</f>
        <v>5635990</v>
      </c>
      <c r="O219" s="101">
        <f t="shared" si="410"/>
        <v>95.128362541452347</v>
      </c>
      <c r="P219" s="97">
        <f>ROUND(N219*(Stats!$I$14/100),0)</f>
        <v>136391</v>
      </c>
      <c r="Q219" s="101">
        <f t="shared" si="467"/>
        <v>95.126511280069806</v>
      </c>
      <c r="R219" s="109">
        <f xml:space="preserve"> ROUND(R218 - ((R218 / Stats!$B$27)*(Stats!$B$21*S218)),0)</f>
        <v>1324953</v>
      </c>
      <c r="S219" s="99">
        <f xml:space="preserve"> ROUND(S218 + (R218/Stats!$B$27)*(Stats!$B$21*S218)-(S218*Stats!$B$22),0)</f>
        <v>5</v>
      </c>
      <c r="T219" s="101">
        <f t="shared" si="411"/>
        <v>5491200</v>
      </c>
      <c r="U219" s="99">
        <f xml:space="preserve"> ROUND(U218 + (S218 * Stats!$B$22),0)</f>
        <v>8714680</v>
      </c>
      <c r="V219" s="99">
        <f>ROUND(S219*(Stats!$I$14/100),0)</f>
        <v>0</v>
      </c>
      <c r="W219" s="105" t="str">
        <f t="shared" si="468"/>
        <v/>
      </c>
      <c r="X219" s="118">
        <v>217</v>
      </c>
      <c r="AD219" s="105"/>
      <c r="AF219" s="140">
        <v>933</v>
      </c>
      <c r="AG219" s="138">
        <f t="shared" si="417"/>
        <v>6</v>
      </c>
      <c r="AH219" s="138">
        <f t="shared" si="418"/>
        <v>0.65</v>
      </c>
      <c r="AI219" s="140">
        <v>5</v>
      </c>
      <c r="AJ219" s="138">
        <f t="shared" si="419"/>
        <v>0</v>
      </c>
      <c r="AK219" s="5">
        <f t="shared" si="420"/>
        <v>0</v>
      </c>
      <c r="AL219" s="5" t="str">
        <f t="shared" si="441"/>
        <v>9</v>
      </c>
      <c r="AM219" s="5" t="str">
        <f t="shared" si="442"/>
        <v>5</v>
      </c>
      <c r="AN219" s="5" t="str">
        <f t="shared" si="443"/>
        <v>3</v>
      </c>
      <c r="AO219" s="5" t="str">
        <f t="shared" si="444"/>
        <v>5</v>
      </c>
    </row>
    <row r="220" spans="1:41" x14ac:dyDescent="0.25">
      <c r="A220" s="206">
        <v>44108</v>
      </c>
      <c r="B220" s="121">
        <v>274942</v>
      </c>
      <c r="C220" s="6">
        <f t="shared" si="475"/>
        <v>377</v>
      </c>
      <c r="D220" s="19">
        <f t="shared" si="476"/>
        <v>0.14000000000000001</v>
      </c>
      <c r="E220" s="35">
        <f t="shared" si="477"/>
        <v>14</v>
      </c>
      <c r="F220" s="25">
        <f>ROUND((B220/Stats!$B$8)*100000,0)</f>
        <v>2739</v>
      </c>
      <c r="G220" s="22">
        <f>ROUND((C220/Stats!$B$8)*100000,0)</f>
        <v>4</v>
      </c>
      <c r="H220" s="213">
        <v>6654</v>
      </c>
      <c r="I220" s="6">
        <f t="shared" si="478"/>
        <v>7</v>
      </c>
      <c r="J220" s="35">
        <f t="shared" si="479"/>
        <v>0.11</v>
      </c>
      <c r="K220" s="9">
        <f t="shared" si="480"/>
        <v>2.42</v>
      </c>
      <c r="L220" s="43">
        <f>ROUND(((H220/Stats!$B$8)*100000),0)</f>
        <v>66</v>
      </c>
      <c r="M220" s="96">
        <f>Stats!$B$8-N220</f>
        <v>4403117</v>
      </c>
      <c r="N220" s="97">
        <f>ROUND(Stats!$B$33/(1+(Stats!$B$34*EXP(-1*Stats!$B$32*(X220-$X$25)))),0)</f>
        <v>5635990</v>
      </c>
      <c r="O220" s="101">
        <f t="shared" si="410"/>
        <v>95.12167338834881</v>
      </c>
      <c r="P220" s="97">
        <f>ROUND(N220*(Stats!$I$14/100),0)</f>
        <v>136391</v>
      </c>
      <c r="Q220" s="101">
        <f t="shared" si="467"/>
        <v>95.121378976618686</v>
      </c>
      <c r="R220" s="109">
        <f xml:space="preserve"> ROUND(R219 - ((R219 / Stats!$B$27)*(Stats!$B$21*S219)),0)</f>
        <v>1324953</v>
      </c>
      <c r="S220" s="99">
        <f xml:space="preserve"> ROUND(S219 + (R219/Stats!$B$27)*(Stats!$B$21*S219)-(S219*Stats!$B$22),0)</f>
        <v>5</v>
      </c>
      <c r="T220" s="101">
        <f t="shared" si="411"/>
        <v>5498740</v>
      </c>
      <c r="U220" s="99">
        <f xml:space="preserve"> ROUND(U219 + (S219 * Stats!$B$22),0)</f>
        <v>8714681</v>
      </c>
      <c r="V220" s="99">
        <f>ROUND(S220*(Stats!$I$14/100),0)</f>
        <v>0</v>
      </c>
      <c r="W220" s="105" t="str">
        <f t="shared" si="468"/>
        <v/>
      </c>
      <c r="X220" s="118">
        <v>218</v>
      </c>
      <c r="AD220" s="105"/>
      <c r="AF220" s="140">
        <v>472</v>
      </c>
      <c r="AG220" s="138">
        <f t="shared" si="417"/>
        <v>95</v>
      </c>
      <c r="AH220" s="138">
        <f t="shared" si="418"/>
        <v>22.38</v>
      </c>
      <c r="AI220" s="140">
        <v>7</v>
      </c>
      <c r="AJ220" s="138">
        <f t="shared" si="419"/>
        <v>0</v>
      </c>
      <c r="AK220" s="5">
        <f t="shared" si="420"/>
        <v>0</v>
      </c>
      <c r="AL220" s="5" t="str">
        <f t="shared" si="441"/>
        <v>4</v>
      </c>
      <c r="AM220" s="5" t="str">
        <f t="shared" si="442"/>
        <v>7</v>
      </c>
      <c r="AN220" s="5" t="str">
        <f t="shared" si="443"/>
        <v>7</v>
      </c>
      <c r="AO220" s="5" t="str">
        <f t="shared" si="444"/>
        <v>7</v>
      </c>
    </row>
    <row r="221" spans="1:41" x14ac:dyDescent="0.25">
      <c r="A221" s="206">
        <v>44109</v>
      </c>
      <c r="B221" s="121">
        <v>275856</v>
      </c>
      <c r="C221" s="6">
        <f t="shared" ref="C221:C230" si="481">B221-B220</f>
        <v>914</v>
      </c>
      <c r="D221" s="19">
        <f t="shared" ref="D221:D230" si="482">ROUND(((B221/B220)-1)*100,2)</f>
        <v>0.33</v>
      </c>
      <c r="E221" s="35">
        <f t="shared" ref="E221:E230" si="483">IFERROR(ROUND((C221/B221)*10000,0),"")</f>
        <v>33</v>
      </c>
      <c r="F221" s="25">
        <f>ROUND((B221/Stats!$B$8)*100000,0)</f>
        <v>2748</v>
      </c>
      <c r="G221" s="22">
        <f>ROUND((C221/Stats!$B$8)*100000,0)</f>
        <v>9</v>
      </c>
      <c r="H221" s="213">
        <v>6681</v>
      </c>
      <c r="I221" s="6">
        <f t="shared" ref="I221:I230" si="484">H221-H220</f>
        <v>27</v>
      </c>
      <c r="J221" s="35">
        <f t="shared" ref="J221:J230" si="485">IFERROR(ROUND(((H221/H220)-1)*100,2),"")</f>
        <v>0.41</v>
      </c>
      <c r="K221" s="9">
        <f t="shared" ref="K221:K230" si="486">IFERROR(ROUND(100*(H221/B221),2),"")</f>
        <v>2.42</v>
      </c>
      <c r="L221" s="43">
        <f>ROUND(((H221/Stats!$B$8)*100000),0)</f>
        <v>67</v>
      </c>
      <c r="M221" s="96">
        <f>Stats!$B$8-N221</f>
        <v>4403117</v>
      </c>
      <c r="N221" s="97">
        <f>ROUND(Stats!$B$33/(1+(Stats!$B$34*EXP(-1*Stats!$B$32*(X221-$X$25)))),0)</f>
        <v>5635990</v>
      </c>
      <c r="O221" s="101">
        <f t="shared" si="410"/>
        <v>95.105456184272867</v>
      </c>
      <c r="P221" s="97">
        <f>ROUND(N221*(Stats!$I$14/100),0)</f>
        <v>136391</v>
      </c>
      <c r="Q221" s="101">
        <f t="shared" si="467"/>
        <v>95.101582949021562</v>
      </c>
      <c r="R221" s="109">
        <f xml:space="preserve"> ROUND(R220 - ((R220 / Stats!$B$27)*(Stats!$B$21*S220)),0)</f>
        <v>1324953</v>
      </c>
      <c r="S221" s="99">
        <f xml:space="preserve"> ROUND(S220 + (R220/Stats!$B$27)*(Stats!$B$21*S220)-(S220*Stats!$B$22),0)</f>
        <v>5</v>
      </c>
      <c r="T221" s="101">
        <f t="shared" si="411"/>
        <v>5517020</v>
      </c>
      <c r="U221" s="99">
        <f xml:space="preserve"> ROUND(U220 + (S220 * Stats!$B$22),0)</f>
        <v>8714682</v>
      </c>
      <c r="V221" s="99">
        <f>ROUND(S221*(Stats!$I$14/100),0)</f>
        <v>0</v>
      </c>
      <c r="W221" s="105" t="str">
        <f t="shared" si="468"/>
        <v/>
      </c>
      <c r="X221" s="118">
        <v>219</v>
      </c>
      <c r="AD221" s="105"/>
      <c r="AF221" s="140">
        <v>990</v>
      </c>
      <c r="AG221" s="138">
        <f t="shared" si="417"/>
        <v>76</v>
      </c>
      <c r="AH221" s="138">
        <f t="shared" si="418"/>
        <v>7.98</v>
      </c>
      <c r="AI221" s="140">
        <v>30</v>
      </c>
      <c r="AJ221" s="138">
        <f t="shared" si="419"/>
        <v>3</v>
      </c>
      <c r="AK221" s="5">
        <f t="shared" si="420"/>
        <v>10.53</v>
      </c>
      <c r="AL221" s="5" t="str">
        <f t="shared" si="441"/>
        <v>9</v>
      </c>
      <c r="AM221" s="5" t="str">
        <f t="shared" si="442"/>
        <v>3</v>
      </c>
      <c r="AN221" s="5" t="str">
        <f t="shared" si="443"/>
        <v>9</v>
      </c>
      <c r="AO221" s="5" t="str">
        <f t="shared" si="444"/>
        <v>0</v>
      </c>
    </row>
    <row r="222" spans="1:41" x14ac:dyDescent="0.25">
      <c r="A222" s="206">
        <v>44110</v>
      </c>
      <c r="B222" s="121">
        <v>277445</v>
      </c>
      <c r="C222" s="6">
        <f t="shared" si="481"/>
        <v>1589</v>
      </c>
      <c r="D222" s="19">
        <f t="shared" si="482"/>
        <v>0.57999999999999996</v>
      </c>
      <c r="E222" s="35">
        <f t="shared" si="483"/>
        <v>57</v>
      </c>
      <c r="F222" s="25">
        <f>ROUND((B222/Stats!$B$8)*100000,0)</f>
        <v>2764</v>
      </c>
      <c r="G222" s="22">
        <f>ROUND((C222/Stats!$B$8)*100000,0)</f>
        <v>16</v>
      </c>
      <c r="H222" s="213">
        <v>6709</v>
      </c>
      <c r="I222" s="6">
        <f t="shared" si="484"/>
        <v>28</v>
      </c>
      <c r="J222" s="35">
        <f t="shared" si="485"/>
        <v>0.42</v>
      </c>
      <c r="K222" s="9">
        <f t="shared" si="486"/>
        <v>2.42</v>
      </c>
      <c r="L222" s="43">
        <f>ROUND(((H222/Stats!$B$8)*100000),0)</f>
        <v>67</v>
      </c>
      <c r="M222" s="96">
        <f>Stats!$B$8-N222</f>
        <v>4403117</v>
      </c>
      <c r="N222" s="97">
        <f>ROUND(Stats!$B$33/(1+(Stats!$B$34*EXP(-1*Stats!$B$32*(X222-$X$25)))),0)</f>
        <v>5635990</v>
      </c>
      <c r="O222" s="101">
        <f t="shared" si="410"/>
        <v>95.077262379812595</v>
      </c>
      <c r="P222" s="97">
        <f>ROUND(N222*(Stats!$I$14/100),0)</f>
        <v>136391</v>
      </c>
      <c r="Q222" s="101">
        <f t="shared" si="467"/>
        <v>95.081053735217139</v>
      </c>
      <c r="R222" s="109">
        <f xml:space="preserve"> ROUND(R221 - ((R221 / Stats!$B$27)*(Stats!$B$21*S221)),0)</f>
        <v>1324953</v>
      </c>
      <c r="S222" s="99">
        <f xml:space="preserve"> ROUND(S221 + (R221/Stats!$B$27)*(Stats!$B$21*S221)-(S221*Stats!$B$22),0)</f>
        <v>5</v>
      </c>
      <c r="T222" s="101">
        <f t="shared" si="411"/>
        <v>5548800</v>
      </c>
      <c r="U222" s="99">
        <f xml:space="preserve"> ROUND(U221 + (S221 * Stats!$B$22),0)</f>
        <v>8714683</v>
      </c>
      <c r="V222" s="99">
        <f>ROUND(S222*(Stats!$I$14/100),0)</f>
        <v>0</v>
      </c>
      <c r="W222" s="105" t="str">
        <f t="shared" si="468"/>
        <v/>
      </c>
      <c r="X222" s="118">
        <v>220</v>
      </c>
      <c r="AD222" s="105"/>
      <c r="AF222" s="140">
        <v>1645</v>
      </c>
      <c r="AG222" s="138">
        <f t="shared" si="417"/>
        <v>56</v>
      </c>
      <c r="AH222" s="138">
        <f t="shared" si="418"/>
        <v>3.46</v>
      </c>
      <c r="AI222" s="140">
        <v>30</v>
      </c>
      <c r="AJ222" s="138">
        <f t="shared" si="419"/>
        <v>2</v>
      </c>
      <c r="AK222" s="5">
        <f t="shared" si="420"/>
        <v>6.9</v>
      </c>
      <c r="AL222" s="5" t="str">
        <f t="shared" si="441"/>
        <v>1</v>
      </c>
      <c r="AM222" s="5" t="str">
        <f t="shared" si="442"/>
        <v>3</v>
      </c>
      <c r="AN222" s="5" t="str">
        <f t="shared" si="443"/>
        <v>6</v>
      </c>
      <c r="AO222" s="5" t="str">
        <f t="shared" si="444"/>
        <v>0</v>
      </c>
    </row>
    <row r="223" spans="1:41" x14ac:dyDescent="0.25">
      <c r="A223" s="206">
        <v>44111</v>
      </c>
      <c r="B223" s="121">
        <v>278665</v>
      </c>
      <c r="C223" s="6">
        <f t="shared" si="481"/>
        <v>1220</v>
      </c>
      <c r="D223" s="19">
        <f t="shared" si="482"/>
        <v>0.44</v>
      </c>
      <c r="E223" s="35">
        <f t="shared" si="483"/>
        <v>44</v>
      </c>
      <c r="F223" s="25">
        <f>ROUND((B223/Stats!$B$8)*100000,0)</f>
        <v>2776</v>
      </c>
      <c r="G223" s="22">
        <f>ROUND((C223/Stats!$B$8)*100000,0)</f>
        <v>12</v>
      </c>
      <c r="H223" s="213">
        <v>6726</v>
      </c>
      <c r="I223" s="6">
        <f t="shared" si="484"/>
        <v>17</v>
      </c>
      <c r="J223" s="35">
        <f t="shared" si="485"/>
        <v>0.25</v>
      </c>
      <c r="K223" s="9">
        <f t="shared" si="486"/>
        <v>2.41</v>
      </c>
      <c r="L223" s="43">
        <f>ROUND(((H223/Stats!$B$8)*100000),0)</f>
        <v>67</v>
      </c>
      <c r="M223" s="96">
        <f>Stats!$B$8-N223</f>
        <v>4403117</v>
      </c>
      <c r="N223" s="97">
        <f>ROUND(Stats!$B$33/(1+(Stats!$B$34*EXP(-1*Stats!$B$32*(X223-$X$25)))),0)</f>
        <v>5635990</v>
      </c>
      <c r="O223" s="101">
        <f t="shared" si="410"/>
        <v>95.05561578356243</v>
      </c>
      <c r="P223" s="97">
        <f>ROUND(N223*(Stats!$I$14/100),0)</f>
        <v>136391</v>
      </c>
      <c r="Q223" s="101">
        <f t="shared" si="467"/>
        <v>95.068589569693017</v>
      </c>
      <c r="R223" s="109">
        <f xml:space="preserve"> ROUND(R222 - ((R222 / Stats!$B$27)*(Stats!$B$21*S222)),0)</f>
        <v>1324953</v>
      </c>
      <c r="S223" s="99">
        <f xml:space="preserve"> ROUND(S222 + (R222/Stats!$B$27)*(Stats!$B$21*S222)-(S222*Stats!$B$22),0)</f>
        <v>5</v>
      </c>
      <c r="T223" s="101">
        <f t="shared" si="411"/>
        <v>5573200</v>
      </c>
      <c r="U223" s="99">
        <f xml:space="preserve"> ROUND(U222 + (S222 * Stats!$B$22),0)</f>
        <v>8714684</v>
      </c>
      <c r="V223" s="99">
        <f>ROUND(S223*(Stats!$I$14/100),0)</f>
        <v>0</v>
      </c>
      <c r="W223" s="105" t="str">
        <f t="shared" si="468"/>
        <v/>
      </c>
      <c r="X223" s="118">
        <v>221</v>
      </c>
      <c r="AD223" s="105"/>
      <c r="AF223" s="140">
        <v>1280</v>
      </c>
      <c r="AG223" s="138">
        <f t="shared" si="417"/>
        <v>60</v>
      </c>
      <c r="AH223" s="138">
        <f t="shared" si="418"/>
        <v>4.8</v>
      </c>
      <c r="AI223" s="140">
        <v>21</v>
      </c>
      <c r="AJ223" s="138">
        <f t="shared" si="419"/>
        <v>4</v>
      </c>
      <c r="AK223" s="5">
        <f t="shared" si="420"/>
        <v>21.05</v>
      </c>
      <c r="AL223" s="5" t="str">
        <f t="shared" si="441"/>
        <v>1</v>
      </c>
      <c r="AM223" s="5" t="str">
        <f t="shared" si="442"/>
        <v>2</v>
      </c>
      <c r="AN223" s="5" t="str">
        <f t="shared" si="443"/>
        <v>2</v>
      </c>
      <c r="AO223" s="5" t="str">
        <f t="shared" si="444"/>
        <v>1</v>
      </c>
    </row>
    <row r="224" spans="1:41" ht="30" x14ac:dyDescent="0.25">
      <c r="A224" s="206">
        <v>44112</v>
      </c>
      <c r="B224" s="121">
        <v>279909</v>
      </c>
      <c r="C224" s="6">
        <f t="shared" si="481"/>
        <v>1244</v>
      </c>
      <c r="D224" s="19">
        <f t="shared" si="482"/>
        <v>0.45</v>
      </c>
      <c r="E224" s="35">
        <f t="shared" si="483"/>
        <v>44</v>
      </c>
      <c r="F224" s="25">
        <f>ROUND((B224/Stats!$B$8)*100000,0)</f>
        <v>2788</v>
      </c>
      <c r="G224" s="22">
        <f>ROUND((C224/Stats!$B$8)*100000,0)</f>
        <v>12</v>
      </c>
      <c r="H224" s="213">
        <v>6741</v>
      </c>
      <c r="I224" s="6">
        <f t="shared" si="484"/>
        <v>15</v>
      </c>
      <c r="J224" s="35">
        <f t="shared" si="485"/>
        <v>0.22</v>
      </c>
      <c r="K224" s="9">
        <f t="shared" si="486"/>
        <v>2.41</v>
      </c>
      <c r="L224" s="43">
        <f>ROUND(((H224/Stats!$B$8)*100000),0)</f>
        <v>67</v>
      </c>
      <c r="M224" s="96">
        <f>Stats!$B$8-N224</f>
        <v>4403117</v>
      </c>
      <c r="N224" s="97">
        <f>ROUND(Stats!$B$33/(1+(Stats!$B$34*EXP(-1*Stats!$B$32*(X224-$X$25)))),0)</f>
        <v>5635990</v>
      </c>
      <c r="O224" s="101">
        <f t="shared" si="410"/>
        <v>95.033543352631924</v>
      </c>
      <c r="P224" s="97">
        <f>ROUND(N224*(Stats!$I$14/100),0)</f>
        <v>136391</v>
      </c>
      <c r="Q224" s="101">
        <f t="shared" si="467"/>
        <v>95.057591776583493</v>
      </c>
      <c r="R224" s="109">
        <f xml:space="preserve"> ROUND(R223 - ((R223 / Stats!$B$27)*(Stats!$B$21*S223)),0)</f>
        <v>1324953</v>
      </c>
      <c r="S224" s="99">
        <f xml:space="preserve"> ROUND(S223 + (R223/Stats!$B$27)*(Stats!$B$21*S223)-(S223*Stats!$B$22),0)</f>
        <v>5</v>
      </c>
      <c r="T224" s="101">
        <f t="shared" si="411"/>
        <v>5598080</v>
      </c>
      <c r="U224" s="99">
        <f xml:space="preserve"> ROUND(U223 + (S223 * Stats!$B$22),0)</f>
        <v>8714685</v>
      </c>
      <c r="V224" s="99">
        <f>ROUND(S224*(Stats!$I$14/100),0)</f>
        <v>0</v>
      </c>
      <c r="W224" s="105" t="str">
        <f t="shared" si="468"/>
        <v/>
      </c>
      <c r="X224" s="118">
        <v>222</v>
      </c>
      <c r="AD224" s="105"/>
      <c r="AE224" s="51" t="s">
        <v>348</v>
      </c>
      <c r="AF224" s="140">
        <v>1256</v>
      </c>
      <c r="AG224" s="138">
        <f t="shared" si="417"/>
        <v>12</v>
      </c>
      <c r="AH224" s="138">
        <f t="shared" si="418"/>
        <v>0.96</v>
      </c>
      <c r="AI224" s="163">
        <v>13</v>
      </c>
      <c r="AJ224" s="164">
        <f t="shared" si="419"/>
        <v>-2</v>
      </c>
      <c r="AK224" s="209">
        <f t="shared" si="420"/>
        <v>-14.29</v>
      </c>
      <c r="AL224" s="5" t="str">
        <f t="shared" si="441"/>
        <v>1</v>
      </c>
      <c r="AM224" s="5" t="str">
        <f t="shared" si="442"/>
        <v>1</v>
      </c>
      <c r="AN224" s="5" t="str">
        <f t="shared" si="443"/>
        <v>2</v>
      </c>
      <c r="AO224" s="5" t="str">
        <f t="shared" si="444"/>
        <v>3</v>
      </c>
    </row>
    <row r="225" spans="1:41" x14ac:dyDescent="0.25">
      <c r="A225" s="206">
        <v>44113</v>
      </c>
      <c r="B225" s="121">
        <v>281165</v>
      </c>
      <c r="C225" s="6">
        <f t="shared" si="481"/>
        <v>1256</v>
      </c>
      <c r="D225" s="19">
        <f t="shared" si="482"/>
        <v>0.45</v>
      </c>
      <c r="E225" s="35">
        <f t="shared" si="483"/>
        <v>45</v>
      </c>
      <c r="F225" s="25">
        <f>ROUND((B225/Stats!$B$8)*100000,0)</f>
        <v>2801</v>
      </c>
      <c r="G225" s="22">
        <f>ROUND((C225/Stats!$B$8)*100000,0)</f>
        <v>13</v>
      </c>
      <c r="H225" s="213">
        <v>6768</v>
      </c>
      <c r="I225" s="6">
        <f t="shared" si="484"/>
        <v>27</v>
      </c>
      <c r="J225" s="35">
        <f t="shared" si="485"/>
        <v>0.4</v>
      </c>
      <c r="K225" s="9">
        <f t="shared" si="486"/>
        <v>2.41</v>
      </c>
      <c r="L225" s="43">
        <f>ROUND(((H225/Stats!$B$8)*100000),0)</f>
        <v>67</v>
      </c>
      <c r="M225" s="96">
        <f>Stats!$B$8-N225</f>
        <v>4403117</v>
      </c>
      <c r="N225" s="97">
        <f>ROUND(Stats!$B$33/(1+(Stats!$B$34*EXP(-1*Stats!$B$32*(X225-$X$25)))),0)</f>
        <v>5635990</v>
      </c>
      <c r="O225" s="101">
        <f t="shared" si="410"/>
        <v>95.011258004361252</v>
      </c>
      <c r="P225" s="97">
        <f>ROUND(N225*(Stats!$I$14/100),0)</f>
        <v>136391</v>
      </c>
      <c r="Q225" s="101">
        <f t="shared" si="467"/>
        <v>95.037795748986369</v>
      </c>
      <c r="R225" s="109">
        <f xml:space="preserve"> ROUND(R224 - ((R224 / Stats!$B$27)*(Stats!$B$21*S224)),0)</f>
        <v>1324953</v>
      </c>
      <c r="S225" s="99">
        <f xml:space="preserve"> ROUND(S224 + (R224/Stats!$B$27)*(Stats!$B$21*S224)-(S224*Stats!$B$22),0)</f>
        <v>5</v>
      </c>
      <c r="T225" s="101">
        <f t="shared" si="411"/>
        <v>5623200</v>
      </c>
      <c r="U225" s="99">
        <f xml:space="preserve"> ROUND(U224 + (S224 * Stats!$B$22),0)</f>
        <v>8714686</v>
      </c>
      <c r="V225" s="99">
        <f>ROUND(S225*(Stats!$I$14/100),0)</f>
        <v>0</v>
      </c>
      <c r="W225" s="105" t="str">
        <f t="shared" si="468"/>
        <v/>
      </c>
      <c r="X225" s="118">
        <v>223</v>
      </c>
      <c r="AD225" s="105"/>
      <c r="AF225" s="140">
        <v>1285</v>
      </c>
      <c r="AG225" s="138">
        <f t="shared" ref="AG225:AG256" si="487">AF225-C225</f>
        <v>29</v>
      </c>
      <c r="AH225" s="138">
        <f t="shared" ref="AH225:AH256" si="488">IFERROR(ROUND(100*(AG225/AVERAGE(AF225,C225)),2),"")</f>
        <v>2.2799999999999998</v>
      </c>
      <c r="AI225" s="140">
        <v>28</v>
      </c>
      <c r="AJ225" s="138">
        <f t="shared" ref="AJ225:AJ256" si="489">AI225-I225</f>
        <v>1</v>
      </c>
      <c r="AK225" s="5">
        <f t="shared" ref="AK225:AK256" si="490">IFERROR(ROUND(100*(AJ225/AVERAGE(AI225,I225)),2),"")</f>
        <v>3.64</v>
      </c>
      <c r="AL225" s="5" t="str">
        <f t="shared" si="441"/>
        <v>1</v>
      </c>
      <c r="AM225" s="5" t="str">
        <f t="shared" si="442"/>
        <v>2</v>
      </c>
      <c r="AN225" s="5" t="str">
        <f t="shared" si="443"/>
        <v>2</v>
      </c>
      <c r="AO225" s="5" t="str">
        <f t="shared" si="444"/>
        <v>8</v>
      </c>
    </row>
    <row r="226" spans="1:41" ht="30" x14ac:dyDescent="0.25">
      <c r="A226" s="206">
        <v>44114</v>
      </c>
      <c r="B226" s="121">
        <v>282135</v>
      </c>
      <c r="C226" s="6">
        <f t="shared" si="481"/>
        <v>970</v>
      </c>
      <c r="D226" s="19">
        <f t="shared" si="482"/>
        <v>0.34</v>
      </c>
      <c r="E226" s="35">
        <f t="shared" si="483"/>
        <v>34</v>
      </c>
      <c r="F226" s="25">
        <f>ROUND((B226/Stats!$B$8)*100000,0)</f>
        <v>2810</v>
      </c>
      <c r="G226" s="22">
        <f>ROUND((C226/Stats!$B$8)*100000,0)</f>
        <v>10</v>
      </c>
      <c r="H226" s="213">
        <v>6771</v>
      </c>
      <c r="I226" s="6">
        <f t="shared" si="484"/>
        <v>3</v>
      </c>
      <c r="J226" s="35">
        <f t="shared" si="485"/>
        <v>0.04</v>
      </c>
      <c r="K226" s="9">
        <f t="shared" si="486"/>
        <v>2.4</v>
      </c>
      <c r="L226" s="43">
        <f>ROUND(((H226/Stats!$B$8)*100000),0)</f>
        <v>67</v>
      </c>
      <c r="M226" s="96">
        <f>Stats!$B$8-N226</f>
        <v>4403117</v>
      </c>
      <c r="N226" s="97">
        <f>ROUND(Stats!$B$33/(1+(Stats!$B$34*EXP(-1*Stats!$B$32*(X226-$X$25)))),0)</f>
        <v>5635990</v>
      </c>
      <c r="O226" s="101">
        <f t="shared" si="410"/>
        <v>94.99404718603121</v>
      </c>
      <c r="P226" s="97">
        <f>ROUND(N226*(Stats!$I$14/100),0)</f>
        <v>136391</v>
      </c>
      <c r="Q226" s="101">
        <f t="shared" si="467"/>
        <v>95.035596190364473</v>
      </c>
      <c r="R226" s="109">
        <f xml:space="preserve"> ROUND(R225 - ((R225 / Stats!$B$27)*(Stats!$B$21*S225)),0)</f>
        <v>1324953</v>
      </c>
      <c r="S226" s="99">
        <f xml:space="preserve"> ROUND(S225 + (R225/Stats!$B$27)*(Stats!$B$21*S225)-(S225*Stats!$B$22),0)</f>
        <v>5</v>
      </c>
      <c r="T226" s="101">
        <f t="shared" si="411"/>
        <v>5642600</v>
      </c>
      <c r="U226" s="99">
        <f xml:space="preserve"> ROUND(U225 + (S225 * Stats!$B$22),0)</f>
        <v>8714687</v>
      </c>
      <c r="V226" s="99">
        <f>ROUND(S226*(Stats!$I$14/100),0)</f>
        <v>0</v>
      </c>
      <c r="W226" s="105" t="str">
        <f t="shared" si="468"/>
        <v/>
      </c>
      <c r="X226" s="118">
        <v>224</v>
      </c>
      <c r="AD226" s="105"/>
      <c r="AE226" s="51" t="s">
        <v>345</v>
      </c>
      <c r="AF226" s="140">
        <v>971</v>
      </c>
      <c r="AG226" s="138">
        <f t="shared" si="487"/>
        <v>1</v>
      </c>
      <c r="AH226" s="138">
        <f t="shared" si="488"/>
        <v>0.1</v>
      </c>
      <c r="AI226" s="140">
        <v>3</v>
      </c>
      <c r="AJ226" s="138">
        <f t="shared" si="489"/>
        <v>0</v>
      </c>
      <c r="AK226" s="5">
        <f t="shared" si="490"/>
        <v>0</v>
      </c>
      <c r="AL226" s="5" t="str">
        <f t="shared" si="441"/>
        <v>9</v>
      </c>
      <c r="AM226" s="5" t="str">
        <f t="shared" si="442"/>
        <v>3</v>
      </c>
      <c r="AN226" s="5" t="str">
        <f t="shared" si="443"/>
        <v>7</v>
      </c>
      <c r="AO226" s="5" t="str">
        <f t="shared" si="444"/>
        <v>3</v>
      </c>
    </row>
    <row r="227" spans="1:41" x14ac:dyDescent="0.25">
      <c r="A227" s="206">
        <v>44115</v>
      </c>
      <c r="B227" s="121">
        <v>282982</v>
      </c>
      <c r="C227" s="6">
        <f t="shared" si="481"/>
        <v>847</v>
      </c>
      <c r="D227" s="19">
        <f t="shared" si="482"/>
        <v>0.3</v>
      </c>
      <c r="E227" s="35">
        <f t="shared" si="483"/>
        <v>30</v>
      </c>
      <c r="F227" s="25">
        <f>ROUND((B227/Stats!$B$8)*100000,0)</f>
        <v>2819</v>
      </c>
      <c r="G227" s="22">
        <f>ROUND((C227/Stats!$B$8)*100000,0)</f>
        <v>8</v>
      </c>
      <c r="H227" s="213">
        <v>6773</v>
      </c>
      <c r="I227" s="6">
        <f t="shared" si="484"/>
        <v>2</v>
      </c>
      <c r="J227" s="35">
        <f t="shared" si="485"/>
        <v>0.03</v>
      </c>
      <c r="K227" s="9">
        <f t="shared" si="486"/>
        <v>2.39</v>
      </c>
      <c r="L227" s="43">
        <f>ROUND(((H227/Stats!$B$8)*100000),0)</f>
        <v>67</v>
      </c>
      <c r="M227" s="96">
        <f>Stats!$B$8-N227</f>
        <v>4403117</v>
      </c>
      <c r="N227" s="97">
        <f>ROUND(Stats!$B$33/(1+(Stats!$B$34*EXP(-1*Stats!$B$32*(X227-$X$25)))),0)</f>
        <v>5635990</v>
      </c>
      <c r="O227" s="101">
        <f t="shared" si="410"/>
        <v>94.979018770437847</v>
      </c>
      <c r="P227" s="97">
        <f>ROUND(N227*(Stats!$I$14/100),0)</f>
        <v>136391</v>
      </c>
      <c r="Q227" s="101">
        <f t="shared" si="467"/>
        <v>95.034129817949861</v>
      </c>
      <c r="R227" s="109">
        <f xml:space="preserve"> ROUND(R226 - ((R226 / Stats!$B$27)*(Stats!$B$21*S226)),0)</f>
        <v>1324953</v>
      </c>
      <c r="S227" s="99">
        <f xml:space="preserve"> ROUND(S226 + (R226/Stats!$B$27)*(Stats!$B$21*S226)-(S226*Stats!$B$22),0)</f>
        <v>5</v>
      </c>
      <c r="T227" s="101">
        <f t="shared" si="411"/>
        <v>5659540</v>
      </c>
      <c r="U227" s="99">
        <f xml:space="preserve"> ROUND(U226 + (S226 * Stats!$B$22),0)</f>
        <v>8714688</v>
      </c>
      <c r="V227" s="99">
        <f>ROUND(S227*(Stats!$I$14/100),0)</f>
        <v>0</v>
      </c>
      <c r="W227" s="105" t="str">
        <f t="shared" si="468"/>
        <v/>
      </c>
      <c r="X227" s="118">
        <v>225</v>
      </c>
      <c r="AD227" s="105"/>
      <c r="AF227" s="140">
        <v>881</v>
      </c>
      <c r="AG227" s="138">
        <f t="shared" si="487"/>
        <v>34</v>
      </c>
      <c r="AH227" s="138">
        <f t="shared" si="488"/>
        <v>3.94</v>
      </c>
      <c r="AI227" s="140">
        <v>2</v>
      </c>
      <c r="AJ227" s="138">
        <f t="shared" si="489"/>
        <v>0</v>
      </c>
      <c r="AK227" s="5">
        <f t="shared" si="490"/>
        <v>0</v>
      </c>
      <c r="AL227" s="5" t="str">
        <f t="shared" si="441"/>
        <v>8</v>
      </c>
      <c r="AM227" s="5" t="str">
        <f t="shared" si="442"/>
        <v>2</v>
      </c>
      <c r="AN227" s="5" t="str">
        <f t="shared" si="443"/>
        <v>8</v>
      </c>
      <c r="AO227" s="5" t="str">
        <f t="shared" si="444"/>
        <v>2</v>
      </c>
    </row>
    <row r="228" spans="1:41" x14ac:dyDescent="0.25">
      <c r="A228" s="206">
        <v>44116</v>
      </c>
      <c r="B228" s="121">
        <v>283750</v>
      </c>
      <c r="C228" s="6">
        <f t="shared" si="481"/>
        <v>768</v>
      </c>
      <c r="D228" s="19">
        <f t="shared" si="482"/>
        <v>0.27</v>
      </c>
      <c r="E228" s="35">
        <f t="shared" si="483"/>
        <v>27</v>
      </c>
      <c r="F228" s="25">
        <f>ROUND((B228/Stats!$B$8)*100000,0)</f>
        <v>2826</v>
      </c>
      <c r="G228" s="22">
        <f>ROUND((C228/Stats!$B$8)*100000,0)</f>
        <v>8</v>
      </c>
      <c r="H228" s="213">
        <v>6790</v>
      </c>
      <c r="I228" s="6">
        <f t="shared" si="484"/>
        <v>17</v>
      </c>
      <c r="J228" s="35">
        <f t="shared" si="485"/>
        <v>0.25</v>
      </c>
      <c r="K228" s="9">
        <f t="shared" si="486"/>
        <v>2.39</v>
      </c>
      <c r="L228" s="43">
        <f>ROUND(((H228/Stats!$B$8)*100000),0)</f>
        <v>68</v>
      </c>
      <c r="M228" s="96">
        <f>Stats!$B$8-N228</f>
        <v>4403117</v>
      </c>
      <c r="N228" s="97">
        <f>ROUND(Stats!$B$33/(1+(Stats!$B$34*EXP(-1*Stats!$B$32*(X228-$X$25)))),0)</f>
        <v>5635990</v>
      </c>
      <c r="O228" s="101">
        <f t="shared" si="410"/>
        <v>94.965392060667256</v>
      </c>
      <c r="P228" s="97">
        <f>ROUND(N228*(Stats!$I$14/100),0)</f>
        <v>136391</v>
      </c>
      <c r="Q228" s="101">
        <f t="shared" si="467"/>
        <v>95.021665652425753</v>
      </c>
      <c r="R228" s="109">
        <f xml:space="preserve"> ROUND(R227 - ((R227 / Stats!$B$27)*(Stats!$B$21*S227)),0)</f>
        <v>1324953</v>
      </c>
      <c r="S228" s="99">
        <f xml:space="preserve"> ROUND(S227 + (R227/Stats!$B$27)*(Stats!$B$21*S227)-(S227*Stats!$B$22),0)</f>
        <v>5</v>
      </c>
      <c r="T228" s="101">
        <f t="shared" si="411"/>
        <v>5674900</v>
      </c>
      <c r="U228" s="99">
        <f xml:space="preserve"> ROUND(U227 + (S227 * Stats!$B$22),0)</f>
        <v>8714689</v>
      </c>
      <c r="V228" s="99">
        <f>ROUND(S228*(Stats!$I$14/100),0)</f>
        <v>0</v>
      </c>
      <c r="W228" s="105" t="str">
        <f t="shared" si="468"/>
        <v/>
      </c>
      <c r="X228" s="118">
        <v>226</v>
      </c>
      <c r="AD228" s="105"/>
      <c r="AF228" s="140">
        <v>790</v>
      </c>
      <c r="AG228" s="138">
        <f t="shared" si="487"/>
        <v>22</v>
      </c>
      <c r="AH228" s="138">
        <f t="shared" si="488"/>
        <v>2.82</v>
      </c>
      <c r="AI228" s="140">
        <v>18</v>
      </c>
      <c r="AJ228" s="138">
        <f t="shared" si="489"/>
        <v>1</v>
      </c>
      <c r="AK228" s="5">
        <f t="shared" si="490"/>
        <v>5.71</v>
      </c>
      <c r="AL228" s="5" t="str">
        <f t="shared" si="441"/>
        <v>7</v>
      </c>
      <c r="AM228" s="5" t="str">
        <f t="shared" si="442"/>
        <v>1</v>
      </c>
      <c r="AN228" s="5" t="str">
        <f t="shared" si="443"/>
        <v>9</v>
      </c>
      <c r="AO228" s="5" t="str">
        <f t="shared" si="444"/>
        <v>8</v>
      </c>
    </row>
    <row r="229" spans="1:41" ht="30" x14ac:dyDescent="0.25">
      <c r="A229" s="206">
        <v>44117</v>
      </c>
      <c r="B229" s="121">
        <v>285016</v>
      </c>
      <c r="C229" s="6">
        <f t="shared" si="481"/>
        <v>1266</v>
      </c>
      <c r="D229" s="19">
        <f t="shared" si="482"/>
        <v>0.45</v>
      </c>
      <c r="E229" s="35">
        <f t="shared" si="483"/>
        <v>44</v>
      </c>
      <c r="F229" s="25">
        <f>ROUND((B229/Stats!$B$8)*100000,0)</f>
        <v>2839</v>
      </c>
      <c r="G229" s="22">
        <f>ROUND((C229/Stats!$B$8)*100000,0)</f>
        <v>13</v>
      </c>
      <c r="H229" s="213">
        <v>6812</v>
      </c>
      <c r="I229" s="6">
        <f t="shared" si="484"/>
        <v>22</v>
      </c>
      <c r="J229" s="35">
        <f t="shared" si="485"/>
        <v>0.32</v>
      </c>
      <c r="K229" s="9">
        <f t="shared" si="486"/>
        <v>2.39</v>
      </c>
      <c r="L229" s="43">
        <f>ROUND(((H229/Stats!$B$8)*100000),0)</f>
        <v>68</v>
      </c>
      <c r="M229" s="96">
        <f>Stats!$B$8-N229</f>
        <v>4403117</v>
      </c>
      <c r="N229" s="97">
        <f>ROUND(Stats!$B$33/(1+(Stats!$B$34*EXP(-1*Stats!$B$32*(X229-$X$25)))),0)</f>
        <v>5635990</v>
      </c>
      <c r="O229" s="101">
        <f t="shared" si="410"/>
        <v>94.942929281279774</v>
      </c>
      <c r="P229" s="97">
        <f>ROUND(N229*(Stats!$I$14/100),0)</f>
        <v>136391</v>
      </c>
      <c r="Q229" s="101">
        <f t="shared" si="467"/>
        <v>95.005535555865123</v>
      </c>
      <c r="R229" s="109">
        <f xml:space="preserve"> ROUND(R228 - ((R228 / Stats!$B$27)*(Stats!$B$21*S228)),0)</f>
        <v>1324953</v>
      </c>
      <c r="S229" s="99">
        <f xml:space="preserve"> ROUND(S228 + (R228/Stats!$B$27)*(Stats!$B$21*S228)-(S228*Stats!$B$22),0)</f>
        <v>5</v>
      </c>
      <c r="T229" s="101">
        <f t="shared" si="411"/>
        <v>5700220</v>
      </c>
      <c r="U229" s="99">
        <f xml:space="preserve"> ROUND(U228 + (S228 * Stats!$B$22),0)</f>
        <v>8714690</v>
      </c>
      <c r="V229" s="99">
        <f>ROUND(S229*(Stats!$I$14/100),0)</f>
        <v>0</v>
      </c>
      <c r="W229" s="105" t="str">
        <f t="shared" si="468"/>
        <v/>
      </c>
      <c r="X229" s="118">
        <v>227</v>
      </c>
      <c r="AD229" s="105"/>
      <c r="AE229" s="51" t="s">
        <v>346</v>
      </c>
      <c r="AF229" s="140">
        <v>1349</v>
      </c>
      <c r="AG229" s="138">
        <f t="shared" si="487"/>
        <v>83</v>
      </c>
      <c r="AH229" s="138">
        <f t="shared" si="488"/>
        <v>6.35</v>
      </c>
      <c r="AI229" s="140">
        <v>22</v>
      </c>
      <c r="AJ229" s="138">
        <f t="shared" si="489"/>
        <v>0</v>
      </c>
      <c r="AK229" s="5">
        <f t="shared" si="490"/>
        <v>0</v>
      </c>
      <c r="AL229" s="5" t="str">
        <f t="shared" si="441"/>
        <v>1</v>
      </c>
      <c r="AM229" s="5" t="str">
        <f t="shared" si="442"/>
        <v>2</v>
      </c>
      <c r="AN229" s="5" t="str">
        <f t="shared" si="443"/>
        <v>3</v>
      </c>
      <c r="AO229" s="5" t="str">
        <f t="shared" si="444"/>
        <v>2</v>
      </c>
    </row>
    <row r="230" spans="1:41" ht="285" x14ac:dyDescent="0.25">
      <c r="A230" s="206">
        <v>44118</v>
      </c>
      <c r="B230" s="121">
        <v>286183</v>
      </c>
      <c r="C230" s="6">
        <f t="shared" si="481"/>
        <v>1167</v>
      </c>
      <c r="D230" s="19">
        <f t="shared" si="482"/>
        <v>0.41</v>
      </c>
      <c r="E230" s="35">
        <f t="shared" si="483"/>
        <v>41</v>
      </c>
      <c r="F230" s="25">
        <f>ROUND((B230/Stats!$B$8)*100000,0)</f>
        <v>2851</v>
      </c>
      <c r="G230" s="22">
        <f>ROUND((C230/Stats!$B$8)*100000,0)</f>
        <v>12</v>
      </c>
      <c r="H230" s="213">
        <v>6834</v>
      </c>
      <c r="I230" s="6">
        <f t="shared" si="484"/>
        <v>22</v>
      </c>
      <c r="J230" s="35">
        <f t="shared" si="485"/>
        <v>0.32</v>
      </c>
      <c r="K230" s="9">
        <f t="shared" si="486"/>
        <v>2.39</v>
      </c>
      <c r="L230" s="43">
        <f>ROUND(((H230/Stats!$B$8)*100000),0)</f>
        <v>68</v>
      </c>
      <c r="M230" s="96">
        <f>Stats!$B$8-N230</f>
        <v>4403117</v>
      </c>
      <c r="N230" s="97">
        <f>ROUND(Stats!$B$33/(1+(Stats!$B$34*EXP(-1*Stats!$B$32*(X230-$X$25)))),0)</f>
        <v>5635990</v>
      </c>
      <c r="O230" s="101">
        <f t="shared" si="410"/>
        <v>94.922223069948657</v>
      </c>
      <c r="P230" s="97">
        <f>ROUND(N230*(Stats!$I$14/100),0)</f>
        <v>136391</v>
      </c>
      <c r="Q230" s="101">
        <f t="shared" si="467"/>
        <v>94.989405459304493</v>
      </c>
      <c r="R230" s="109">
        <f xml:space="preserve"> ROUND(R229 - ((R229 / Stats!$B$27)*(Stats!$B$21*S229)),0)</f>
        <v>1324953</v>
      </c>
      <c r="S230" s="99">
        <f xml:space="preserve"> ROUND(S229 + (R229/Stats!$B$27)*(Stats!$B$21*S229)-(S229*Stats!$B$22),0)</f>
        <v>5</v>
      </c>
      <c r="T230" s="101">
        <f t="shared" si="411"/>
        <v>5723560</v>
      </c>
      <c r="U230" s="99">
        <f xml:space="preserve"> ROUND(U229 + (S229 * Stats!$B$22),0)</f>
        <v>8714691</v>
      </c>
      <c r="V230" s="99">
        <f>ROUND(S230*(Stats!$I$14/100),0)</f>
        <v>0</v>
      </c>
      <c r="W230" s="105" t="str">
        <f t="shared" si="468"/>
        <v/>
      </c>
      <c r="X230" s="118">
        <v>228</v>
      </c>
      <c r="AD230" s="105"/>
      <c r="AE230" s="51" t="s">
        <v>365</v>
      </c>
      <c r="AF230" s="140">
        <v>1233</v>
      </c>
      <c r="AG230" s="138">
        <f t="shared" si="487"/>
        <v>66</v>
      </c>
      <c r="AH230" s="138">
        <f t="shared" si="488"/>
        <v>5.5</v>
      </c>
      <c r="AI230" s="140">
        <v>24</v>
      </c>
      <c r="AJ230" s="138">
        <f t="shared" si="489"/>
        <v>2</v>
      </c>
      <c r="AK230" s="5">
        <f t="shared" si="490"/>
        <v>8.6999999999999993</v>
      </c>
      <c r="AL230" s="5" t="str">
        <f t="shared" si="441"/>
        <v>1</v>
      </c>
      <c r="AM230" s="5" t="str">
        <f t="shared" si="442"/>
        <v>2</v>
      </c>
      <c r="AN230" s="5" t="str">
        <f t="shared" si="443"/>
        <v>2</v>
      </c>
      <c r="AO230" s="5" t="str">
        <f t="shared" si="444"/>
        <v>4</v>
      </c>
    </row>
    <row r="231" spans="1:41" ht="30" x14ac:dyDescent="0.25">
      <c r="A231" s="206">
        <v>44119</v>
      </c>
      <c r="B231" s="121">
        <v>287222</v>
      </c>
      <c r="C231" s="6">
        <f t="shared" ref="C231:C235" si="491">B231-B230</f>
        <v>1039</v>
      </c>
      <c r="D231" s="19">
        <f t="shared" ref="D231:D235" si="492">ROUND(((B231/B230)-1)*100,2)</f>
        <v>0.36</v>
      </c>
      <c r="E231" s="35">
        <f t="shared" ref="E231:E235" si="493">IFERROR(ROUND((C231/B231)*10000,0),"")</f>
        <v>36</v>
      </c>
      <c r="F231" s="25">
        <f>ROUND((B231/Stats!$B$8)*100000,0)</f>
        <v>2861</v>
      </c>
      <c r="G231" s="22">
        <f>ROUND((C231/Stats!$B$8)*100000,0)</f>
        <v>10</v>
      </c>
      <c r="H231" s="213">
        <v>6855</v>
      </c>
      <c r="I231" s="6">
        <f t="shared" ref="I231:I235" si="494">H231-H230</f>
        <v>21</v>
      </c>
      <c r="J231" s="35">
        <f t="shared" ref="J231:J235" si="495">IFERROR(ROUND(((H231/H230)-1)*100,2),"")</f>
        <v>0.31</v>
      </c>
      <c r="K231" s="9">
        <f t="shared" ref="K231:K235" si="496">IFERROR(ROUND(100*(H231/B231),2),"")</f>
        <v>2.39</v>
      </c>
      <c r="L231" s="43">
        <f>ROUND(((H231/Stats!$B$8)*100000),0)</f>
        <v>68</v>
      </c>
      <c r="M231" s="96">
        <f>Stats!$B$8-N231</f>
        <v>4403117</v>
      </c>
      <c r="N231" s="97">
        <f>ROUND(Stats!$B$33/(1+(Stats!$B$34*EXP(-1*Stats!$B$32*(X231-$X$25)))),0)</f>
        <v>5635990</v>
      </c>
      <c r="O231" s="101">
        <f t="shared" si="410"/>
        <v>94.903787976912668</v>
      </c>
      <c r="P231" s="97">
        <f>ROUND(N231*(Stats!$I$14/100),0)</f>
        <v>136391</v>
      </c>
      <c r="Q231" s="101">
        <f t="shared" si="467"/>
        <v>94.974008548951176</v>
      </c>
      <c r="R231" s="109">
        <f xml:space="preserve"> ROUND(R230 - ((R230 / Stats!$B$27)*(Stats!$B$21*S230)),0)</f>
        <v>1324953</v>
      </c>
      <c r="S231" s="99">
        <f xml:space="preserve"> ROUND(S230 + (R230/Stats!$B$27)*(Stats!$B$21*S230)-(S230*Stats!$B$22),0)</f>
        <v>5</v>
      </c>
      <c r="T231" s="101">
        <f t="shared" si="411"/>
        <v>5744340</v>
      </c>
      <c r="U231" s="99">
        <f xml:space="preserve"> ROUND(U230 + (S230 * Stats!$B$22),0)</f>
        <v>8714692</v>
      </c>
      <c r="V231" s="99">
        <f>ROUND(S231*(Stats!$I$14/100),0)</f>
        <v>0</v>
      </c>
      <c r="W231" s="105" t="str">
        <f t="shared" si="468"/>
        <v/>
      </c>
      <c r="X231" s="118">
        <v>229</v>
      </c>
      <c r="AD231" s="105"/>
      <c r="AE231" s="51" t="s">
        <v>347</v>
      </c>
      <c r="AF231" s="140">
        <v>1072</v>
      </c>
      <c r="AG231" s="138">
        <f t="shared" si="487"/>
        <v>33</v>
      </c>
      <c r="AH231" s="138">
        <f t="shared" si="488"/>
        <v>3.13</v>
      </c>
      <c r="AI231" s="140">
        <v>27</v>
      </c>
      <c r="AJ231" s="138">
        <f t="shared" si="489"/>
        <v>6</v>
      </c>
      <c r="AK231" s="5">
        <f t="shared" si="490"/>
        <v>25</v>
      </c>
      <c r="AL231" s="5" t="str">
        <f t="shared" si="441"/>
        <v>1</v>
      </c>
      <c r="AM231" s="5" t="str">
        <f t="shared" si="442"/>
        <v>2</v>
      </c>
      <c r="AN231" s="5" t="str">
        <f t="shared" si="443"/>
        <v>0</v>
      </c>
      <c r="AO231" s="5" t="str">
        <f t="shared" si="444"/>
        <v>7</v>
      </c>
    </row>
    <row r="232" spans="1:41" x14ac:dyDescent="0.25">
      <c r="A232" s="206">
        <v>44120</v>
      </c>
      <c r="B232" s="121">
        <v>288136</v>
      </c>
      <c r="C232" s="6">
        <f t="shared" si="491"/>
        <v>914</v>
      </c>
      <c r="D232" s="19">
        <f t="shared" si="492"/>
        <v>0.32</v>
      </c>
      <c r="E232" s="35">
        <f t="shared" si="493"/>
        <v>32</v>
      </c>
      <c r="F232" s="25">
        <f>ROUND((B232/Stats!$B$8)*100000,0)</f>
        <v>2870</v>
      </c>
      <c r="G232" s="22">
        <f>ROUND((C232/Stats!$B$8)*100000,0)</f>
        <v>9</v>
      </c>
      <c r="H232" s="213">
        <v>6863</v>
      </c>
      <c r="I232" s="6">
        <f t="shared" si="494"/>
        <v>8</v>
      </c>
      <c r="J232" s="35">
        <f t="shared" si="495"/>
        <v>0.12</v>
      </c>
      <c r="K232" s="9">
        <f t="shared" si="496"/>
        <v>2.38</v>
      </c>
      <c r="L232" s="43">
        <f>ROUND(((H232/Stats!$B$8)*100000),0)</f>
        <v>68</v>
      </c>
      <c r="M232" s="96">
        <f>Stats!$B$8-N232</f>
        <v>4403117</v>
      </c>
      <c r="N232" s="97">
        <f>ROUND(Stats!$B$33/(1+(Stats!$B$34*EXP(-1*Stats!$B$32*(X232-$X$25)))),0)</f>
        <v>5635990</v>
      </c>
      <c r="O232" s="101">
        <f t="shared" si="410"/>
        <v>94.88757077283671</v>
      </c>
      <c r="P232" s="97">
        <f>ROUND(N232*(Stats!$I$14/100),0)</f>
        <v>136391</v>
      </c>
      <c r="Q232" s="101">
        <f t="shared" si="467"/>
        <v>94.968143059292771</v>
      </c>
      <c r="R232" s="109">
        <f xml:space="preserve"> ROUND(R231 - ((R231 / Stats!$B$27)*(Stats!$B$21*S231)),0)</f>
        <v>1324953</v>
      </c>
      <c r="S232" s="99">
        <f xml:space="preserve"> ROUND(S231 + (R231/Stats!$B$27)*(Stats!$B$21*S231)-(S231*Stats!$B$22),0)</f>
        <v>5</v>
      </c>
      <c r="T232" s="101">
        <f t="shared" si="411"/>
        <v>5762620</v>
      </c>
      <c r="U232" s="99">
        <f xml:space="preserve"> ROUND(U231 + (S231 * Stats!$B$22),0)</f>
        <v>8714693</v>
      </c>
      <c r="V232" s="99">
        <f>ROUND(S232*(Stats!$I$14/100),0)</f>
        <v>0</v>
      </c>
      <c r="W232" s="105" t="str">
        <f t="shared" si="468"/>
        <v/>
      </c>
      <c r="X232" s="118">
        <v>230</v>
      </c>
      <c r="AD232" s="105"/>
      <c r="AF232" s="140">
        <v>953</v>
      </c>
      <c r="AG232" s="138">
        <f t="shared" si="487"/>
        <v>39</v>
      </c>
      <c r="AH232" s="138">
        <f t="shared" si="488"/>
        <v>4.18</v>
      </c>
      <c r="AI232" s="140">
        <v>10</v>
      </c>
      <c r="AJ232" s="138">
        <f t="shared" si="489"/>
        <v>2</v>
      </c>
      <c r="AK232" s="5">
        <f t="shared" si="490"/>
        <v>22.22</v>
      </c>
      <c r="AL232" s="5" t="str">
        <f t="shared" si="441"/>
        <v>9</v>
      </c>
      <c r="AM232" s="5" t="str">
        <f t="shared" si="442"/>
        <v>1</v>
      </c>
      <c r="AN232" s="5" t="str">
        <f t="shared" si="443"/>
        <v>5</v>
      </c>
      <c r="AO232" s="5" t="str">
        <f t="shared" si="444"/>
        <v>0</v>
      </c>
    </row>
    <row r="233" spans="1:41" x14ac:dyDescent="0.25">
      <c r="A233" s="206">
        <v>44121</v>
      </c>
      <c r="B233" s="121">
        <v>288451</v>
      </c>
      <c r="C233" s="6">
        <f t="shared" si="491"/>
        <v>315</v>
      </c>
      <c r="D233" s="19">
        <f t="shared" si="492"/>
        <v>0.11</v>
      </c>
      <c r="E233" s="35">
        <f t="shared" si="493"/>
        <v>11</v>
      </c>
      <c r="F233" s="25">
        <f>ROUND((B233/Stats!$B$8)*100000,0)</f>
        <v>2873</v>
      </c>
      <c r="G233" s="22">
        <f>ROUND((C233/Stats!$B$8)*100000,0)</f>
        <v>3</v>
      </c>
      <c r="H233" s="213">
        <v>6876</v>
      </c>
      <c r="I233" s="6">
        <f t="shared" si="494"/>
        <v>13</v>
      </c>
      <c r="J233" s="35">
        <f t="shared" si="495"/>
        <v>0.19</v>
      </c>
      <c r="K233" s="9">
        <f t="shared" si="496"/>
        <v>2.38</v>
      </c>
      <c r="L233" s="43">
        <f>ROUND(((H233/Stats!$B$8)*100000),0)</f>
        <v>68</v>
      </c>
      <c r="M233" s="96">
        <f>Stats!$B$8-N233</f>
        <v>4403117</v>
      </c>
      <c r="N233" s="97">
        <f>ROUND(Stats!$B$33/(1+(Stats!$B$34*EXP(-1*Stats!$B$32*(X233-$X$25)))),0)</f>
        <v>5635990</v>
      </c>
      <c r="O233" s="101">
        <f t="shared" si="410"/>
        <v>94.881981692657362</v>
      </c>
      <c r="P233" s="97">
        <f>ROUND(N233*(Stats!$I$14/100),0)</f>
        <v>136391</v>
      </c>
      <c r="Q233" s="101">
        <f t="shared" si="467"/>
        <v>94.958611638597858</v>
      </c>
      <c r="R233" s="109">
        <f xml:space="preserve"> ROUND(R232 - ((R232 / Stats!$B$27)*(Stats!$B$21*S232)),0)</f>
        <v>1324953</v>
      </c>
      <c r="S233" s="99">
        <f xml:space="preserve"> ROUND(S232 + (R232/Stats!$B$27)*(Stats!$B$21*S232)-(S232*Stats!$B$22),0)</f>
        <v>5</v>
      </c>
      <c r="T233" s="101">
        <f t="shared" si="411"/>
        <v>5768920</v>
      </c>
      <c r="U233" s="99">
        <f xml:space="preserve"> ROUND(U232 + (S232 * Stats!$B$22),0)</f>
        <v>8714694</v>
      </c>
      <c r="V233" s="99">
        <f>ROUND(S233*(Stats!$I$14/100),0)</f>
        <v>0</v>
      </c>
      <c r="W233" s="105" t="str">
        <f t="shared" si="468"/>
        <v/>
      </c>
      <c r="X233" s="118">
        <v>231</v>
      </c>
      <c r="AD233" s="105"/>
      <c r="AF233" s="140">
        <v>358</v>
      </c>
      <c r="AG233" s="138">
        <f t="shared" si="487"/>
        <v>43</v>
      </c>
      <c r="AH233" s="138">
        <f t="shared" si="488"/>
        <v>12.78</v>
      </c>
      <c r="AI233" s="140">
        <v>13</v>
      </c>
      <c r="AJ233" s="138">
        <f t="shared" si="489"/>
        <v>0</v>
      </c>
      <c r="AK233" s="5">
        <f t="shared" si="490"/>
        <v>0</v>
      </c>
      <c r="AL233" s="5" t="str">
        <f t="shared" si="441"/>
        <v>3</v>
      </c>
      <c r="AM233" s="5" t="str">
        <f t="shared" si="442"/>
        <v>1</v>
      </c>
      <c r="AN233" s="5" t="str">
        <f t="shared" si="443"/>
        <v>5</v>
      </c>
      <c r="AO233" s="5" t="str">
        <f t="shared" si="444"/>
        <v>3</v>
      </c>
    </row>
    <row r="234" spans="1:41" x14ac:dyDescent="0.25">
      <c r="A234" s="206">
        <v>44122</v>
      </c>
      <c r="B234" s="121">
        <v>289366</v>
      </c>
      <c r="C234" s="6">
        <f t="shared" si="491"/>
        <v>915</v>
      </c>
      <c r="D234" s="19">
        <f t="shared" si="492"/>
        <v>0.32</v>
      </c>
      <c r="E234" s="35">
        <f t="shared" si="493"/>
        <v>32</v>
      </c>
      <c r="F234" s="25">
        <f>ROUND((B234/Stats!$B$8)*100000,0)</f>
        <v>2882</v>
      </c>
      <c r="G234" s="22">
        <f>ROUND((C234/Stats!$B$8)*100000,0)</f>
        <v>9</v>
      </c>
      <c r="H234" s="213">
        <v>6877</v>
      </c>
      <c r="I234" s="6">
        <f t="shared" si="494"/>
        <v>1</v>
      </c>
      <c r="J234" s="35">
        <f t="shared" si="495"/>
        <v>0.01</v>
      </c>
      <c r="K234" s="9">
        <f t="shared" si="496"/>
        <v>2.38</v>
      </c>
      <c r="L234" s="43">
        <f>ROUND(((H234/Stats!$B$8)*100000),0)</f>
        <v>69</v>
      </c>
      <c r="M234" s="96">
        <f>Stats!$B$8-N234</f>
        <v>4403117</v>
      </c>
      <c r="N234" s="97">
        <f>ROUND(Stats!$B$33/(1+(Stats!$B$34*EXP(-1*Stats!$B$32*(X234-$X$25)))),0)</f>
        <v>5635990</v>
      </c>
      <c r="O234" s="101">
        <f t="shared" si="410"/>
        <v>94.865746745469735</v>
      </c>
      <c r="P234" s="97">
        <f>ROUND(N234*(Stats!$I$14/100),0)</f>
        <v>136391</v>
      </c>
      <c r="Q234" s="101">
        <f t="shared" si="467"/>
        <v>94.95787845239056</v>
      </c>
      <c r="R234" s="109">
        <f xml:space="preserve"> ROUND(R233 - ((R233 / Stats!$B$27)*(Stats!$B$21*S233)),0)</f>
        <v>1324953</v>
      </c>
      <c r="S234" s="99">
        <f xml:space="preserve"> ROUND(S233 + (R233/Stats!$B$27)*(Stats!$B$21*S233)-(S233*Stats!$B$22),0)</f>
        <v>5</v>
      </c>
      <c r="T234" s="101">
        <f t="shared" si="411"/>
        <v>5787220</v>
      </c>
      <c r="U234" s="99">
        <f xml:space="preserve"> ROUND(U233 + (S233 * Stats!$B$22),0)</f>
        <v>8714695</v>
      </c>
      <c r="V234" s="99">
        <f>ROUND(S234*(Stats!$I$14/100),0)</f>
        <v>0</v>
      </c>
      <c r="W234" s="105" t="str">
        <f t="shared" si="468"/>
        <v/>
      </c>
      <c r="X234" s="118">
        <v>232</v>
      </c>
      <c r="AD234" s="105"/>
      <c r="AF234" s="140">
        <v>923</v>
      </c>
      <c r="AG234" s="138">
        <f t="shared" si="487"/>
        <v>8</v>
      </c>
      <c r="AH234" s="138">
        <f t="shared" si="488"/>
        <v>0.87</v>
      </c>
      <c r="AI234" s="140">
        <v>1</v>
      </c>
      <c r="AJ234" s="138">
        <f t="shared" si="489"/>
        <v>0</v>
      </c>
      <c r="AK234" s="5">
        <f t="shared" si="490"/>
        <v>0</v>
      </c>
      <c r="AL234" s="5" t="str">
        <f t="shared" si="441"/>
        <v>9</v>
      </c>
      <c r="AM234" s="5" t="str">
        <f t="shared" si="442"/>
        <v>1</v>
      </c>
      <c r="AN234" s="5" t="str">
        <f t="shared" si="443"/>
        <v>2</v>
      </c>
      <c r="AO234" s="5" t="str">
        <f t="shared" si="444"/>
        <v>1</v>
      </c>
    </row>
    <row r="235" spans="1:41" x14ac:dyDescent="0.25">
      <c r="A235" s="206">
        <v>44123</v>
      </c>
      <c r="B235" s="121">
        <v>290009</v>
      </c>
      <c r="C235" s="6">
        <f t="shared" si="491"/>
        <v>643</v>
      </c>
      <c r="D235" s="19">
        <f t="shared" si="492"/>
        <v>0.22</v>
      </c>
      <c r="E235" s="35">
        <f t="shared" si="493"/>
        <v>22</v>
      </c>
      <c r="F235" s="25">
        <f>ROUND((B235/Stats!$B$8)*100000,0)</f>
        <v>2889</v>
      </c>
      <c r="G235" s="22">
        <f>ROUND((C235/Stats!$B$8)*100000,0)</f>
        <v>6</v>
      </c>
      <c r="H235" s="213">
        <v>6912</v>
      </c>
      <c r="I235" s="6">
        <f t="shared" si="494"/>
        <v>35</v>
      </c>
      <c r="J235" s="35">
        <f t="shared" si="495"/>
        <v>0.51</v>
      </c>
      <c r="K235" s="9">
        <f t="shared" si="496"/>
        <v>2.38</v>
      </c>
      <c r="L235" s="43">
        <f>ROUND(((H235/Stats!$B$8)*100000),0)</f>
        <v>69</v>
      </c>
      <c r="M235" s="96">
        <f>Stats!$B$8-N235</f>
        <v>4403117</v>
      </c>
      <c r="N235" s="97">
        <f>ROUND(Stats!$B$33/(1+(Stats!$B$34*EXP(-1*Stats!$B$32*(X235-$X$25)))),0)</f>
        <v>5635990</v>
      </c>
      <c r="O235" s="101">
        <f t="shared" si="410"/>
        <v>94.854337924659205</v>
      </c>
      <c r="P235" s="97">
        <f>ROUND(N235*(Stats!$I$14/100),0)</f>
        <v>136391</v>
      </c>
      <c r="Q235" s="101">
        <f t="shared" si="467"/>
        <v>94.932216935135017</v>
      </c>
      <c r="R235" s="109">
        <f xml:space="preserve"> ROUND(R234 - ((R234 / Stats!$B$27)*(Stats!$B$21*S234)),0)</f>
        <v>1324953</v>
      </c>
      <c r="S235" s="99">
        <f xml:space="preserve"> ROUND(S234 + (R234/Stats!$B$27)*(Stats!$B$21*S234)-(S234*Stats!$B$22),0)</f>
        <v>5</v>
      </c>
      <c r="T235" s="101">
        <f t="shared" si="411"/>
        <v>5800080</v>
      </c>
      <c r="U235" s="99">
        <f xml:space="preserve"> ROUND(U234 + (S234 * Stats!$B$22),0)</f>
        <v>8714696</v>
      </c>
      <c r="V235" s="99">
        <f>ROUND(S235*(Stats!$I$14/100),0)</f>
        <v>0</v>
      </c>
      <c r="W235" s="105" t="str">
        <f t="shared" si="468"/>
        <v/>
      </c>
      <c r="X235" s="118">
        <v>233</v>
      </c>
      <c r="AD235" s="105"/>
      <c r="AF235" s="140">
        <v>713</v>
      </c>
      <c r="AG235" s="138">
        <f t="shared" si="487"/>
        <v>70</v>
      </c>
      <c r="AH235" s="138">
        <f t="shared" si="488"/>
        <v>10.32</v>
      </c>
      <c r="AI235" s="140">
        <v>39</v>
      </c>
      <c r="AJ235" s="138">
        <f t="shared" si="489"/>
        <v>4</v>
      </c>
      <c r="AK235" s="5">
        <f t="shared" si="490"/>
        <v>10.81</v>
      </c>
      <c r="AL235" s="5" t="str">
        <f t="shared" si="441"/>
        <v>7</v>
      </c>
      <c r="AM235" s="5" t="str">
        <f t="shared" si="442"/>
        <v>3</v>
      </c>
      <c r="AN235" s="5" t="str">
        <f t="shared" si="443"/>
        <v>1</v>
      </c>
      <c r="AO235" s="5" t="str">
        <f t="shared" si="444"/>
        <v>9</v>
      </c>
    </row>
    <row r="236" spans="1:41" ht="90" x14ac:dyDescent="0.25">
      <c r="A236" s="206">
        <v>44124</v>
      </c>
      <c r="B236" s="121">
        <v>290486</v>
      </c>
      <c r="C236" s="6">
        <f t="shared" ref="C236:C237" si="497">B236-B235</f>
        <v>477</v>
      </c>
      <c r="D236" s="19">
        <f t="shared" ref="D236:D237" si="498">ROUND(((B236/B235)-1)*100,2)</f>
        <v>0.16</v>
      </c>
      <c r="E236" s="35">
        <f t="shared" ref="E236:E237" si="499">IFERROR(ROUND((C236/B236)*10000,0),"")</f>
        <v>16</v>
      </c>
      <c r="F236" s="25">
        <f>ROUND((B236/Stats!$B$8)*100000,0)</f>
        <v>2894</v>
      </c>
      <c r="G236" s="22">
        <f>ROUND((C236/Stats!$B$8)*100000,0)</f>
        <v>5</v>
      </c>
      <c r="H236" s="213">
        <v>6944</v>
      </c>
      <c r="I236" s="6">
        <f t="shared" ref="I236:I237" si="500">H236-H235</f>
        <v>32</v>
      </c>
      <c r="J236" s="35">
        <f t="shared" ref="J236:J237" si="501">IFERROR(ROUND(((H236/H235)-1)*100,2),"")</f>
        <v>0.46</v>
      </c>
      <c r="K236" s="9">
        <f t="shared" ref="K236:K237" si="502">IFERROR(ROUND(100*(H236/B236),2),"")</f>
        <v>2.39</v>
      </c>
      <c r="L236" s="43">
        <f>ROUND(((H236/Stats!$B$8)*100000),0)</f>
        <v>69</v>
      </c>
      <c r="M236" s="96">
        <f>Stats!$B$8-N236</f>
        <v>4403117</v>
      </c>
      <c r="N236" s="97">
        <f>ROUND(Stats!$B$33/(1+(Stats!$B$34*EXP(-1*Stats!$B$32*(X236-$X$25)))),0)</f>
        <v>5635990</v>
      </c>
      <c r="O236" s="101">
        <f t="shared" si="410"/>
        <v>94.84587446038762</v>
      </c>
      <c r="P236" s="97">
        <f>ROUND(N236*(Stats!$I$14/100),0)</f>
        <v>136391</v>
      </c>
      <c r="Q236" s="101">
        <f t="shared" si="467"/>
        <v>94.908754976501385</v>
      </c>
      <c r="R236" s="109">
        <f xml:space="preserve"> ROUND(R235 - ((R235 / Stats!$B$27)*(Stats!$B$21*S235)),0)</f>
        <v>1324953</v>
      </c>
      <c r="S236" s="99">
        <f xml:space="preserve"> ROUND(S235 + (R235/Stats!$B$27)*(Stats!$B$21*S235)-(S235*Stats!$B$22),0)</f>
        <v>5</v>
      </c>
      <c r="T236" s="101">
        <f t="shared" si="411"/>
        <v>5809620</v>
      </c>
      <c r="U236" s="99">
        <f xml:space="preserve"> ROUND(U235 + (S235 * Stats!$B$22),0)</f>
        <v>8714697</v>
      </c>
      <c r="V236" s="99">
        <f>ROUND(S236*(Stats!$I$14/100),0)</f>
        <v>0</v>
      </c>
      <c r="W236" s="105" t="str">
        <f t="shared" si="468"/>
        <v/>
      </c>
      <c r="X236" s="118">
        <v>234</v>
      </c>
      <c r="AD236" s="105"/>
      <c r="AE236" s="51" t="s">
        <v>349</v>
      </c>
      <c r="AF236" s="140">
        <v>510</v>
      </c>
      <c r="AG236" s="138">
        <f t="shared" si="487"/>
        <v>33</v>
      </c>
      <c r="AH236" s="138">
        <f t="shared" si="488"/>
        <v>6.69</v>
      </c>
      <c r="AI236" s="140">
        <v>33</v>
      </c>
      <c r="AJ236" s="138">
        <f t="shared" si="489"/>
        <v>1</v>
      </c>
      <c r="AK236" s="5">
        <f t="shared" si="490"/>
        <v>3.08</v>
      </c>
      <c r="AL236" s="5" t="str">
        <f t="shared" si="441"/>
        <v>5</v>
      </c>
      <c r="AM236" s="5" t="str">
        <f t="shared" si="442"/>
        <v>3</v>
      </c>
      <c r="AN236" s="5" t="str">
        <f t="shared" si="443"/>
        <v>1</v>
      </c>
      <c r="AO236" s="5" t="str">
        <f t="shared" si="444"/>
        <v>3</v>
      </c>
    </row>
    <row r="237" spans="1:41" ht="45" x14ac:dyDescent="0.25">
      <c r="A237" s="206">
        <v>44125</v>
      </c>
      <c r="B237" s="121">
        <v>294065</v>
      </c>
      <c r="C237" s="47">
        <f t="shared" si="497"/>
        <v>3579</v>
      </c>
      <c r="D237" s="48">
        <f t="shared" si="498"/>
        <v>1.23</v>
      </c>
      <c r="E237" s="52">
        <f t="shared" si="499"/>
        <v>122</v>
      </c>
      <c r="F237" s="221">
        <f>ROUND((B237/Stats!$B$8)*100000,0)</f>
        <v>2929</v>
      </c>
      <c r="G237" s="222">
        <f>ROUND((C237/Stats!$B$8)*100000,0)</f>
        <v>36</v>
      </c>
      <c r="H237" s="213">
        <v>6956</v>
      </c>
      <c r="I237" s="6">
        <f t="shared" si="500"/>
        <v>12</v>
      </c>
      <c r="J237" s="35">
        <f t="shared" si="501"/>
        <v>0.17</v>
      </c>
      <c r="K237" s="9">
        <f t="shared" si="502"/>
        <v>2.37</v>
      </c>
      <c r="L237" s="43">
        <f>ROUND(((H237/Stats!$B$8)*100000),0)</f>
        <v>69</v>
      </c>
      <c r="M237" s="96">
        <f>Stats!$B$8-N237</f>
        <v>4403117</v>
      </c>
      <c r="N237" s="97">
        <f>ROUND(Stats!$B$33/(1+(Stats!$B$34*EXP(-1*Stats!$B$32*(X237-$X$25)))),0)</f>
        <v>5635990</v>
      </c>
      <c r="O237" s="101">
        <f t="shared" si="410"/>
        <v>94.782371863683224</v>
      </c>
      <c r="P237" s="97">
        <f>ROUND(N237*(Stats!$I$14/100),0)</f>
        <v>136391</v>
      </c>
      <c r="Q237" s="101">
        <f t="shared" si="467"/>
        <v>94.899956742013771</v>
      </c>
      <c r="R237" s="109">
        <f xml:space="preserve"> ROUND(R236 - ((R236 / Stats!$B$27)*(Stats!$B$21*S236)),0)</f>
        <v>1324953</v>
      </c>
      <c r="S237" s="99">
        <f xml:space="preserve"> ROUND(S236 + (R236/Stats!$B$27)*(Stats!$B$21*S236)-(S236*Stats!$B$22),0)</f>
        <v>5</v>
      </c>
      <c r="T237" s="101">
        <f t="shared" si="411"/>
        <v>5881200</v>
      </c>
      <c r="U237" s="99">
        <f xml:space="preserve"> ROUND(U236 + (S236 * Stats!$B$22),0)</f>
        <v>8714698</v>
      </c>
      <c r="V237" s="99">
        <f>ROUND(S237*(Stats!$I$14/100),0)</f>
        <v>0</v>
      </c>
      <c r="W237" s="105" t="str">
        <f t="shared" si="468"/>
        <v/>
      </c>
      <c r="X237" s="118">
        <v>235</v>
      </c>
      <c r="AD237" s="105"/>
      <c r="AE237" s="129" t="s">
        <v>350</v>
      </c>
      <c r="AF237" s="163">
        <v>3600</v>
      </c>
      <c r="AG237" s="138">
        <f t="shared" si="487"/>
        <v>21</v>
      </c>
      <c r="AH237" s="138">
        <f t="shared" si="488"/>
        <v>0.59</v>
      </c>
      <c r="AI237" s="140">
        <v>18</v>
      </c>
      <c r="AJ237" s="138">
        <f t="shared" si="489"/>
        <v>6</v>
      </c>
      <c r="AK237" s="5">
        <f t="shared" si="490"/>
        <v>40</v>
      </c>
      <c r="AL237" s="5" t="str">
        <f t="shared" si="441"/>
        <v>3</v>
      </c>
      <c r="AM237" s="5" t="str">
        <f t="shared" si="442"/>
        <v>1</v>
      </c>
      <c r="AN237" s="5" t="str">
        <f t="shared" si="443"/>
        <v>6</v>
      </c>
      <c r="AO237" s="5" t="str">
        <f t="shared" si="444"/>
        <v>8</v>
      </c>
    </row>
    <row r="238" spans="1:41" x14ac:dyDescent="0.25">
      <c r="A238" s="206">
        <v>44126</v>
      </c>
      <c r="B238" s="121">
        <v>296821</v>
      </c>
      <c r="C238" s="6">
        <f t="shared" ref="C238:C239" si="503">B238-B237</f>
        <v>2756</v>
      </c>
      <c r="D238" s="19">
        <f t="shared" ref="D238:D239" si="504">ROUND(((B238/B237)-1)*100,2)</f>
        <v>0.94</v>
      </c>
      <c r="E238" s="35">
        <f t="shared" ref="E238:E239" si="505">IFERROR(ROUND((C238/B238)*10000,0),"")</f>
        <v>93</v>
      </c>
      <c r="F238" s="25">
        <f>ROUND((B238/Stats!$B$8)*100000,0)</f>
        <v>2957</v>
      </c>
      <c r="G238" s="22">
        <f>ROUND((C238/Stats!$B$8)*100000,0)</f>
        <v>27</v>
      </c>
      <c r="H238" s="213">
        <v>6974</v>
      </c>
      <c r="I238" s="6">
        <f t="shared" ref="I238:I239" si="506">H238-H237</f>
        <v>18</v>
      </c>
      <c r="J238" s="35">
        <f t="shared" ref="J238:J239" si="507">IFERROR(ROUND(((H238/H237)-1)*100,2),"")</f>
        <v>0.26</v>
      </c>
      <c r="K238" s="9">
        <f t="shared" ref="K238:K239" si="508">IFERROR(ROUND(100*(H238/B238),2),"")</f>
        <v>2.35</v>
      </c>
      <c r="L238" s="43">
        <f>ROUND(((H238/Stats!$B$8)*100000),0)</f>
        <v>69</v>
      </c>
      <c r="M238" s="96">
        <f>Stats!$B$8-N238</f>
        <v>4403117</v>
      </c>
      <c r="N238" s="97">
        <f>ROUND(Stats!$B$33/(1+(Stats!$B$34*EXP(-1*Stats!$B$32*(X238-$X$25)))),0)</f>
        <v>5635990</v>
      </c>
      <c r="O238" s="101">
        <f t="shared" si="410"/>
        <v>94.733471847891849</v>
      </c>
      <c r="P238" s="97">
        <f>ROUND(N238*(Stats!$I$14/100),0)</f>
        <v>136391</v>
      </c>
      <c r="Q238" s="101">
        <f t="shared" si="467"/>
        <v>94.88675939028235</v>
      </c>
      <c r="R238" s="109">
        <f xml:space="preserve"> ROUND(R237 - ((R237 / Stats!$B$27)*(Stats!$B$21*S237)),0)</f>
        <v>1324953</v>
      </c>
      <c r="S238" s="99">
        <f xml:space="preserve"> ROUND(S237 + (R237/Stats!$B$27)*(Stats!$B$21*S237)-(S237*Stats!$B$22),0)</f>
        <v>5</v>
      </c>
      <c r="T238" s="101">
        <f t="shared" si="411"/>
        <v>5936320</v>
      </c>
      <c r="U238" s="99">
        <f xml:space="preserve"> ROUND(U237 + (S237 * Stats!$B$22),0)</f>
        <v>8714699</v>
      </c>
      <c r="V238" s="99">
        <f>ROUND(S238*(Stats!$I$14/100),0)</f>
        <v>0</v>
      </c>
      <c r="W238" s="105" t="str">
        <f t="shared" si="468"/>
        <v/>
      </c>
      <c r="X238" s="118">
        <v>236</v>
      </c>
      <c r="AD238" s="105"/>
      <c r="AF238" s="140">
        <v>2773</v>
      </c>
      <c r="AG238" s="138">
        <f t="shared" si="487"/>
        <v>17</v>
      </c>
      <c r="AH238" s="138">
        <f t="shared" si="488"/>
        <v>0.61</v>
      </c>
      <c r="AI238" s="140">
        <v>23</v>
      </c>
      <c r="AJ238" s="138">
        <f t="shared" si="489"/>
        <v>5</v>
      </c>
      <c r="AK238" s="5">
        <f t="shared" si="490"/>
        <v>24.39</v>
      </c>
      <c r="AL238" s="5" t="str">
        <f t="shared" si="441"/>
        <v>2</v>
      </c>
      <c r="AM238" s="5" t="str">
        <f t="shared" si="442"/>
        <v>2</v>
      </c>
      <c r="AN238" s="5" t="str">
        <f t="shared" si="443"/>
        <v>7</v>
      </c>
      <c r="AO238" s="5" t="str">
        <f t="shared" si="444"/>
        <v>3</v>
      </c>
    </row>
    <row r="239" spans="1:41" ht="30" x14ac:dyDescent="0.25">
      <c r="A239" s="206">
        <v>44127</v>
      </c>
      <c r="B239" s="121">
        <v>298937</v>
      </c>
      <c r="C239" s="6">
        <f t="shared" si="503"/>
        <v>2116</v>
      </c>
      <c r="D239" s="19">
        <f t="shared" si="504"/>
        <v>0.71</v>
      </c>
      <c r="E239" s="35">
        <f t="shared" si="505"/>
        <v>71</v>
      </c>
      <c r="F239" s="25">
        <f>ROUND((B239/Stats!$B$8)*100000,0)</f>
        <v>2978</v>
      </c>
      <c r="G239" s="22">
        <f>ROUND((C239/Stats!$B$8)*100000,0)</f>
        <v>21</v>
      </c>
      <c r="H239" s="213">
        <v>6989</v>
      </c>
      <c r="I239" s="6">
        <f t="shared" si="506"/>
        <v>15</v>
      </c>
      <c r="J239" s="35">
        <f t="shared" si="507"/>
        <v>0.22</v>
      </c>
      <c r="K239" s="9">
        <f t="shared" si="508"/>
        <v>2.34</v>
      </c>
      <c r="L239" s="43">
        <f>ROUND(((H239/Stats!$B$8)*100000),0)</f>
        <v>70</v>
      </c>
      <c r="M239" s="96">
        <f>Stats!$B$8-N239</f>
        <v>4403117</v>
      </c>
      <c r="N239" s="97">
        <f>ROUND(Stats!$B$33/(1+(Stats!$B$34*EXP(-1*Stats!$B$32*(X239-$X$25)))),0)</f>
        <v>5635990</v>
      </c>
      <c r="O239" s="101">
        <f t="shared" si="410"/>
        <v>94.695927423575981</v>
      </c>
      <c r="P239" s="97">
        <f>ROUND(N239*(Stats!$I$14/100),0)</f>
        <v>136391</v>
      </c>
      <c r="Q239" s="101">
        <f t="shared" si="467"/>
        <v>94.87576159717284</v>
      </c>
      <c r="R239" s="109">
        <f xml:space="preserve"> ROUND(R238 - ((R238 / Stats!$B$27)*(Stats!$B$21*S238)),0)</f>
        <v>1324953</v>
      </c>
      <c r="S239" s="99">
        <f xml:space="preserve"> ROUND(S238 + (R238/Stats!$B$27)*(Stats!$B$21*S238)-(S238*Stats!$B$22),0)</f>
        <v>5</v>
      </c>
      <c r="T239" s="101">
        <f t="shared" si="411"/>
        <v>5978640</v>
      </c>
      <c r="U239" s="99">
        <f xml:space="preserve"> ROUND(U238 + (S238 * Stats!$B$22),0)</f>
        <v>8714700</v>
      </c>
      <c r="V239" s="99">
        <f>ROUND(S239*(Stats!$I$14/100),0)</f>
        <v>0</v>
      </c>
      <c r="W239" s="105" t="str">
        <f t="shared" si="468"/>
        <v/>
      </c>
      <c r="X239" s="118">
        <v>237</v>
      </c>
      <c r="AD239" s="105"/>
      <c r="AE239" s="51" t="s">
        <v>363</v>
      </c>
      <c r="AF239" s="140">
        <v>2173</v>
      </c>
      <c r="AG239" s="138">
        <f t="shared" si="487"/>
        <v>57</v>
      </c>
      <c r="AH239" s="138">
        <f t="shared" si="488"/>
        <v>2.66</v>
      </c>
      <c r="AI239" s="140">
        <v>17</v>
      </c>
      <c r="AJ239" s="138">
        <f t="shared" si="489"/>
        <v>2</v>
      </c>
      <c r="AK239" s="5">
        <f t="shared" si="490"/>
        <v>12.5</v>
      </c>
      <c r="AL239" s="5" t="str">
        <f t="shared" si="441"/>
        <v>2</v>
      </c>
      <c r="AM239" s="5" t="str">
        <f t="shared" si="442"/>
        <v>1</v>
      </c>
      <c r="AN239" s="5" t="str">
        <f t="shared" si="443"/>
        <v>1</v>
      </c>
      <c r="AO239" s="5" t="str">
        <f t="shared" si="444"/>
        <v>7</v>
      </c>
    </row>
    <row r="240" spans="1:41" x14ac:dyDescent="0.25">
      <c r="A240" s="206">
        <v>44128</v>
      </c>
      <c r="B240" s="121">
        <v>299760</v>
      </c>
      <c r="C240" s="6">
        <f t="shared" ref="C240:C241" si="509">B240-B239</f>
        <v>823</v>
      </c>
      <c r="D240" s="19">
        <f t="shared" ref="D240:D241" si="510">ROUND(((B240/B239)-1)*100,2)</f>
        <v>0.28000000000000003</v>
      </c>
      <c r="E240" s="35">
        <f t="shared" ref="E240:E241" si="511">IFERROR(ROUND((C240/B240)*10000,0),"")</f>
        <v>27</v>
      </c>
      <c r="F240" s="25">
        <f>ROUND((B240/Stats!$B$8)*100000,0)</f>
        <v>2986</v>
      </c>
      <c r="G240" s="22">
        <f>ROUND((C240/Stats!$B$8)*100000,0)</f>
        <v>8</v>
      </c>
      <c r="H240" s="213">
        <v>6993</v>
      </c>
      <c r="I240" s="6">
        <f t="shared" ref="I240:I241" si="512">H240-H239</f>
        <v>4</v>
      </c>
      <c r="J240" s="35">
        <f t="shared" ref="J240:J241" si="513">IFERROR(ROUND(((H240/H239)-1)*100,2),"")</f>
        <v>0.06</v>
      </c>
      <c r="K240" s="9">
        <f t="shared" ref="K240:K241" si="514">IFERROR(ROUND(100*(H240/B240),2),"")</f>
        <v>2.33</v>
      </c>
      <c r="L240" s="43">
        <f>ROUND(((H240/Stats!$B$8)*100000),0)</f>
        <v>70</v>
      </c>
      <c r="M240" s="96">
        <f>Stats!$B$8-N240</f>
        <v>4403117</v>
      </c>
      <c r="N240" s="97">
        <f>ROUND(Stats!$B$33/(1+(Stats!$B$34*EXP(-1*Stats!$B$32*(X240-$X$25)))),0)</f>
        <v>5635990</v>
      </c>
      <c r="O240" s="101">
        <f t="shared" si="410"/>
        <v>94.68132484266296</v>
      </c>
      <c r="P240" s="97">
        <f>ROUND(N240*(Stats!$I$14/100),0)</f>
        <v>136391</v>
      </c>
      <c r="Q240" s="101">
        <f t="shared" si="467"/>
        <v>94.872828852343631</v>
      </c>
      <c r="R240" s="109">
        <f xml:space="preserve"> ROUND(R239 - ((R239 / Stats!$B$27)*(Stats!$B$21*S239)),0)</f>
        <v>1324953</v>
      </c>
      <c r="S240" s="99">
        <f xml:space="preserve"> ROUND(S239 + (R239/Stats!$B$27)*(Stats!$B$21*S239)-(S239*Stats!$B$22),0)</f>
        <v>5</v>
      </c>
      <c r="T240" s="101">
        <f t="shared" si="411"/>
        <v>5995100</v>
      </c>
      <c r="U240" s="99">
        <f xml:space="preserve"> ROUND(U239 + (S239 * Stats!$B$22),0)</f>
        <v>8714701</v>
      </c>
      <c r="V240" s="99">
        <f>ROUND(S240*(Stats!$I$14/100),0)</f>
        <v>0</v>
      </c>
      <c r="W240" s="105" t="str">
        <f t="shared" si="468"/>
        <v/>
      </c>
      <c r="X240" s="118">
        <v>238</v>
      </c>
      <c r="AD240" s="105"/>
      <c r="AF240" s="140">
        <v>830</v>
      </c>
      <c r="AG240" s="138">
        <f t="shared" si="487"/>
        <v>7</v>
      </c>
      <c r="AH240" s="138">
        <f t="shared" si="488"/>
        <v>0.85</v>
      </c>
      <c r="AI240" s="140">
        <v>4</v>
      </c>
      <c r="AJ240" s="138">
        <f t="shared" si="489"/>
        <v>0</v>
      </c>
      <c r="AK240" s="5">
        <f t="shared" si="490"/>
        <v>0</v>
      </c>
      <c r="AL240" s="5" t="str">
        <f t="shared" si="441"/>
        <v>8</v>
      </c>
      <c r="AM240" s="5" t="str">
        <f t="shared" si="442"/>
        <v>4</v>
      </c>
      <c r="AN240" s="5" t="str">
        <f t="shared" si="443"/>
        <v>3</v>
      </c>
      <c r="AO240" s="5" t="str">
        <f t="shared" si="444"/>
        <v>4</v>
      </c>
    </row>
    <row r="241" spans="1:41" x14ac:dyDescent="0.25">
      <c r="A241" s="206">
        <v>44129</v>
      </c>
      <c r="B241" s="121">
        <v>300614</v>
      </c>
      <c r="C241" s="6">
        <f t="shared" si="509"/>
        <v>854</v>
      </c>
      <c r="D241" s="19">
        <f t="shared" si="510"/>
        <v>0.28000000000000003</v>
      </c>
      <c r="E241" s="35">
        <f t="shared" si="511"/>
        <v>28</v>
      </c>
      <c r="F241" s="25">
        <f>ROUND((B241/Stats!$B$8)*100000,0)</f>
        <v>2994</v>
      </c>
      <c r="G241" s="22">
        <f>ROUND((C241/Stats!$B$8)*100000,0)</f>
        <v>9</v>
      </c>
      <c r="H241" s="213">
        <v>7000</v>
      </c>
      <c r="I241" s="6">
        <f t="shared" si="512"/>
        <v>7</v>
      </c>
      <c r="J241" s="35">
        <f t="shared" si="513"/>
        <v>0.1</v>
      </c>
      <c r="K241" s="9">
        <f t="shared" si="514"/>
        <v>2.33</v>
      </c>
      <c r="L241" s="43">
        <f>ROUND(((H241/Stats!$B$8)*100000),0)</f>
        <v>70</v>
      </c>
      <c r="M241" s="96">
        <f>Stats!$B$8-N241</f>
        <v>4403117</v>
      </c>
      <c r="N241" s="97">
        <f>ROUND(Stats!$B$33/(1+(Stats!$B$34*EXP(-1*Stats!$B$32*(X241-$X$25)))),0)</f>
        <v>5635990</v>
      </c>
      <c r="O241" s="101">
        <f t="shared" si="410"/>
        <v>94.666172225287838</v>
      </c>
      <c r="P241" s="97">
        <f>ROUND(N241*(Stats!$I$14/100),0)</f>
        <v>136391</v>
      </c>
      <c r="Q241" s="101">
        <f t="shared" si="467"/>
        <v>94.867696548892525</v>
      </c>
      <c r="R241" s="109">
        <f xml:space="preserve"> ROUND(R240 - ((R240 / Stats!$B$27)*(Stats!$B$21*S240)),0)</f>
        <v>1324953</v>
      </c>
      <c r="S241" s="99">
        <f xml:space="preserve"> ROUND(S240 + (R240/Stats!$B$27)*(Stats!$B$21*S240)-(S240*Stats!$B$22),0)</f>
        <v>5</v>
      </c>
      <c r="T241" s="101">
        <f t="shared" si="411"/>
        <v>6012180</v>
      </c>
      <c r="U241" s="99">
        <f xml:space="preserve"> ROUND(U240 + (S240 * Stats!$B$22),0)</f>
        <v>8714702</v>
      </c>
      <c r="V241" s="99">
        <f>ROUND(S241*(Stats!$I$14/100),0)</f>
        <v>0</v>
      </c>
      <c r="W241" s="105" t="str">
        <f t="shared" si="468"/>
        <v/>
      </c>
      <c r="X241" s="118">
        <v>239</v>
      </c>
      <c r="AD241" s="105"/>
      <c r="AF241" s="140">
        <v>861</v>
      </c>
      <c r="AG241" s="138">
        <f t="shared" si="487"/>
        <v>7</v>
      </c>
      <c r="AH241" s="138">
        <f t="shared" si="488"/>
        <v>0.82</v>
      </c>
      <c r="AI241" s="140">
        <v>8</v>
      </c>
      <c r="AJ241" s="138">
        <f t="shared" si="489"/>
        <v>1</v>
      </c>
      <c r="AK241" s="5">
        <f t="shared" si="490"/>
        <v>13.33</v>
      </c>
      <c r="AL241" s="5" t="str">
        <f t="shared" si="441"/>
        <v>8</v>
      </c>
      <c r="AM241" s="5" t="str">
        <f t="shared" si="442"/>
        <v>8</v>
      </c>
      <c r="AN241" s="5" t="str">
        <f t="shared" si="443"/>
        <v>6</v>
      </c>
      <c r="AO241" s="5" t="str">
        <f t="shared" si="444"/>
        <v>8</v>
      </c>
    </row>
    <row r="242" spans="1:41" x14ac:dyDescent="0.25">
      <c r="A242" s="206">
        <v>44130</v>
      </c>
      <c r="B242" s="121">
        <v>302077</v>
      </c>
      <c r="C242" s="6">
        <f t="shared" ref="C242:C246" si="515">B242-B241</f>
        <v>1463</v>
      </c>
      <c r="D242" s="19">
        <f t="shared" ref="D242:D246" si="516">ROUND(((B242/B241)-1)*100,2)</f>
        <v>0.49</v>
      </c>
      <c r="E242" s="35">
        <f t="shared" ref="E242:E246" si="517">IFERROR(ROUND((C242/B242)*10000,0),"")</f>
        <v>48</v>
      </c>
      <c r="F242" s="25">
        <f>ROUND((B242/Stats!$B$8)*100000,0)</f>
        <v>3009</v>
      </c>
      <c r="G242" s="22">
        <f>ROUND((C242/Stats!$B$8)*100000,0)</f>
        <v>15</v>
      </c>
      <c r="H242" s="213">
        <v>7027</v>
      </c>
      <c r="I242" s="6">
        <f t="shared" ref="I242:I246" si="518">H242-H241</f>
        <v>27</v>
      </c>
      <c r="J242" s="35">
        <f t="shared" ref="J242:J246" si="519">IFERROR(ROUND(((H242/H241)-1)*100,2),"")</f>
        <v>0.39</v>
      </c>
      <c r="K242" s="9">
        <f t="shared" ref="K242:K246" si="520">IFERROR(ROUND(100*(H242/B242),2),"")</f>
        <v>2.33</v>
      </c>
      <c r="L242" s="43">
        <f>ROUND(((H242/Stats!$B$8)*100000),0)</f>
        <v>70</v>
      </c>
      <c r="M242" s="96">
        <f>Stats!$B$8-N242</f>
        <v>4403117</v>
      </c>
      <c r="N242" s="97">
        <f>ROUND(Stats!$B$33/(1+(Stats!$B$34*EXP(-1*Stats!$B$32*(X242-$X$25)))),0)</f>
        <v>5635990</v>
      </c>
      <c r="O242" s="101">
        <f t="shared" si="410"/>
        <v>94.64021405289931</v>
      </c>
      <c r="P242" s="97">
        <f>ROUND(N242*(Stats!$I$14/100),0)</f>
        <v>136391</v>
      </c>
      <c r="Q242" s="101">
        <f t="shared" si="467"/>
        <v>94.847900521295387</v>
      </c>
      <c r="R242" s="109">
        <f xml:space="preserve"> ROUND(R241 - ((R241 / Stats!$B$27)*(Stats!$B$21*S241)),0)</f>
        <v>1324953</v>
      </c>
      <c r="S242" s="99">
        <f xml:space="preserve"> ROUND(S241 + (R241/Stats!$B$27)*(Stats!$B$21*S241)-(S241*Stats!$B$22),0)</f>
        <v>5</v>
      </c>
      <c r="T242" s="101">
        <f t="shared" si="411"/>
        <v>6041440</v>
      </c>
      <c r="U242" s="99">
        <f xml:space="preserve"> ROUND(U241 + (S241 * Stats!$B$22),0)</f>
        <v>8714703</v>
      </c>
      <c r="V242" s="99">
        <f>ROUND(S242*(Stats!$I$14/100),0)</f>
        <v>0</v>
      </c>
      <c r="W242" s="105" t="str">
        <f t="shared" si="468"/>
        <v/>
      </c>
      <c r="X242" s="118">
        <v>240</v>
      </c>
      <c r="AD242" s="105"/>
      <c r="AF242" s="140">
        <v>1586</v>
      </c>
      <c r="AG242" s="138">
        <f t="shared" si="487"/>
        <v>123</v>
      </c>
      <c r="AH242" s="138">
        <f t="shared" si="488"/>
        <v>8.07</v>
      </c>
      <c r="AI242" s="140">
        <v>29</v>
      </c>
      <c r="AJ242" s="138">
        <f t="shared" si="489"/>
        <v>2</v>
      </c>
      <c r="AK242" s="5">
        <f t="shared" si="490"/>
        <v>7.14</v>
      </c>
      <c r="AL242" s="5" t="str">
        <f t="shared" si="441"/>
        <v>1</v>
      </c>
      <c r="AM242" s="5" t="str">
        <f t="shared" si="442"/>
        <v>2</v>
      </c>
      <c r="AN242" s="5" t="str">
        <f t="shared" si="443"/>
        <v>5</v>
      </c>
      <c r="AO242" s="5" t="str">
        <f t="shared" si="444"/>
        <v>9</v>
      </c>
    </row>
    <row r="243" spans="1:41" x14ac:dyDescent="0.25">
      <c r="A243" s="206">
        <v>44131</v>
      </c>
      <c r="B243" s="121">
        <v>303369</v>
      </c>
      <c r="C243" s="6">
        <f t="shared" si="515"/>
        <v>1292</v>
      </c>
      <c r="D243" s="19">
        <f t="shared" si="516"/>
        <v>0.43</v>
      </c>
      <c r="E243" s="35">
        <f t="shared" si="517"/>
        <v>43</v>
      </c>
      <c r="F243" s="25">
        <f>ROUND((B243/Stats!$B$8)*100000,0)</f>
        <v>3022</v>
      </c>
      <c r="G243" s="22">
        <f>ROUND((C243/Stats!$B$8)*100000,0)</f>
        <v>13</v>
      </c>
      <c r="H243" s="213">
        <v>7040</v>
      </c>
      <c r="I243" s="6">
        <f t="shared" si="518"/>
        <v>13</v>
      </c>
      <c r="J243" s="35">
        <f t="shared" si="519"/>
        <v>0.19</v>
      </c>
      <c r="K243" s="9">
        <f t="shared" si="520"/>
        <v>2.3199999999999998</v>
      </c>
      <c r="L243" s="43">
        <f>ROUND(((H243/Stats!$B$8)*100000),0)</f>
        <v>70</v>
      </c>
      <c r="M243" s="96">
        <f>Stats!$B$8-N243</f>
        <v>4403117</v>
      </c>
      <c r="N243" s="97">
        <f>ROUND(Stats!$B$33/(1+(Stats!$B$34*EXP(-1*Stats!$B$32*(X243-$X$25)))),0)</f>
        <v>5635990</v>
      </c>
      <c r="O243" s="101">
        <f t="shared" si="410"/>
        <v>94.617289952608147</v>
      </c>
      <c r="P243" s="97">
        <f>ROUND(N243*(Stats!$I$14/100),0)</f>
        <v>136391</v>
      </c>
      <c r="Q243" s="101">
        <f t="shared" si="467"/>
        <v>94.838369100600488</v>
      </c>
      <c r="R243" s="109">
        <f xml:space="preserve"> ROUND(R242 - ((R242 / Stats!$B$27)*(Stats!$B$21*S242)),0)</f>
        <v>1324953</v>
      </c>
      <c r="S243" s="99">
        <f xml:space="preserve"> ROUND(S242 + (R242/Stats!$B$27)*(Stats!$B$21*S242)-(S242*Stats!$B$22),0)</f>
        <v>5</v>
      </c>
      <c r="T243" s="101">
        <f t="shared" si="411"/>
        <v>6067280</v>
      </c>
      <c r="U243" s="99">
        <f xml:space="preserve"> ROUND(U242 + (S242 * Stats!$B$22),0)</f>
        <v>8714704</v>
      </c>
      <c r="V243" s="99">
        <f>ROUND(S243*(Stats!$I$14/100),0)</f>
        <v>0</v>
      </c>
      <c r="W243" s="105" t="str">
        <f t="shared" si="468"/>
        <v/>
      </c>
      <c r="X243" s="118">
        <v>241</v>
      </c>
      <c r="AD243" s="105"/>
      <c r="AE243" s="49" t="s">
        <v>351</v>
      </c>
      <c r="AF243" s="140">
        <v>1351</v>
      </c>
      <c r="AG243" s="138">
        <f t="shared" si="487"/>
        <v>59</v>
      </c>
      <c r="AH243" s="138">
        <f t="shared" si="488"/>
        <v>4.46</v>
      </c>
      <c r="AI243" s="163">
        <v>20</v>
      </c>
      <c r="AJ243" s="164">
        <f t="shared" si="489"/>
        <v>7</v>
      </c>
      <c r="AK243" s="209">
        <f t="shared" si="490"/>
        <v>42.42</v>
      </c>
      <c r="AL243" s="5" t="str">
        <f t="shared" si="441"/>
        <v>1</v>
      </c>
      <c r="AM243" s="5" t="str">
        <f t="shared" si="442"/>
        <v>2</v>
      </c>
      <c r="AN243" s="5" t="str">
        <f t="shared" si="443"/>
        <v>3</v>
      </c>
      <c r="AO243" s="5" t="str">
        <f t="shared" si="444"/>
        <v>0</v>
      </c>
    </row>
    <row r="244" spans="1:41" x14ac:dyDescent="0.25">
      <c r="A244" s="206">
        <v>44132</v>
      </c>
      <c r="B244" s="121">
        <v>305070</v>
      </c>
      <c r="C244" s="6">
        <f t="shared" si="515"/>
        <v>1701</v>
      </c>
      <c r="D244" s="19">
        <f t="shared" si="516"/>
        <v>0.56000000000000005</v>
      </c>
      <c r="E244" s="35">
        <f t="shared" si="517"/>
        <v>56</v>
      </c>
      <c r="F244" s="25">
        <f>ROUND((B244/Stats!$B$8)*100000,0)</f>
        <v>3039</v>
      </c>
      <c r="G244" s="22">
        <f>ROUND((C244/Stats!$B$8)*100000,0)</f>
        <v>17</v>
      </c>
      <c r="H244" s="213">
        <v>7044</v>
      </c>
      <c r="I244" s="6">
        <f t="shared" si="518"/>
        <v>4</v>
      </c>
      <c r="J244" s="35">
        <f t="shared" si="519"/>
        <v>0.06</v>
      </c>
      <c r="K244" s="9">
        <f t="shared" si="520"/>
        <v>2.31</v>
      </c>
      <c r="L244" s="43">
        <f>ROUND(((H244/Stats!$B$8)*100000),0)</f>
        <v>70</v>
      </c>
      <c r="M244" s="96">
        <f>Stats!$B$8-N244</f>
        <v>4403117</v>
      </c>
      <c r="N244" s="97">
        <f>ROUND(Stats!$B$33/(1+(Stats!$B$34*EXP(-1*Stats!$B$32*(X244-$X$25)))),0)</f>
        <v>5635990</v>
      </c>
      <c r="O244" s="101">
        <f t="shared" si="410"/>
        <v>94.587108919639675</v>
      </c>
      <c r="P244" s="97">
        <f>ROUND(N244*(Stats!$I$14/100),0)</f>
        <v>136391</v>
      </c>
      <c r="Q244" s="101">
        <f t="shared" si="467"/>
        <v>94.835436355771279</v>
      </c>
      <c r="R244" s="109">
        <f xml:space="preserve"> ROUND(R243 - ((R243 / Stats!$B$27)*(Stats!$B$21*S243)),0)</f>
        <v>1324953</v>
      </c>
      <c r="S244" s="99">
        <f xml:space="preserve"> ROUND(S243 + (R243/Stats!$B$27)*(Stats!$B$21*S243)-(S243*Stats!$B$22),0)</f>
        <v>5</v>
      </c>
      <c r="T244" s="101">
        <f t="shared" si="411"/>
        <v>6101300</v>
      </c>
      <c r="U244" s="99">
        <f xml:space="preserve"> ROUND(U243 + (S243 * Stats!$B$22),0)</f>
        <v>8714705</v>
      </c>
      <c r="V244" s="99">
        <f>ROUND(S244*(Stats!$I$14/100),0)</f>
        <v>0</v>
      </c>
      <c r="W244" s="105" t="str">
        <f t="shared" si="468"/>
        <v/>
      </c>
      <c r="X244" s="118">
        <v>242</v>
      </c>
      <c r="AD244" s="105"/>
      <c r="AF244" s="140">
        <v>1745</v>
      </c>
      <c r="AG244" s="138">
        <f t="shared" si="487"/>
        <v>44</v>
      </c>
      <c r="AH244" s="138">
        <f t="shared" si="488"/>
        <v>2.5499999999999998</v>
      </c>
      <c r="AI244" s="163">
        <v>19</v>
      </c>
      <c r="AJ244" s="164">
        <f t="shared" si="489"/>
        <v>15</v>
      </c>
      <c r="AK244" s="209">
        <f t="shared" si="490"/>
        <v>130.43</v>
      </c>
      <c r="AL244" s="5" t="str">
        <f t="shared" si="441"/>
        <v>1</v>
      </c>
      <c r="AM244" s="5" t="str">
        <f t="shared" si="442"/>
        <v>1</v>
      </c>
      <c r="AN244" s="5" t="str">
        <f t="shared" si="443"/>
        <v>7</v>
      </c>
      <c r="AO244" s="5" t="str">
        <f t="shared" si="444"/>
        <v>9</v>
      </c>
    </row>
    <row r="245" spans="1:41" ht="45" x14ac:dyDescent="0.25">
      <c r="A245" s="206">
        <v>44133</v>
      </c>
      <c r="B245" s="121">
        <v>306327</v>
      </c>
      <c r="C245" s="6">
        <f t="shared" si="515"/>
        <v>1257</v>
      </c>
      <c r="D245" s="19">
        <f t="shared" si="516"/>
        <v>0.41</v>
      </c>
      <c r="E245" s="35">
        <f t="shared" si="517"/>
        <v>41</v>
      </c>
      <c r="F245" s="25">
        <f>ROUND((B245/Stats!$B$8)*100000,0)</f>
        <v>3051</v>
      </c>
      <c r="G245" s="22">
        <f>ROUND((C245/Stats!$B$8)*100000,0)</f>
        <v>13</v>
      </c>
      <c r="H245" s="213">
        <v>7056</v>
      </c>
      <c r="I245" s="6">
        <f t="shared" si="518"/>
        <v>12</v>
      </c>
      <c r="J245" s="35">
        <f t="shared" si="519"/>
        <v>0.17</v>
      </c>
      <c r="K245" s="9">
        <f t="shared" si="520"/>
        <v>2.2999999999999998</v>
      </c>
      <c r="L245" s="43">
        <f>ROUND(((H245/Stats!$B$8)*100000),0)</f>
        <v>70</v>
      </c>
      <c r="M245" s="96">
        <f>Stats!$B$8-N245</f>
        <v>4403117</v>
      </c>
      <c r="N245" s="97">
        <f>ROUND(Stats!$B$33/(1+(Stats!$B$34*EXP(-1*Stats!$B$32*(X245-$X$25)))),0)</f>
        <v>5635990</v>
      </c>
      <c r="O245" s="101">
        <f t="shared" si="410"/>
        <v>94.56480582825732</v>
      </c>
      <c r="P245" s="97">
        <f>ROUND(N245*(Stats!$I$14/100),0)</f>
        <v>136391</v>
      </c>
      <c r="Q245" s="101">
        <f t="shared" si="467"/>
        <v>94.826638121283651</v>
      </c>
      <c r="R245" s="109">
        <f xml:space="preserve"> ROUND(R244 - ((R244 / Stats!$B$27)*(Stats!$B$21*S244)),0)</f>
        <v>1324953</v>
      </c>
      <c r="S245" s="99">
        <f xml:space="preserve"> ROUND(S244 + (R244/Stats!$B$27)*(Stats!$B$21*S244)-(S244*Stats!$B$22),0)</f>
        <v>5</v>
      </c>
      <c r="T245" s="101">
        <f t="shared" si="411"/>
        <v>6126440</v>
      </c>
      <c r="U245" s="99">
        <f xml:space="preserve"> ROUND(U244 + (S244 * Stats!$B$22),0)</f>
        <v>8714706</v>
      </c>
      <c r="V245" s="99">
        <f>ROUND(S245*(Stats!$I$14/100),0)</f>
        <v>0</v>
      </c>
      <c r="W245" s="105" t="str">
        <f t="shared" si="468"/>
        <v/>
      </c>
      <c r="X245" s="118">
        <v>243</v>
      </c>
      <c r="AD245" s="105"/>
      <c r="AE245" s="51" t="s">
        <v>352</v>
      </c>
      <c r="AF245" s="140">
        <v>1296</v>
      </c>
      <c r="AG245" s="138">
        <f t="shared" si="487"/>
        <v>39</v>
      </c>
      <c r="AH245" s="138">
        <f t="shared" si="488"/>
        <v>3.06</v>
      </c>
      <c r="AI245" s="163">
        <v>26</v>
      </c>
      <c r="AJ245" s="164">
        <f t="shared" si="489"/>
        <v>14</v>
      </c>
      <c r="AK245" s="209">
        <f t="shared" si="490"/>
        <v>73.680000000000007</v>
      </c>
      <c r="AL245" s="5" t="str">
        <f t="shared" si="441"/>
        <v>1</v>
      </c>
      <c r="AM245" s="5" t="str">
        <f t="shared" si="442"/>
        <v>2</v>
      </c>
      <c r="AN245" s="5" t="str">
        <f t="shared" si="443"/>
        <v>2</v>
      </c>
      <c r="AO245" s="5" t="str">
        <f t="shared" si="444"/>
        <v>6</v>
      </c>
    </row>
    <row r="246" spans="1:41" x14ac:dyDescent="0.25">
      <c r="A246" s="206">
        <v>44134</v>
      </c>
      <c r="B246" s="121">
        <v>307618</v>
      </c>
      <c r="C246" s="6">
        <f t="shared" si="515"/>
        <v>1291</v>
      </c>
      <c r="D246" s="19">
        <f t="shared" si="516"/>
        <v>0.42</v>
      </c>
      <c r="E246" s="35">
        <f t="shared" si="517"/>
        <v>42</v>
      </c>
      <c r="F246" s="25">
        <f>ROUND((B246/Stats!$B$8)*100000,0)</f>
        <v>3064</v>
      </c>
      <c r="G246" s="22">
        <f>ROUND((C246/Stats!$B$8)*100000,0)</f>
        <v>13</v>
      </c>
      <c r="H246" s="213">
        <v>7071</v>
      </c>
      <c r="I246" s="6">
        <f t="shared" si="518"/>
        <v>15</v>
      </c>
      <c r="J246" s="35">
        <f t="shared" si="519"/>
        <v>0.21</v>
      </c>
      <c r="K246" s="9">
        <f t="shared" si="520"/>
        <v>2.2999999999999998</v>
      </c>
      <c r="L246" s="43">
        <f>ROUND(((H246/Stats!$B$8)*100000),0)</f>
        <v>70</v>
      </c>
      <c r="M246" s="96">
        <f>Stats!$B$8-N246</f>
        <v>4403117</v>
      </c>
      <c r="N246" s="97">
        <f>ROUND(Stats!$B$33/(1+(Stats!$B$34*EXP(-1*Stats!$B$32*(X246-$X$25)))),0)</f>
        <v>5635990</v>
      </c>
      <c r="O246" s="101">
        <f t="shared" si="410"/>
        <v>94.541899471077841</v>
      </c>
      <c r="P246" s="97">
        <f>ROUND(N246*(Stats!$I$14/100),0)</f>
        <v>136391</v>
      </c>
      <c r="Q246" s="101">
        <f t="shared" si="467"/>
        <v>94.81564032817414</v>
      </c>
      <c r="R246" s="109">
        <f xml:space="preserve"> ROUND(R245 - ((R245 / Stats!$B$27)*(Stats!$B$21*S245)),0)</f>
        <v>1324953</v>
      </c>
      <c r="S246" s="99">
        <f xml:space="preserve"> ROUND(S245 + (R245/Stats!$B$27)*(Stats!$B$21*S245)-(S245*Stats!$B$22),0)</f>
        <v>5</v>
      </c>
      <c r="T246" s="101">
        <f t="shared" si="411"/>
        <v>6152260</v>
      </c>
      <c r="U246" s="99">
        <f xml:space="preserve"> ROUND(U245 + (S245 * Stats!$B$22),0)</f>
        <v>8714707</v>
      </c>
      <c r="V246" s="99">
        <f>ROUND(S246*(Stats!$I$14/100),0)</f>
        <v>0</v>
      </c>
      <c r="W246" s="105" t="str">
        <f t="shared" si="468"/>
        <v/>
      </c>
      <c r="X246" s="118">
        <v>244</v>
      </c>
      <c r="AD246" s="105"/>
      <c r="AF246" s="140">
        <v>1326</v>
      </c>
      <c r="AG246" s="138">
        <f t="shared" si="487"/>
        <v>35</v>
      </c>
      <c r="AH246" s="138">
        <f t="shared" si="488"/>
        <v>2.67</v>
      </c>
      <c r="AI246" s="140">
        <v>15</v>
      </c>
      <c r="AJ246" s="138">
        <f t="shared" si="489"/>
        <v>0</v>
      </c>
      <c r="AK246" s="5">
        <f t="shared" si="490"/>
        <v>0</v>
      </c>
      <c r="AL246" s="5" t="str">
        <f t="shared" si="441"/>
        <v>1</v>
      </c>
      <c r="AM246" s="5" t="str">
        <f t="shared" si="442"/>
        <v>1</v>
      </c>
      <c r="AN246" s="5" t="str">
        <f t="shared" si="443"/>
        <v>3</v>
      </c>
      <c r="AO246" s="5" t="str">
        <f t="shared" si="444"/>
        <v>5</v>
      </c>
    </row>
    <row r="247" spans="1:41" x14ac:dyDescent="0.25">
      <c r="A247" s="206">
        <v>44135</v>
      </c>
      <c r="B247" s="121">
        <v>309190</v>
      </c>
      <c r="C247" s="6">
        <f t="shared" ref="C247:C248" si="521">B247-B246</f>
        <v>1572</v>
      </c>
      <c r="D247" s="19">
        <f t="shared" ref="D247:D248" si="522">ROUND(((B247/B246)-1)*100,2)</f>
        <v>0.51</v>
      </c>
      <c r="E247" s="35">
        <f t="shared" ref="E247:E248" si="523">IFERROR(ROUND((C247/B247)*10000,0),"")</f>
        <v>51</v>
      </c>
      <c r="F247" s="25">
        <f>ROUND((B247/Stats!$B$8)*100000,0)</f>
        <v>3080</v>
      </c>
      <c r="G247" s="22">
        <f>ROUND((C247/Stats!$B$8)*100000,0)</f>
        <v>16</v>
      </c>
      <c r="H247" s="213">
        <v>7074</v>
      </c>
      <c r="I247" s="6">
        <f t="shared" ref="I247:I248" si="524">H247-H246</f>
        <v>3</v>
      </c>
      <c r="J247" s="35">
        <f t="shared" ref="J247:J248" si="525">IFERROR(ROUND(((H247/H246)-1)*100,2),"")</f>
        <v>0.04</v>
      </c>
      <c r="K247" s="9">
        <f t="shared" ref="K247:K248" si="526">IFERROR(ROUND(100*(H247/B247),2),"")</f>
        <v>2.29</v>
      </c>
      <c r="L247" s="43">
        <f>ROUND(((H247/Stats!$B$8)*100000),0)</f>
        <v>70</v>
      </c>
      <c r="M247" s="96">
        <f>Stats!$B$8-N247</f>
        <v>4403117</v>
      </c>
      <c r="N247" s="97">
        <f>ROUND(Stats!$B$33/(1+(Stats!$B$34*EXP(-1*Stats!$B$32*(X247-$X$25)))),0)</f>
        <v>5635990</v>
      </c>
      <c r="O247" s="101">
        <f t="shared" si="410"/>
        <v>94.514007299516152</v>
      </c>
      <c r="P247" s="97">
        <f>ROUND(N247*(Stats!$I$14/100),0)</f>
        <v>136391</v>
      </c>
      <c r="Q247" s="101">
        <f t="shared" si="467"/>
        <v>94.813440769552244</v>
      </c>
      <c r="R247" s="109">
        <f xml:space="preserve"> ROUND(R246 - ((R246 / Stats!$B$27)*(Stats!$B$21*S246)),0)</f>
        <v>1324953</v>
      </c>
      <c r="S247" s="99">
        <f xml:space="preserve"> ROUND(S246 + (R246/Stats!$B$27)*(Stats!$B$21*S246)-(S246*Stats!$B$22),0)</f>
        <v>5</v>
      </c>
      <c r="T247" s="101">
        <f t="shared" si="411"/>
        <v>6183700</v>
      </c>
      <c r="U247" s="99">
        <f xml:space="preserve"> ROUND(U246 + (S246 * Stats!$B$22),0)</f>
        <v>8714708</v>
      </c>
      <c r="V247" s="99">
        <f>ROUND(S247*(Stats!$I$14/100),0)</f>
        <v>0</v>
      </c>
      <c r="W247" s="105" t="str">
        <f t="shared" si="468"/>
        <v/>
      </c>
      <c r="X247" s="118">
        <v>245</v>
      </c>
      <c r="AD247" s="105"/>
      <c r="AE247" s="49" t="s">
        <v>353</v>
      </c>
      <c r="AF247" s="140">
        <v>1590</v>
      </c>
      <c r="AG247" s="138">
        <f t="shared" si="487"/>
        <v>18</v>
      </c>
      <c r="AH247" s="138">
        <f t="shared" si="488"/>
        <v>1.1399999999999999</v>
      </c>
      <c r="AI247" s="140">
        <v>4</v>
      </c>
      <c r="AJ247" s="138">
        <f t="shared" si="489"/>
        <v>1</v>
      </c>
      <c r="AK247" s="5">
        <f t="shared" si="490"/>
        <v>28.57</v>
      </c>
      <c r="AL247" s="5" t="str">
        <f t="shared" si="441"/>
        <v>1</v>
      </c>
      <c r="AM247" s="5" t="str">
        <f t="shared" si="442"/>
        <v>4</v>
      </c>
      <c r="AN247" s="5" t="str">
        <f t="shared" si="443"/>
        <v>5</v>
      </c>
      <c r="AO247" s="5" t="str">
        <f t="shared" si="444"/>
        <v>4</v>
      </c>
    </row>
    <row r="248" spans="1:41" x14ac:dyDescent="0.25">
      <c r="A248" s="206">
        <v>44136</v>
      </c>
      <c r="B248" s="121">
        <v>310595</v>
      </c>
      <c r="C248" s="6">
        <f t="shared" si="521"/>
        <v>1405</v>
      </c>
      <c r="D248" s="19">
        <f t="shared" si="522"/>
        <v>0.45</v>
      </c>
      <c r="E248" s="35">
        <f t="shared" si="523"/>
        <v>45</v>
      </c>
      <c r="F248" s="25">
        <f>ROUND((B248/Stats!$B$8)*100000,0)</f>
        <v>3094</v>
      </c>
      <c r="G248" s="22">
        <f>ROUND((C248/Stats!$B$8)*100000,0)</f>
        <v>14</v>
      </c>
      <c r="H248" s="213">
        <v>7076</v>
      </c>
      <c r="I248" s="6">
        <f t="shared" si="524"/>
        <v>2</v>
      </c>
      <c r="J248" s="35">
        <f t="shared" si="525"/>
        <v>0.03</v>
      </c>
      <c r="K248" s="9">
        <f t="shared" si="526"/>
        <v>2.2799999999999998</v>
      </c>
      <c r="L248" s="43">
        <f>ROUND(((H248/Stats!$B$8)*100000),0)</f>
        <v>70</v>
      </c>
      <c r="M248" s="96">
        <f>Stats!$B$8-N248</f>
        <v>4403117</v>
      </c>
      <c r="N248" s="97">
        <f>ROUND(Stats!$B$33/(1+(Stats!$B$34*EXP(-1*Stats!$B$32*(X248-$X$25)))),0)</f>
        <v>5635990</v>
      </c>
      <c r="O248" s="101">
        <f t="shared" si="410"/>
        <v>94.489078227605077</v>
      </c>
      <c r="P248" s="97">
        <f>ROUND(N248*(Stats!$I$14/100),0)</f>
        <v>136391</v>
      </c>
      <c r="Q248" s="101">
        <f t="shared" si="467"/>
        <v>94.811974397137647</v>
      </c>
      <c r="R248" s="109">
        <f xml:space="preserve"> ROUND(R247 - ((R247 / Stats!$B$27)*(Stats!$B$21*S247)),0)</f>
        <v>1324953</v>
      </c>
      <c r="S248" s="99">
        <f xml:space="preserve"> ROUND(S247 + (R247/Stats!$B$27)*(Stats!$B$21*S247)-(S247*Stats!$B$22),0)</f>
        <v>5</v>
      </c>
      <c r="T248" s="101">
        <f t="shared" si="411"/>
        <v>6211800</v>
      </c>
      <c r="U248" s="99">
        <f xml:space="preserve"> ROUND(U247 + (S247 * Stats!$B$22),0)</f>
        <v>8714709</v>
      </c>
      <c r="V248" s="99">
        <f>ROUND(S248*(Stats!$I$14/100),0)</f>
        <v>0</v>
      </c>
      <c r="W248" s="105" t="str">
        <f t="shared" si="468"/>
        <v/>
      </c>
      <c r="X248" s="118">
        <v>246</v>
      </c>
      <c r="AD248" s="105"/>
      <c r="AF248" s="140">
        <v>1406</v>
      </c>
      <c r="AG248" s="138">
        <f t="shared" si="487"/>
        <v>1</v>
      </c>
      <c r="AH248" s="138">
        <f t="shared" si="488"/>
        <v>7.0000000000000007E-2</v>
      </c>
      <c r="AI248" s="140">
        <v>2</v>
      </c>
      <c r="AJ248" s="138">
        <f t="shared" si="489"/>
        <v>0</v>
      </c>
      <c r="AK248" s="5">
        <f t="shared" si="490"/>
        <v>0</v>
      </c>
      <c r="AL248" s="5" t="str">
        <f t="shared" si="441"/>
        <v>1</v>
      </c>
      <c r="AM248" s="5" t="str">
        <f t="shared" si="442"/>
        <v>2</v>
      </c>
      <c r="AN248" s="5" t="str">
        <f t="shared" si="443"/>
        <v>4</v>
      </c>
      <c r="AO248" s="5" t="str">
        <f t="shared" si="444"/>
        <v>2</v>
      </c>
    </row>
    <row r="249" spans="1:41" x14ac:dyDescent="0.25">
      <c r="A249" s="206">
        <v>44137</v>
      </c>
      <c r="B249" s="121">
        <v>311745</v>
      </c>
      <c r="C249" s="6">
        <f t="shared" ref="C249:C251" si="527">B249-B248</f>
        <v>1150</v>
      </c>
      <c r="D249" s="19">
        <f t="shared" ref="D249:D251" si="528">ROUND(((B249/B248)-1)*100,2)</f>
        <v>0.37</v>
      </c>
      <c r="E249" s="35">
        <f t="shared" ref="E249:E251" si="529">IFERROR(ROUND((C249/B249)*10000,0),"")</f>
        <v>37</v>
      </c>
      <c r="F249" s="25">
        <f>ROUND((B249/Stats!$B$8)*100000,0)</f>
        <v>3105</v>
      </c>
      <c r="G249" s="22">
        <f>ROUND((C249/Stats!$B$8)*100000,0)</f>
        <v>11</v>
      </c>
      <c r="H249" s="213">
        <v>7097</v>
      </c>
      <c r="I249" s="6">
        <f t="shared" ref="I249:I251" si="530">H249-H248</f>
        <v>21</v>
      </c>
      <c r="J249" s="35">
        <f t="shared" ref="J249:J251" si="531">IFERROR(ROUND(((H249/H248)-1)*100,2),"")</f>
        <v>0.3</v>
      </c>
      <c r="K249" s="9">
        <f t="shared" ref="K249:K251" si="532">IFERROR(ROUND(100*(H249/B249),2),"")</f>
        <v>2.2799999999999998</v>
      </c>
      <c r="L249" s="43">
        <f>ROUND(((H249/Stats!$B$8)*100000),0)</f>
        <v>71</v>
      </c>
      <c r="M249" s="96">
        <f>Stats!$B$8-N249</f>
        <v>4403117</v>
      </c>
      <c r="N249" s="97">
        <f>ROUND(Stats!$B$33/(1+(Stats!$B$34*EXP(-1*Stats!$B$32*(X249-$X$25)))),0)</f>
        <v>5635990</v>
      </c>
      <c r="O249" s="101">
        <f t="shared" si="410"/>
        <v>94.468673649172558</v>
      </c>
      <c r="P249" s="97">
        <f>ROUND(N249*(Stats!$I$14/100),0)</f>
        <v>136391</v>
      </c>
      <c r="Q249" s="101">
        <f t="shared" si="467"/>
        <v>94.796577486784315</v>
      </c>
      <c r="R249" s="109">
        <f xml:space="preserve"> ROUND(R248 - ((R248 / Stats!$B$27)*(Stats!$B$21*S248)),0)</f>
        <v>1324953</v>
      </c>
      <c r="S249" s="99">
        <f xml:space="preserve"> ROUND(S248 + (R248/Stats!$B$27)*(Stats!$B$21*S248)-(S248*Stats!$B$22),0)</f>
        <v>5</v>
      </c>
      <c r="T249" s="101">
        <f t="shared" si="411"/>
        <v>6234800</v>
      </c>
      <c r="U249" s="99">
        <f xml:space="preserve"> ROUND(U248 + (S248 * Stats!$B$22),0)</f>
        <v>8714710</v>
      </c>
      <c r="V249" s="99">
        <f>ROUND(S249*(Stats!$I$14/100),0)</f>
        <v>0</v>
      </c>
      <c r="W249" s="105" t="str">
        <f t="shared" si="468"/>
        <v/>
      </c>
      <c r="X249" s="118">
        <v>247</v>
      </c>
      <c r="AD249" s="105"/>
      <c r="AF249" s="140">
        <v>1224</v>
      </c>
      <c r="AG249" s="138">
        <f t="shared" si="487"/>
        <v>74</v>
      </c>
      <c r="AH249" s="138">
        <f t="shared" si="488"/>
        <v>6.23</v>
      </c>
      <c r="AI249" s="140">
        <v>23</v>
      </c>
      <c r="AJ249" s="138">
        <f t="shared" si="489"/>
        <v>2</v>
      </c>
      <c r="AK249" s="5">
        <f t="shared" si="490"/>
        <v>9.09</v>
      </c>
      <c r="AL249" s="5" t="str">
        <f t="shared" si="441"/>
        <v>1</v>
      </c>
      <c r="AM249" s="5" t="str">
        <f t="shared" si="442"/>
        <v>2</v>
      </c>
      <c r="AN249" s="5" t="str">
        <f t="shared" si="443"/>
        <v>2</v>
      </c>
      <c r="AO249" s="5" t="str">
        <f t="shared" si="444"/>
        <v>3</v>
      </c>
    </row>
    <row r="250" spans="1:41" x14ac:dyDescent="0.25">
      <c r="A250" s="206">
        <v>44138</v>
      </c>
      <c r="B250" s="121">
        <v>313526</v>
      </c>
      <c r="C250" s="6">
        <f t="shared" si="527"/>
        <v>1781</v>
      </c>
      <c r="D250" s="19">
        <f t="shared" si="528"/>
        <v>0.56999999999999995</v>
      </c>
      <c r="E250" s="35">
        <f t="shared" si="529"/>
        <v>57</v>
      </c>
      <c r="F250" s="25">
        <f>ROUND((B250/Stats!$B$8)*100000,0)</f>
        <v>3123</v>
      </c>
      <c r="G250" s="22">
        <f>ROUND((C250/Stats!$B$8)*100000,0)</f>
        <v>18</v>
      </c>
      <c r="H250" s="213">
        <v>7117</v>
      </c>
      <c r="I250" s="6">
        <f t="shared" si="530"/>
        <v>20</v>
      </c>
      <c r="J250" s="35">
        <f t="shared" si="531"/>
        <v>0.28000000000000003</v>
      </c>
      <c r="K250" s="9">
        <f t="shared" si="532"/>
        <v>2.27</v>
      </c>
      <c r="L250" s="43">
        <f>ROUND(((H250/Stats!$B$8)*100000),0)</f>
        <v>71</v>
      </c>
      <c r="M250" s="96">
        <f>Stats!$B$8-N250</f>
        <v>4403117</v>
      </c>
      <c r="N250" s="97">
        <f>ROUND(Stats!$B$33/(1+(Stats!$B$34*EXP(-1*Stats!$B$32*(X250-$X$25)))),0)</f>
        <v>5635990</v>
      </c>
      <c r="O250" s="101">
        <f t="shared" si="410"/>
        <v>94.437073167269631</v>
      </c>
      <c r="P250" s="97">
        <f>ROUND(N250*(Stats!$I$14/100),0)</f>
        <v>136391</v>
      </c>
      <c r="Q250" s="101">
        <f t="shared" si="467"/>
        <v>94.781913762638297</v>
      </c>
      <c r="R250" s="109">
        <f xml:space="preserve"> ROUND(R249 - ((R249 / Stats!$B$27)*(Stats!$B$21*S249)),0)</f>
        <v>1324953</v>
      </c>
      <c r="S250" s="99">
        <f xml:space="preserve"> ROUND(S249 + (R249/Stats!$B$27)*(Stats!$B$21*S249)-(S249*Stats!$B$22),0)</f>
        <v>5</v>
      </c>
      <c r="T250" s="101">
        <f t="shared" si="411"/>
        <v>6270420</v>
      </c>
      <c r="U250" s="99">
        <f xml:space="preserve"> ROUND(U249 + (S249 * Stats!$B$22),0)</f>
        <v>8714711</v>
      </c>
      <c r="V250" s="99">
        <f>ROUND(S250*(Stats!$I$14/100),0)</f>
        <v>0</v>
      </c>
      <c r="W250" s="105" t="str">
        <f t="shared" si="468"/>
        <v/>
      </c>
      <c r="X250" s="118">
        <v>248</v>
      </c>
      <c r="AD250" s="105"/>
      <c r="AF250" s="140">
        <v>1843</v>
      </c>
      <c r="AG250" s="138">
        <f t="shared" si="487"/>
        <v>62</v>
      </c>
      <c r="AH250" s="138">
        <f t="shared" si="488"/>
        <v>3.42</v>
      </c>
      <c r="AI250" s="140">
        <v>22</v>
      </c>
      <c r="AJ250" s="138">
        <f t="shared" si="489"/>
        <v>2</v>
      </c>
      <c r="AK250" s="5">
        <f t="shared" si="490"/>
        <v>9.52</v>
      </c>
      <c r="AL250" s="5" t="str">
        <f t="shared" si="441"/>
        <v>1</v>
      </c>
      <c r="AM250" s="5" t="str">
        <f t="shared" si="442"/>
        <v>2</v>
      </c>
      <c r="AN250" s="5" t="str">
        <f t="shared" si="443"/>
        <v>8</v>
      </c>
      <c r="AO250" s="5" t="str">
        <f t="shared" si="444"/>
        <v>2</v>
      </c>
    </row>
    <row r="251" spans="1:41" ht="30" x14ac:dyDescent="0.25">
      <c r="A251" s="206">
        <v>44139</v>
      </c>
      <c r="B251" s="121">
        <v>315564</v>
      </c>
      <c r="C251" s="6">
        <f t="shared" si="527"/>
        <v>2038</v>
      </c>
      <c r="D251" s="19">
        <f t="shared" si="528"/>
        <v>0.65</v>
      </c>
      <c r="E251" s="35">
        <f t="shared" si="529"/>
        <v>65</v>
      </c>
      <c r="F251" s="25">
        <f>ROUND((B251/Stats!$B$8)*100000,0)</f>
        <v>3143</v>
      </c>
      <c r="G251" s="22">
        <f>ROUND((C251/Stats!$B$8)*100000,0)</f>
        <v>20</v>
      </c>
      <c r="H251" s="213">
        <v>7140</v>
      </c>
      <c r="I251" s="6">
        <f t="shared" si="530"/>
        <v>23</v>
      </c>
      <c r="J251" s="35">
        <f t="shared" si="531"/>
        <v>0.32</v>
      </c>
      <c r="K251" s="9">
        <f t="shared" si="532"/>
        <v>2.2599999999999998</v>
      </c>
      <c r="L251" s="43">
        <f>ROUND(((H251/Stats!$B$8)*100000),0)</f>
        <v>71</v>
      </c>
      <c r="M251" s="96">
        <f>Stats!$B$8-N251</f>
        <v>4403117</v>
      </c>
      <c r="N251" s="97">
        <f>ROUND(Stats!$B$33/(1+(Stats!$B$34*EXP(-1*Stats!$B$32*(X251-$X$25)))),0)</f>
        <v>5635990</v>
      </c>
      <c r="O251" s="101">
        <f t="shared" ref="O251:O308" si="533">IFERROR(ABS((($B251/N251)-1)*100),"")</f>
        <v>94.400912705664837</v>
      </c>
      <c r="P251" s="97">
        <f>ROUND(N251*(Stats!$I$14/100),0)</f>
        <v>136391</v>
      </c>
      <c r="Q251" s="101">
        <f t="shared" si="467"/>
        <v>94.765050479870368</v>
      </c>
      <c r="R251" s="109">
        <f xml:space="preserve"> ROUND(R250 - ((R250 / Stats!$B$27)*(Stats!$B$21*S250)),0)</f>
        <v>1324953</v>
      </c>
      <c r="S251" s="99">
        <f xml:space="preserve"> ROUND(S250 + (R250/Stats!$B$27)*(Stats!$B$21*S250)-(S250*Stats!$B$22),0)</f>
        <v>5</v>
      </c>
      <c r="T251" s="101">
        <f t="shared" ref="T251:T308" si="534">IFERROR(ABS((($B251/S251)-1)*100),"")</f>
        <v>6311180</v>
      </c>
      <c r="U251" s="99">
        <f xml:space="preserve"> ROUND(U250 + (S250 * Stats!$B$22),0)</f>
        <v>8714712</v>
      </c>
      <c r="V251" s="99">
        <f>ROUND(S251*(Stats!$I$14/100),0)</f>
        <v>0</v>
      </c>
      <c r="W251" s="105" t="str">
        <f t="shared" si="468"/>
        <v/>
      </c>
      <c r="X251" s="118">
        <v>249</v>
      </c>
      <c r="AD251" s="105"/>
      <c r="AE251" s="51" t="s">
        <v>354</v>
      </c>
      <c r="AF251" s="140">
        <v>2065</v>
      </c>
      <c r="AG251" s="138">
        <f t="shared" si="487"/>
        <v>27</v>
      </c>
      <c r="AH251" s="138">
        <f t="shared" si="488"/>
        <v>1.32</v>
      </c>
      <c r="AI251" s="140">
        <v>25</v>
      </c>
      <c r="AJ251" s="138">
        <f t="shared" si="489"/>
        <v>2</v>
      </c>
      <c r="AK251" s="5">
        <f t="shared" si="490"/>
        <v>8.33</v>
      </c>
      <c r="AL251" s="5" t="str">
        <f t="shared" si="441"/>
        <v>2</v>
      </c>
      <c r="AM251" s="5" t="str">
        <f t="shared" si="442"/>
        <v>2</v>
      </c>
      <c r="AN251" s="5" t="str">
        <f t="shared" si="443"/>
        <v>0</v>
      </c>
      <c r="AO251" s="5" t="str">
        <f t="shared" si="444"/>
        <v>5</v>
      </c>
    </row>
    <row r="252" spans="1:41" x14ac:dyDescent="0.25">
      <c r="A252" s="206">
        <v>44140</v>
      </c>
      <c r="B252" s="121">
        <v>317656</v>
      </c>
      <c r="C252" s="6">
        <f t="shared" ref="C252:C258" si="535">B252-B251</f>
        <v>2092</v>
      </c>
      <c r="D252" s="19">
        <f t="shared" ref="D252:D258" si="536">ROUND(((B252/B251)-1)*100,2)</f>
        <v>0.66</v>
      </c>
      <c r="E252" s="35">
        <f t="shared" ref="E252:E258" si="537">IFERROR(ROUND((C252/B252)*10000,0),"")</f>
        <v>66</v>
      </c>
      <c r="F252" s="25">
        <f>ROUND((B252/Stats!$B$8)*100000,0)</f>
        <v>3164</v>
      </c>
      <c r="G252" s="22">
        <f>ROUND((C252/Stats!$B$8)*100000,0)</f>
        <v>21</v>
      </c>
      <c r="H252" s="213">
        <v>7157</v>
      </c>
      <c r="I252" s="6">
        <f t="shared" ref="I252:I258" si="538">H252-H251</f>
        <v>17</v>
      </c>
      <c r="J252" s="35">
        <f t="shared" ref="J252:J258" si="539">IFERROR(ROUND(((H252/H251)-1)*100,2),"")</f>
        <v>0.24</v>
      </c>
      <c r="K252" s="9">
        <f t="shared" ref="K252:K258" si="540">IFERROR(ROUND(100*(H252/B252),2),"")</f>
        <v>2.25</v>
      </c>
      <c r="L252" s="43">
        <f>ROUND(((H252/Stats!$B$8)*100000),0)</f>
        <v>71</v>
      </c>
      <c r="M252" s="96">
        <f>Stats!$B$8-N252</f>
        <v>4403117</v>
      </c>
      <c r="N252" s="97">
        <f>ROUND(Stats!$B$33/(1+(Stats!$B$34*EXP(-1*Stats!$B$32*(X252-$X$25)))),0)</f>
        <v>5635990</v>
      </c>
      <c r="O252" s="101">
        <f t="shared" si="533"/>
        <v>94.363794116029311</v>
      </c>
      <c r="P252" s="97">
        <f>ROUND(N252*(Stats!$I$14/100),0)</f>
        <v>136391</v>
      </c>
      <c r="Q252" s="101">
        <f t="shared" si="467"/>
        <v>94.75258631434626</v>
      </c>
      <c r="R252" s="109">
        <f xml:space="preserve"> ROUND(R251 - ((R251 / Stats!$B$27)*(Stats!$B$21*S251)),0)</f>
        <v>1324953</v>
      </c>
      <c r="S252" s="99">
        <f xml:space="preserve"> ROUND(S251 + (R251/Stats!$B$27)*(Stats!$B$21*S251)-(S251*Stats!$B$22),0)</f>
        <v>5</v>
      </c>
      <c r="T252" s="101">
        <f t="shared" si="534"/>
        <v>6353020</v>
      </c>
      <c r="U252" s="99">
        <f xml:space="preserve"> ROUND(U251 + (S251 * Stats!$B$22),0)</f>
        <v>8714713</v>
      </c>
      <c r="V252" s="99">
        <f>ROUND(S252*(Stats!$I$14/100),0)</f>
        <v>0</v>
      </c>
      <c r="W252" s="105" t="str">
        <f t="shared" si="468"/>
        <v/>
      </c>
      <c r="X252" s="118">
        <v>250</v>
      </c>
      <c r="AD252" s="105"/>
      <c r="AE252" s="49" t="s">
        <v>355</v>
      </c>
      <c r="AF252" s="140">
        <v>2108</v>
      </c>
      <c r="AG252" s="138">
        <f t="shared" si="487"/>
        <v>16</v>
      </c>
      <c r="AH252" s="138">
        <f t="shared" si="488"/>
        <v>0.76</v>
      </c>
      <c r="AI252" s="140">
        <v>23</v>
      </c>
      <c r="AJ252" s="138">
        <f t="shared" si="489"/>
        <v>6</v>
      </c>
      <c r="AK252" s="5">
        <f t="shared" si="490"/>
        <v>30</v>
      </c>
      <c r="AL252" s="5" t="str">
        <f t="shared" si="441"/>
        <v>2</v>
      </c>
      <c r="AM252" s="5" t="str">
        <f t="shared" si="442"/>
        <v>2</v>
      </c>
      <c r="AN252" s="5" t="str">
        <f t="shared" si="443"/>
        <v>1</v>
      </c>
      <c r="AO252" s="5" t="str">
        <f t="shared" si="444"/>
        <v>3</v>
      </c>
    </row>
    <row r="253" spans="1:41" x14ac:dyDescent="0.25">
      <c r="A253" s="206">
        <v>44141</v>
      </c>
      <c r="B253" s="121">
        <v>319977</v>
      </c>
      <c r="C253" s="6">
        <f t="shared" si="535"/>
        <v>2321</v>
      </c>
      <c r="D253" s="19">
        <f t="shared" si="536"/>
        <v>0.73</v>
      </c>
      <c r="E253" s="35">
        <f t="shared" si="537"/>
        <v>73</v>
      </c>
      <c r="F253" s="25">
        <f>ROUND((B253/Stats!$B$8)*100000,0)</f>
        <v>3187</v>
      </c>
      <c r="G253" s="22">
        <f>ROUND((C253/Stats!$B$8)*100000,0)</f>
        <v>23</v>
      </c>
      <c r="H253" s="213">
        <v>7170</v>
      </c>
      <c r="I253" s="6">
        <f t="shared" si="538"/>
        <v>13</v>
      </c>
      <c r="J253" s="35">
        <f t="shared" si="539"/>
        <v>0.18</v>
      </c>
      <c r="K253" s="9">
        <f t="shared" si="540"/>
        <v>2.2400000000000002</v>
      </c>
      <c r="L253" s="43">
        <f>ROUND(((H253/Stats!$B$8)*100000),0)</f>
        <v>71</v>
      </c>
      <c r="M253" s="96">
        <f>Stats!$B$8-N253</f>
        <v>4403117</v>
      </c>
      <c r="N253" s="97">
        <f>ROUND(Stats!$B$33/(1+(Stats!$B$34*EXP(-1*Stats!$B$32*(X253-$X$25)))),0)</f>
        <v>5635990</v>
      </c>
      <c r="O253" s="101">
        <f t="shared" si="533"/>
        <v>94.32261235381894</v>
      </c>
      <c r="P253" s="97">
        <f>ROUND(N253*(Stats!$I$14/100),0)</f>
        <v>136391</v>
      </c>
      <c r="Q253" s="101">
        <f t="shared" si="467"/>
        <v>94.743054893651333</v>
      </c>
      <c r="R253" s="109">
        <f xml:space="preserve"> ROUND(R252 - ((R252 / Stats!$B$27)*(Stats!$B$21*S252)),0)</f>
        <v>1324953</v>
      </c>
      <c r="S253" s="99">
        <f xml:space="preserve"> ROUND(S252 + (R252/Stats!$B$27)*(Stats!$B$21*S252)-(S252*Stats!$B$22),0)</f>
        <v>5</v>
      </c>
      <c r="T253" s="101">
        <f t="shared" si="534"/>
        <v>6399440</v>
      </c>
      <c r="U253" s="99">
        <f xml:space="preserve"> ROUND(U252 + (S252 * Stats!$B$22),0)</f>
        <v>8714714</v>
      </c>
      <c r="V253" s="99">
        <f>ROUND(S253*(Stats!$I$14/100),0)</f>
        <v>0</v>
      </c>
      <c r="W253" s="105" t="str">
        <f t="shared" si="468"/>
        <v/>
      </c>
      <c r="X253" s="118">
        <v>251</v>
      </c>
      <c r="AD253" s="105"/>
      <c r="AF253" s="140">
        <v>2418</v>
      </c>
      <c r="AG253" s="138">
        <f t="shared" si="487"/>
        <v>97</v>
      </c>
      <c r="AH253" s="138">
        <f t="shared" si="488"/>
        <v>4.09</v>
      </c>
      <c r="AI253" s="140">
        <v>15</v>
      </c>
      <c r="AJ253" s="138">
        <f t="shared" si="489"/>
        <v>2</v>
      </c>
      <c r="AK253" s="5">
        <f t="shared" si="490"/>
        <v>14.29</v>
      </c>
      <c r="AL253" s="5" t="str">
        <f t="shared" si="441"/>
        <v>2</v>
      </c>
      <c r="AM253" s="5" t="str">
        <f t="shared" si="442"/>
        <v>1</v>
      </c>
      <c r="AN253" s="5" t="str">
        <f t="shared" si="443"/>
        <v>4</v>
      </c>
      <c r="AO253" s="5" t="str">
        <f t="shared" si="444"/>
        <v>5</v>
      </c>
    </row>
    <row r="254" spans="1:41" x14ac:dyDescent="0.25">
      <c r="A254" s="206">
        <v>44142</v>
      </c>
      <c r="B254" s="121">
        <v>322207</v>
      </c>
      <c r="C254" s="6">
        <f t="shared" si="535"/>
        <v>2230</v>
      </c>
      <c r="D254" s="19">
        <f t="shared" si="536"/>
        <v>0.7</v>
      </c>
      <c r="E254" s="35">
        <f t="shared" si="537"/>
        <v>69</v>
      </c>
      <c r="F254" s="25">
        <f>ROUND((B254/Stats!$B$8)*100000,0)</f>
        <v>3210</v>
      </c>
      <c r="G254" s="22">
        <f>ROUND((C254/Stats!$B$8)*100000,0)</f>
        <v>22</v>
      </c>
      <c r="H254" s="213">
        <v>7172</v>
      </c>
      <c r="I254" s="6">
        <f t="shared" si="538"/>
        <v>2</v>
      </c>
      <c r="J254" s="35">
        <f t="shared" si="539"/>
        <v>0.03</v>
      </c>
      <c r="K254" s="9">
        <f t="shared" si="540"/>
        <v>2.23</v>
      </c>
      <c r="L254" s="43">
        <f>ROUND(((H254/Stats!$B$8)*100000),0)</f>
        <v>71</v>
      </c>
      <c r="M254" s="96">
        <f>Stats!$B$8-N254</f>
        <v>4403117</v>
      </c>
      <c r="N254" s="97">
        <f>ROUND(Stats!$B$33/(1+(Stats!$B$34*EXP(-1*Stats!$B$32*(X254-$X$25)))),0)</f>
        <v>5635990</v>
      </c>
      <c r="O254" s="101">
        <f t="shared" si="533"/>
        <v>94.283045214771505</v>
      </c>
      <c r="P254" s="97">
        <f>ROUND(N254*(Stats!$I$14/100),0)</f>
        <v>136391</v>
      </c>
      <c r="Q254" s="101">
        <f t="shared" si="467"/>
        <v>94.741588521236736</v>
      </c>
      <c r="R254" s="109">
        <f xml:space="preserve"> ROUND(R253 - ((R253 / Stats!$B$27)*(Stats!$B$21*S253)),0)</f>
        <v>1324953</v>
      </c>
      <c r="S254" s="99">
        <f xml:space="preserve"> ROUND(S253 + (R253/Stats!$B$27)*(Stats!$B$21*S253)-(S253*Stats!$B$22),0)</f>
        <v>5</v>
      </c>
      <c r="T254" s="101">
        <f t="shared" si="534"/>
        <v>6444040</v>
      </c>
      <c r="U254" s="99">
        <f xml:space="preserve"> ROUND(U253 + (S253 * Stats!$B$22),0)</f>
        <v>8714715</v>
      </c>
      <c r="V254" s="99">
        <f>ROUND(S254*(Stats!$I$14/100),0)</f>
        <v>0</v>
      </c>
      <c r="W254" s="105" t="str">
        <f t="shared" si="468"/>
        <v/>
      </c>
      <c r="X254" s="118">
        <v>252</v>
      </c>
      <c r="AD254" s="105"/>
      <c r="AF254" s="140">
        <v>2238</v>
      </c>
      <c r="AG254" s="138">
        <f t="shared" si="487"/>
        <v>8</v>
      </c>
      <c r="AH254" s="138">
        <f t="shared" si="488"/>
        <v>0.36</v>
      </c>
      <c r="AI254" s="140">
        <v>2</v>
      </c>
      <c r="AJ254" s="138">
        <f t="shared" si="489"/>
        <v>0</v>
      </c>
      <c r="AK254" s="5">
        <f t="shared" si="490"/>
        <v>0</v>
      </c>
      <c r="AL254" s="5" t="str">
        <f t="shared" si="441"/>
        <v>2</v>
      </c>
      <c r="AM254" s="5" t="str">
        <f t="shared" si="442"/>
        <v>2</v>
      </c>
      <c r="AN254" s="5" t="str">
        <f t="shared" si="443"/>
        <v>2</v>
      </c>
      <c r="AO254" s="5" t="str">
        <f t="shared" si="444"/>
        <v>2</v>
      </c>
    </row>
    <row r="255" spans="1:41" x14ac:dyDescent="0.25">
      <c r="A255" s="206">
        <v>44143</v>
      </c>
      <c r="B255" s="121">
        <v>323625</v>
      </c>
      <c r="C255" s="6">
        <f t="shared" si="535"/>
        <v>1418</v>
      </c>
      <c r="D255" s="19">
        <f t="shared" si="536"/>
        <v>0.44</v>
      </c>
      <c r="E255" s="35">
        <f t="shared" si="537"/>
        <v>44</v>
      </c>
      <c r="F255" s="25">
        <f>ROUND((B255/Stats!$B$8)*100000,0)</f>
        <v>3224</v>
      </c>
      <c r="G255" s="22">
        <f>ROUND((C255/Stats!$B$8)*100000,0)</f>
        <v>14</v>
      </c>
      <c r="H255" s="213">
        <v>7177</v>
      </c>
      <c r="I255" s="6">
        <f t="shared" si="538"/>
        <v>5</v>
      </c>
      <c r="J255" s="35">
        <f t="shared" si="539"/>
        <v>7.0000000000000007E-2</v>
      </c>
      <c r="K255" s="9">
        <f t="shared" si="540"/>
        <v>2.2200000000000002</v>
      </c>
      <c r="L255" s="43">
        <f>ROUND(((H255/Stats!$B$8)*100000),0)</f>
        <v>71</v>
      </c>
      <c r="M255" s="96">
        <f>Stats!$B$8-N255</f>
        <v>4403117</v>
      </c>
      <c r="N255" s="97">
        <f>ROUND(Stats!$B$33/(1+(Stats!$B$34*EXP(-1*Stats!$B$32*(X255-$X$25)))),0)</f>
        <v>5635990</v>
      </c>
      <c r="O255" s="101">
        <f t="shared" si="533"/>
        <v>94.257885482408582</v>
      </c>
      <c r="P255" s="97">
        <f>ROUND(N255*(Stats!$I$14/100),0)</f>
        <v>136391</v>
      </c>
      <c r="Q255" s="101">
        <f t="shared" si="467"/>
        <v>94.737922590200228</v>
      </c>
      <c r="R255" s="109">
        <f xml:space="preserve"> ROUND(R254 - ((R254 / Stats!$B$27)*(Stats!$B$21*S254)),0)</f>
        <v>1324953</v>
      </c>
      <c r="S255" s="99">
        <f xml:space="preserve"> ROUND(S254 + (R254/Stats!$B$27)*(Stats!$B$21*S254)-(S254*Stats!$B$22),0)</f>
        <v>5</v>
      </c>
      <c r="T255" s="101">
        <f t="shared" si="534"/>
        <v>6472400</v>
      </c>
      <c r="U255" s="99">
        <f xml:space="preserve"> ROUND(U254 + (S254 * Stats!$B$22),0)</f>
        <v>8714716</v>
      </c>
      <c r="V255" s="99">
        <f>ROUND(S255*(Stats!$I$14/100),0)</f>
        <v>0</v>
      </c>
      <c r="W255" s="105" t="str">
        <f t="shared" si="468"/>
        <v/>
      </c>
      <c r="X255" s="118">
        <v>253</v>
      </c>
      <c r="AD255" s="105"/>
      <c r="AF255" s="140">
        <v>1431</v>
      </c>
      <c r="AG255" s="138">
        <f t="shared" si="487"/>
        <v>13</v>
      </c>
      <c r="AH255" s="138">
        <f t="shared" si="488"/>
        <v>0.91</v>
      </c>
      <c r="AI255" s="140">
        <v>5</v>
      </c>
      <c r="AJ255" s="138">
        <f t="shared" si="489"/>
        <v>0</v>
      </c>
      <c r="AK255" s="5">
        <f t="shared" si="490"/>
        <v>0</v>
      </c>
      <c r="AL255" s="5" t="str">
        <f t="shared" si="441"/>
        <v>1</v>
      </c>
      <c r="AM255" s="5" t="str">
        <f t="shared" si="442"/>
        <v>5</v>
      </c>
      <c r="AN255" s="5" t="str">
        <f t="shared" si="443"/>
        <v>4</v>
      </c>
      <c r="AO255" s="5" t="str">
        <f t="shared" si="444"/>
        <v>5</v>
      </c>
    </row>
    <row r="256" spans="1:41" x14ac:dyDescent="0.25">
      <c r="A256" s="206">
        <v>44144</v>
      </c>
      <c r="B256" s="121">
        <v>325876</v>
      </c>
      <c r="C256" s="6">
        <f t="shared" si="535"/>
        <v>2251</v>
      </c>
      <c r="D256" s="19">
        <f t="shared" si="536"/>
        <v>0.7</v>
      </c>
      <c r="E256" s="35">
        <f t="shared" si="537"/>
        <v>69</v>
      </c>
      <c r="F256" s="25">
        <f>ROUND((B256/Stats!$B$8)*100000,0)</f>
        <v>3246</v>
      </c>
      <c r="G256" s="22">
        <f>ROUND((C256/Stats!$B$8)*100000,0)</f>
        <v>22</v>
      </c>
      <c r="H256" s="213">
        <v>7200</v>
      </c>
      <c r="I256" s="6">
        <f t="shared" si="538"/>
        <v>23</v>
      </c>
      <c r="J256" s="35">
        <f t="shared" si="539"/>
        <v>0.32</v>
      </c>
      <c r="K256" s="9">
        <f t="shared" si="540"/>
        <v>2.21</v>
      </c>
      <c r="L256" s="43">
        <f>ROUND(((H256/Stats!$B$8)*100000),0)</f>
        <v>72</v>
      </c>
      <c r="M256" s="96">
        <f>Stats!$B$8-N256</f>
        <v>4403117</v>
      </c>
      <c r="N256" s="97">
        <f>ROUND(Stats!$B$33/(1+(Stats!$B$34*EXP(-1*Stats!$B$32*(X256-$X$25)))),0)</f>
        <v>5635990</v>
      </c>
      <c r="O256" s="101">
        <f t="shared" si="533"/>
        <v>94.217945738015857</v>
      </c>
      <c r="P256" s="97">
        <f>ROUND(N256*(Stats!$I$14/100),0)</f>
        <v>136391</v>
      </c>
      <c r="Q256" s="101">
        <f t="shared" si="467"/>
        <v>94.721059307432313</v>
      </c>
      <c r="R256" s="109">
        <f xml:space="preserve"> ROUND(R255 - ((R255 / Stats!$B$27)*(Stats!$B$21*S255)),0)</f>
        <v>1324953</v>
      </c>
      <c r="S256" s="99">
        <f xml:space="preserve"> ROUND(S255 + (R255/Stats!$B$27)*(Stats!$B$21*S255)-(S255*Stats!$B$22),0)</f>
        <v>5</v>
      </c>
      <c r="T256" s="101">
        <f t="shared" si="534"/>
        <v>6517420</v>
      </c>
      <c r="U256" s="99">
        <f xml:space="preserve"> ROUND(U255 + (S255 * Stats!$B$22),0)</f>
        <v>8714717</v>
      </c>
      <c r="V256" s="99">
        <f>ROUND(S256*(Stats!$I$14/100),0)</f>
        <v>0</v>
      </c>
      <c r="W256" s="105" t="str">
        <f t="shared" si="468"/>
        <v/>
      </c>
      <c r="X256" s="118">
        <v>254</v>
      </c>
      <c r="AD256" s="105"/>
      <c r="AF256" s="140">
        <v>2318</v>
      </c>
      <c r="AG256" s="138">
        <f t="shared" si="487"/>
        <v>67</v>
      </c>
      <c r="AH256" s="138">
        <f t="shared" si="488"/>
        <v>2.93</v>
      </c>
      <c r="AI256" s="140">
        <v>25</v>
      </c>
      <c r="AJ256" s="138">
        <f t="shared" si="489"/>
        <v>2</v>
      </c>
      <c r="AK256" s="5">
        <f t="shared" si="490"/>
        <v>8.33</v>
      </c>
      <c r="AL256" s="5" t="str">
        <f t="shared" si="441"/>
        <v>2</v>
      </c>
      <c r="AM256" s="5" t="str">
        <f t="shared" si="442"/>
        <v>2</v>
      </c>
      <c r="AN256" s="5" t="str">
        <f t="shared" si="443"/>
        <v>3</v>
      </c>
      <c r="AO256" s="5" t="str">
        <f t="shared" si="444"/>
        <v>5</v>
      </c>
    </row>
    <row r="257" spans="1:41" x14ac:dyDescent="0.25">
      <c r="A257" s="206">
        <v>44145</v>
      </c>
      <c r="B257" s="121">
        <v>327964</v>
      </c>
      <c r="C257" s="6">
        <f t="shared" si="535"/>
        <v>2088</v>
      </c>
      <c r="D257" s="19">
        <f t="shared" si="536"/>
        <v>0.64</v>
      </c>
      <c r="E257" s="35">
        <f t="shared" si="537"/>
        <v>64</v>
      </c>
      <c r="F257" s="25">
        <f>ROUND((B257/Stats!$B$8)*100000,0)</f>
        <v>3267</v>
      </c>
      <c r="G257" s="22">
        <f>ROUND((C257/Stats!$B$8)*100000,0)</f>
        <v>21</v>
      </c>
      <c r="H257" s="213">
        <v>7216</v>
      </c>
      <c r="I257" s="6">
        <f t="shared" si="538"/>
        <v>16</v>
      </c>
      <c r="J257" s="35">
        <f t="shared" si="539"/>
        <v>0.22</v>
      </c>
      <c r="K257" s="9">
        <f t="shared" si="540"/>
        <v>2.2000000000000002</v>
      </c>
      <c r="L257" s="43">
        <f>ROUND(((H257/Stats!$B$8)*100000),0)</f>
        <v>72</v>
      </c>
      <c r="M257" s="96">
        <f>Stats!$B$8-N257</f>
        <v>4403117</v>
      </c>
      <c r="N257" s="97">
        <f>ROUND(Stats!$B$33/(1+(Stats!$B$34*EXP(-1*Stats!$B$32*(X257-$X$25)))),0)</f>
        <v>5635990</v>
      </c>
      <c r="O257" s="101">
        <f t="shared" si="533"/>
        <v>94.180898120827038</v>
      </c>
      <c r="P257" s="97">
        <f>ROUND(N257*(Stats!$I$14/100),0)</f>
        <v>136391</v>
      </c>
      <c r="Q257" s="101">
        <f t="shared" si="467"/>
        <v>94.70932832811549</v>
      </c>
      <c r="R257" s="109">
        <f xml:space="preserve"> ROUND(R256 - ((R256 / Stats!$B$27)*(Stats!$B$21*S256)),0)</f>
        <v>1324953</v>
      </c>
      <c r="S257" s="99">
        <f xml:space="preserve"> ROUND(S256 + (R256/Stats!$B$27)*(Stats!$B$21*S256)-(S256*Stats!$B$22),0)</f>
        <v>5</v>
      </c>
      <c r="T257" s="101">
        <f t="shared" si="534"/>
        <v>6559180</v>
      </c>
      <c r="U257" s="99">
        <f xml:space="preserve"> ROUND(U256 + (S256 * Stats!$B$22),0)</f>
        <v>8714718</v>
      </c>
      <c r="V257" s="99">
        <f>ROUND(S257*(Stats!$I$14/100),0)</f>
        <v>0</v>
      </c>
      <c r="W257" s="105" t="str">
        <f t="shared" si="468"/>
        <v/>
      </c>
      <c r="X257" s="118">
        <v>255</v>
      </c>
      <c r="AD257" s="105"/>
      <c r="AE257" s="49" t="s">
        <v>356</v>
      </c>
      <c r="AF257" s="140">
        <v>2152</v>
      </c>
      <c r="AG257" s="138">
        <f t="shared" ref="AG257:AG288" si="541">AF257-C257</f>
        <v>64</v>
      </c>
      <c r="AH257" s="138">
        <f t="shared" ref="AH257:AH288" si="542">IFERROR(ROUND(100*(AG257/AVERAGE(AF257,C257)),2),"")</f>
        <v>3.02</v>
      </c>
      <c r="AI257" s="140">
        <v>22</v>
      </c>
      <c r="AJ257" s="138">
        <f t="shared" ref="AJ257:AJ288" si="543">AI257-I257</f>
        <v>6</v>
      </c>
      <c r="AK257" s="5">
        <f t="shared" ref="AK257:AK288" si="544">IFERROR(ROUND(100*(AJ257/AVERAGE(AI257,I257)),2),"")</f>
        <v>31.58</v>
      </c>
      <c r="AL257" s="5" t="str">
        <f t="shared" si="441"/>
        <v>2</v>
      </c>
      <c r="AM257" s="5" t="str">
        <f t="shared" si="442"/>
        <v>2</v>
      </c>
      <c r="AN257" s="5" t="str">
        <f t="shared" si="443"/>
        <v>1</v>
      </c>
      <c r="AO257" s="5" t="str">
        <f t="shared" si="444"/>
        <v>2</v>
      </c>
    </row>
    <row r="258" spans="1:41" x14ac:dyDescent="0.25">
      <c r="A258" s="206">
        <v>44146</v>
      </c>
      <c r="B258" s="121">
        <v>330450</v>
      </c>
      <c r="C258" s="6">
        <f t="shared" si="535"/>
        <v>2486</v>
      </c>
      <c r="D258" s="19">
        <f t="shared" si="536"/>
        <v>0.76</v>
      </c>
      <c r="E258" s="35">
        <f t="shared" si="537"/>
        <v>75</v>
      </c>
      <c r="F258" s="25">
        <f>ROUND((B258/Stats!$B$8)*100000,0)</f>
        <v>3292</v>
      </c>
      <c r="G258" s="22">
        <f>ROUND((C258/Stats!$B$8)*100000,0)</f>
        <v>25</v>
      </c>
      <c r="H258" s="213">
        <v>7221</v>
      </c>
      <c r="I258" s="6">
        <f t="shared" si="538"/>
        <v>5</v>
      </c>
      <c r="J258" s="35">
        <f t="shared" si="539"/>
        <v>7.0000000000000007E-2</v>
      </c>
      <c r="K258" s="9">
        <f t="shared" si="540"/>
        <v>2.19</v>
      </c>
      <c r="L258" s="43">
        <f>ROUND(((H258/Stats!$B$8)*100000),0)</f>
        <v>72</v>
      </c>
      <c r="M258" s="96">
        <f>Stats!$B$8-N258</f>
        <v>4403117</v>
      </c>
      <c r="N258" s="97">
        <f>ROUND(Stats!$B$33/(1+(Stats!$B$34*EXP(-1*Stats!$B$32*(X258-$X$25)))),0)</f>
        <v>5635990</v>
      </c>
      <c r="O258" s="101">
        <f t="shared" si="533"/>
        <v>94.136788745189406</v>
      </c>
      <c r="P258" s="97">
        <f>ROUND(N258*(Stats!$I$14/100),0)</f>
        <v>136391</v>
      </c>
      <c r="Q258" s="101">
        <f t="shared" si="467"/>
        <v>94.705662397078981</v>
      </c>
      <c r="R258" s="109">
        <f xml:space="preserve"> ROUND(R257 - ((R257 / Stats!$B$27)*(Stats!$B$21*S257)),0)</f>
        <v>1324953</v>
      </c>
      <c r="S258" s="99">
        <f xml:space="preserve"> ROUND(S257 + (R257/Stats!$B$27)*(Stats!$B$21*S257)-(S257*Stats!$B$22),0)</f>
        <v>5</v>
      </c>
      <c r="T258" s="101">
        <f t="shared" si="534"/>
        <v>6608900</v>
      </c>
      <c r="U258" s="99">
        <f xml:space="preserve"> ROUND(U257 + (S257 * Stats!$B$22),0)</f>
        <v>8714719</v>
      </c>
      <c r="V258" s="99">
        <f>ROUND(S258*(Stats!$I$14/100),0)</f>
        <v>0</v>
      </c>
      <c r="W258" s="105" t="str">
        <f t="shared" si="468"/>
        <v/>
      </c>
      <c r="X258" s="118">
        <v>256</v>
      </c>
      <c r="AD258" s="105"/>
      <c r="AE258" s="49" t="s">
        <v>357</v>
      </c>
      <c r="AF258" s="140">
        <v>2533</v>
      </c>
      <c r="AG258" s="138">
        <f t="shared" si="541"/>
        <v>47</v>
      </c>
      <c r="AH258" s="138">
        <f t="shared" si="542"/>
        <v>1.87</v>
      </c>
      <c r="AI258" s="140">
        <v>7</v>
      </c>
      <c r="AJ258" s="138">
        <f t="shared" si="543"/>
        <v>2</v>
      </c>
      <c r="AK258" s="5">
        <f t="shared" si="544"/>
        <v>33.33</v>
      </c>
      <c r="AL258" s="5" t="str">
        <f t="shared" si="441"/>
        <v>2</v>
      </c>
      <c r="AM258" s="5" t="str">
        <f t="shared" si="442"/>
        <v>7</v>
      </c>
      <c r="AN258" s="5" t="str">
        <f t="shared" si="443"/>
        <v>5</v>
      </c>
      <c r="AO258" s="5" t="str">
        <f t="shared" si="444"/>
        <v>7</v>
      </c>
    </row>
    <row r="259" spans="1:41" x14ac:dyDescent="0.25">
      <c r="A259" s="206">
        <v>44147</v>
      </c>
      <c r="B259" s="121">
        <v>332865</v>
      </c>
      <c r="C259" s="6">
        <f t="shared" ref="C259:C260" si="545">B259-B258</f>
        <v>2415</v>
      </c>
      <c r="D259" s="19">
        <f t="shared" ref="D259:D260" si="546">ROUND(((B259/B258)-1)*100,2)</f>
        <v>0.73</v>
      </c>
      <c r="E259" s="35">
        <f t="shared" ref="E259:E260" si="547">IFERROR(ROUND((C259/B259)*10000,0),"")</f>
        <v>73</v>
      </c>
      <c r="F259" s="25">
        <f>ROUND((B259/Stats!$B$8)*100000,0)</f>
        <v>3316</v>
      </c>
      <c r="G259" s="22">
        <f>ROUND((C259/Stats!$B$8)*100000,0)</f>
        <v>24</v>
      </c>
      <c r="H259" s="213">
        <v>7246</v>
      </c>
      <c r="I259" s="6">
        <f t="shared" ref="I259:I260" si="548">H259-H258</f>
        <v>25</v>
      </c>
      <c r="J259" s="35">
        <f t="shared" ref="J259:J260" si="549">IFERROR(ROUND(((H259/H258)-1)*100,2),"")</f>
        <v>0.35</v>
      </c>
      <c r="K259" s="9">
        <f t="shared" ref="K259:K260" si="550">IFERROR(ROUND(100*(H259/B259),2),"")</f>
        <v>2.1800000000000002</v>
      </c>
      <c r="L259" s="43">
        <f>ROUND(((H259/Stats!$B$8)*100000),0)</f>
        <v>72</v>
      </c>
      <c r="M259" s="96">
        <f>Stats!$B$8-N259</f>
        <v>4403117</v>
      </c>
      <c r="N259" s="97">
        <f>ROUND(Stats!$B$33/(1+(Stats!$B$34*EXP(-1*Stats!$B$32*(X259-$X$25)))),0)</f>
        <v>5635990</v>
      </c>
      <c r="O259" s="101">
        <f t="shared" si="533"/>
        <v>94.093939130481075</v>
      </c>
      <c r="P259" s="97">
        <f>ROUND(N259*(Stats!$I$14/100),0)</f>
        <v>136391</v>
      </c>
      <c r="Q259" s="101">
        <f t="shared" si="467"/>
        <v>94.687332741896455</v>
      </c>
      <c r="R259" s="109">
        <f xml:space="preserve"> ROUND(R258 - ((R258 / Stats!$B$27)*(Stats!$B$21*S258)),0)</f>
        <v>1324953</v>
      </c>
      <c r="S259" s="99">
        <f xml:space="preserve"> ROUND(S258 + (R258/Stats!$B$27)*(Stats!$B$21*S258)-(S258*Stats!$B$22),0)</f>
        <v>5</v>
      </c>
      <c r="T259" s="101">
        <f t="shared" si="534"/>
        <v>6657200</v>
      </c>
      <c r="U259" s="99">
        <f xml:space="preserve"> ROUND(U258 + (S258 * Stats!$B$22),0)</f>
        <v>8714720</v>
      </c>
      <c r="V259" s="99">
        <f>ROUND(S259*(Stats!$I$14/100),0)</f>
        <v>0</v>
      </c>
      <c r="W259" s="105" t="str">
        <f t="shared" si="468"/>
        <v/>
      </c>
      <c r="X259" s="118">
        <v>257</v>
      </c>
      <c r="AD259" s="105"/>
      <c r="AE259" s="49" t="s">
        <v>358</v>
      </c>
      <c r="AF259" s="140">
        <v>2481</v>
      </c>
      <c r="AG259" s="138">
        <f t="shared" si="541"/>
        <v>66</v>
      </c>
      <c r="AH259" s="138">
        <f t="shared" si="542"/>
        <v>2.7</v>
      </c>
      <c r="AI259" s="140">
        <v>28</v>
      </c>
      <c r="AJ259" s="138">
        <f t="shared" si="543"/>
        <v>3</v>
      </c>
      <c r="AK259" s="5">
        <f t="shared" si="544"/>
        <v>11.32</v>
      </c>
      <c r="AL259" s="5" t="str">
        <f t="shared" si="441"/>
        <v>2</v>
      </c>
      <c r="AM259" s="5" t="str">
        <f t="shared" si="442"/>
        <v>2</v>
      </c>
      <c r="AN259" s="5" t="str">
        <f t="shared" si="443"/>
        <v>4</v>
      </c>
      <c r="AO259" s="5" t="str">
        <f t="shared" si="444"/>
        <v>8</v>
      </c>
    </row>
    <row r="260" spans="1:41" ht="30" x14ac:dyDescent="0.25">
      <c r="A260" s="206">
        <v>44148</v>
      </c>
      <c r="B260" s="121">
        <v>336549</v>
      </c>
      <c r="C260" s="6">
        <f t="shared" si="545"/>
        <v>3684</v>
      </c>
      <c r="D260" s="19">
        <f t="shared" si="546"/>
        <v>1.1100000000000001</v>
      </c>
      <c r="E260" s="35">
        <f t="shared" si="547"/>
        <v>109</v>
      </c>
      <c r="F260" s="25">
        <f>ROUND((B260/Stats!$B$8)*100000,0)</f>
        <v>3352</v>
      </c>
      <c r="G260" s="22">
        <f>ROUND((C260/Stats!$B$8)*100000,0)</f>
        <v>37</v>
      </c>
      <c r="H260" s="213">
        <v>7266</v>
      </c>
      <c r="I260" s="6">
        <f t="shared" si="548"/>
        <v>20</v>
      </c>
      <c r="J260" s="35">
        <f t="shared" si="549"/>
        <v>0.28000000000000003</v>
      </c>
      <c r="K260" s="9">
        <f t="shared" si="550"/>
        <v>2.16</v>
      </c>
      <c r="L260" s="43">
        <f>ROUND(((H260/Stats!$B$8)*100000),0)</f>
        <v>72</v>
      </c>
      <c r="M260" s="96">
        <f>Stats!$B$8-N260</f>
        <v>4403117</v>
      </c>
      <c r="N260" s="97">
        <f>ROUND(Stats!$B$33/(1+(Stats!$B$34*EXP(-1*Stats!$B$32*(X260-$X$25)))),0)</f>
        <v>5635990</v>
      </c>
      <c r="O260" s="101">
        <f t="shared" si="533"/>
        <v>94.028573507050226</v>
      </c>
      <c r="P260" s="97">
        <f>ROUND(N260*(Stats!$I$14/100),0)</f>
        <v>136391</v>
      </c>
      <c r="Q260" s="101">
        <f t="shared" si="467"/>
        <v>94.672669017750451</v>
      </c>
      <c r="R260" s="109">
        <f xml:space="preserve"> ROUND(R259 - ((R259 / Stats!$B$27)*(Stats!$B$21*S259)),0)</f>
        <v>1324953</v>
      </c>
      <c r="S260" s="99">
        <f xml:space="preserve"> ROUND(S259 + (R259/Stats!$B$27)*(Stats!$B$21*S259)-(S259*Stats!$B$22),0)</f>
        <v>5</v>
      </c>
      <c r="T260" s="101">
        <f t="shared" si="534"/>
        <v>6730880</v>
      </c>
      <c r="U260" s="99">
        <f xml:space="preserve"> ROUND(U259 + (S259 * Stats!$B$22),0)</f>
        <v>8714721</v>
      </c>
      <c r="V260" s="99">
        <f>ROUND(S260*(Stats!$I$14/100),0)</f>
        <v>0</v>
      </c>
      <c r="W260" s="105" t="str">
        <f t="shared" si="468"/>
        <v/>
      </c>
      <c r="X260" s="118">
        <v>258</v>
      </c>
      <c r="AD260" s="105"/>
      <c r="AE260" s="51" t="s">
        <v>364</v>
      </c>
      <c r="AF260" s="140">
        <v>3780</v>
      </c>
      <c r="AG260" s="138">
        <f t="shared" si="541"/>
        <v>96</v>
      </c>
      <c r="AH260" s="138">
        <f t="shared" si="542"/>
        <v>2.57</v>
      </c>
      <c r="AI260" s="140">
        <v>20</v>
      </c>
      <c r="AJ260" s="138">
        <f t="shared" si="543"/>
        <v>0</v>
      </c>
      <c r="AK260" s="5">
        <f t="shared" si="544"/>
        <v>0</v>
      </c>
      <c r="AL260" s="5" t="str">
        <f t="shared" si="441"/>
        <v>3</v>
      </c>
      <c r="AM260" s="5" t="str">
        <f t="shared" si="442"/>
        <v>2</v>
      </c>
      <c r="AN260" s="5" t="str">
        <f t="shared" si="443"/>
        <v>7</v>
      </c>
      <c r="AO260" s="5" t="str">
        <f t="shared" si="444"/>
        <v>0</v>
      </c>
    </row>
    <row r="261" spans="1:41" x14ac:dyDescent="0.25">
      <c r="A261" s="206">
        <v>44149</v>
      </c>
      <c r="B261" s="121">
        <v>339560</v>
      </c>
      <c r="C261" s="6">
        <f t="shared" ref="C261:C262" si="551">B261-B260</f>
        <v>3011</v>
      </c>
      <c r="D261" s="19">
        <f t="shared" ref="D261:D262" si="552">ROUND(((B261/B260)-1)*100,2)</f>
        <v>0.89</v>
      </c>
      <c r="E261" s="35">
        <f t="shared" ref="E261:E262" si="553">IFERROR(ROUND((C261/B261)*10000,0),"")</f>
        <v>89</v>
      </c>
      <c r="F261" s="25">
        <f>ROUND((B261/Stats!$B$8)*100000,0)</f>
        <v>3382</v>
      </c>
      <c r="G261" s="22">
        <f>ROUND((C261/Stats!$B$8)*100000,0)</f>
        <v>30</v>
      </c>
      <c r="H261" s="213">
        <v>7269</v>
      </c>
      <c r="I261" s="6">
        <f t="shared" ref="I261:I262" si="554">H261-H260</f>
        <v>3</v>
      </c>
      <c r="J261" s="35">
        <f t="shared" ref="J261:J262" si="555">IFERROR(ROUND(((H261/H260)-1)*100,2),"")</f>
        <v>0.04</v>
      </c>
      <c r="K261" s="9">
        <f t="shared" ref="K261:K262" si="556">IFERROR(ROUND(100*(H261/B261),2),"")</f>
        <v>2.14</v>
      </c>
      <c r="L261" s="43">
        <f>ROUND(((H261/Stats!$B$8)*100000),0)</f>
        <v>72</v>
      </c>
      <c r="M261" s="96">
        <f>Stats!$B$8-N261</f>
        <v>4403117</v>
      </c>
      <c r="N261" s="97">
        <f>ROUND(Stats!$B$33/(1+(Stats!$B$34*EXP(-1*Stats!$B$32*(X261-$X$25)))),0)</f>
        <v>5635990</v>
      </c>
      <c r="O261" s="101">
        <f t="shared" si="533"/>
        <v>93.975148997780337</v>
      </c>
      <c r="P261" s="97">
        <f>ROUND(N261*(Stats!$I$14/100),0)</f>
        <v>136391</v>
      </c>
      <c r="Q261" s="101">
        <f t="shared" si="467"/>
        <v>94.67046945912854</v>
      </c>
      <c r="R261" s="109">
        <f xml:space="preserve"> ROUND(R260 - ((R260 / Stats!$B$27)*(Stats!$B$21*S260)),0)</f>
        <v>1324953</v>
      </c>
      <c r="S261" s="99">
        <f xml:space="preserve"> ROUND(S260 + (R260/Stats!$B$27)*(Stats!$B$21*S260)-(S260*Stats!$B$22),0)</f>
        <v>5</v>
      </c>
      <c r="T261" s="101">
        <f t="shared" si="534"/>
        <v>6791100</v>
      </c>
      <c r="U261" s="99">
        <f xml:space="preserve"> ROUND(U260 + (S260 * Stats!$B$22),0)</f>
        <v>8714722</v>
      </c>
      <c r="V261" s="99">
        <f>ROUND(S261*(Stats!$I$14/100),0)</f>
        <v>0</v>
      </c>
      <c r="W261" s="105" t="str">
        <f t="shared" si="468"/>
        <v/>
      </c>
      <c r="X261" s="118">
        <v>259</v>
      </c>
      <c r="AD261" s="105"/>
      <c r="AE261" s="49" t="s">
        <v>359</v>
      </c>
      <c r="AF261" s="140">
        <v>3061</v>
      </c>
      <c r="AG261" s="138">
        <f t="shared" si="541"/>
        <v>50</v>
      </c>
      <c r="AH261" s="138">
        <f t="shared" si="542"/>
        <v>1.65</v>
      </c>
      <c r="AI261" s="140">
        <v>3</v>
      </c>
      <c r="AJ261" s="138">
        <f t="shared" si="543"/>
        <v>0</v>
      </c>
      <c r="AK261" s="5">
        <f t="shared" si="544"/>
        <v>0</v>
      </c>
      <c r="AL261" s="5" t="str">
        <f t="shared" si="441"/>
        <v>3</v>
      </c>
      <c r="AM261" s="5" t="str">
        <f t="shared" si="442"/>
        <v>3</v>
      </c>
      <c r="AN261" s="5" t="str">
        <f t="shared" si="443"/>
        <v>0</v>
      </c>
      <c r="AO261" s="5" t="str">
        <f t="shared" si="444"/>
        <v>3</v>
      </c>
    </row>
    <row r="262" spans="1:41" x14ac:dyDescent="0.25">
      <c r="A262" s="206">
        <v>44150</v>
      </c>
      <c r="B262" s="121">
        <v>342343</v>
      </c>
      <c r="C262" s="6">
        <f t="shared" si="551"/>
        <v>2783</v>
      </c>
      <c r="D262" s="19">
        <f t="shared" si="552"/>
        <v>0.82</v>
      </c>
      <c r="E262" s="35">
        <f t="shared" si="553"/>
        <v>81</v>
      </c>
      <c r="F262" s="25">
        <f>ROUND((B262/Stats!$B$8)*100000,0)</f>
        <v>3410</v>
      </c>
      <c r="G262" s="22">
        <f>ROUND((C262/Stats!$B$8)*100000,0)</f>
        <v>28</v>
      </c>
      <c r="H262" s="213">
        <v>7275</v>
      </c>
      <c r="I262" s="6">
        <f t="shared" si="554"/>
        <v>6</v>
      </c>
      <c r="J262" s="35">
        <f t="shared" si="555"/>
        <v>0.08</v>
      </c>
      <c r="K262" s="9">
        <f t="shared" si="556"/>
        <v>2.13</v>
      </c>
      <c r="L262" s="43">
        <f>ROUND(((H262/Stats!$B$8)*100000),0)</f>
        <v>72</v>
      </c>
      <c r="M262" s="96">
        <f>Stats!$B$8-N262</f>
        <v>4403117</v>
      </c>
      <c r="N262" s="97">
        <f>ROUND(Stats!$B$33/(1+(Stats!$B$34*EXP(-1*Stats!$B$32*(X262-$X$25)))),0)</f>
        <v>5635990</v>
      </c>
      <c r="O262" s="101">
        <f t="shared" si="533"/>
        <v>93.925769917973582</v>
      </c>
      <c r="P262" s="97">
        <f>ROUND(N262*(Stats!$I$14/100),0)</f>
        <v>136391</v>
      </c>
      <c r="Q262" s="101">
        <f t="shared" si="467"/>
        <v>94.666070341884719</v>
      </c>
      <c r="R262" s="109">
        <f xml:space="preserve"> ROUND(R261 - ((R261 / Stats!$B$27)*(Stats!$B$21*S261)),0)</f>
        <v>1324953</v>
      </c>
      <c r="S262" s="99">
        <f xml:space="preserve"> ROUND(S261 + (R261/Stats!$B$27)*(Stats!$B$21*S261)-(S261*Stats!$B$22),0)</f>
        <v>5</v>
      </c>
      <c r="T262" s="101">
        <f t="shared" si="534"/>
        <v>6846760.0000000009</v>
      </c>
      <c r="U262" s="99">
        <f xml:space="preserve"> ROUND(U261 + (S261 * Stats!$B$22),0)</f>
        <v>8714723</v>
      </c>
      <c r="V262" s="99">
        <f>ROUND(S262*(Stats!$I$14/100),0)</f>
        <v>0</v>
      </c>
      <c r="W262" s="105" t="str">
        <f t="shared" si="468"/>
        <v/>
      </c>
      <c r="X262" s="118">
        <v>260</v>
      </c>
      <c r="AD262" s="105"/>
      <c r="AE262" s="49" t="s">
        <v>360</v>
      </c>
      <c r="AF262" s="140">
        <v>2795</v>
      </c>
      <c r="AG262" s="138">
        <f t="shared" si="541"/>
        <v>12</v>
      </c>
      <c r="AH262" s="138">
        <f t="shared" si="542"/>
        <v>0.43</v>
      </c>
      <c r="AI262" s="140">
        <v>6</v>
      </c>
      <c r="AJ262" s="138">
        <f t="shared" si="543"/>
        <v>0</v>
      </c>
      <c r="AK262" s="5">
        <f t="shared" si="544"/>
        <v>0</v>
      </c>
      <c r="AL262" s="5" t="str">
        <f t="shared" si="441"/>
        <v>2</v>
      </c>
      <c r="AM262" s="5" t="str">
        <f t="shared" si="442"/>
        <v>6</v>
      </c>
      <c r="AN262" s="5" t="str">
        <f t="shared" si="443"/>
        <v>7</v>
      </c>
      <c r="AO262" s="5" t="str">
        <f t="shared" si="444"/>
        <v>6</v>
      </c>
    </row>
    <row r="263" spans="1:41" x14ac:dyDescent="0.25">
      <c r="A263" s="206">
        <v>44151</v>
      </c>
      <c r="B263" s="121">
        <v>344523</v>
      </c>
      <c r="C263" s="6">
        <f t="shared" ref="C263:C266" si="557">B263-B262</f>
        <v>2180</v>
      </c>
      <c r="D263" s="19">
        <f t="shared" ref="D263:D266" si="558">ROUND(((B263/B262)-1)*100,2)</f>
        <v>0.64</v>
      </c>
      <c r="E263" s="35">
        <f t="shared" ref="E263:E266" si="559">IFERROR(ROUND((C263/B263)*10000,0),"")</f>
        <v>63</v>
      </c>
      <c r="F263" s="25">
        <f>ROUND((B263/Stats!$B$8)*100000,0)</f>
        <v>3432</v>
      </c>
      <c r="G263" s="22">
        <f>ROUND((C263/Stats!$B$8)*100000,0)</f>
        <v>22</v>
      </c>
      <c r="H263" s="213">
        <v>7299</v>
      </c>
      <c r="I263" s="6">
        <f t="shared" ref="I263:I266" si="560">H263-H262</f>
        <v>24</v>
      </c>
      <c r="J263" s="35">
        <f t="shared" ref="J263:J266" si="561">IFERROR(ROUND(((H263/H262)-1)*100,2),"")</f>
        <v>0.33</v>
      </c>
      <c r="K263" s="9">
        <f t="shared" ref="K263:K266" si="562">IFERROR(ROUND(100*(H263/B263),2),"")</f>
        <v>2.12</v>
      </c>
      <c r="L263" s="43">
        <f>ROUND(((H263/Stats!$B$8)*100000),0)</f>
        <v>73</v>
      </c>
      <c r="M263" s="96">
        <f>Stats!$B$8-N263</f>
        <v>4403117</v>
      </c>
      <c r="N263" s="97">
        <f>ROUND(Stats!$B$33/(1+(Stats!$B$34*EXP(-1*Stats!$B$32*(X263-$X$25)))),0)</f>
        <v>5635990</v>
      </c>
      <c r="O263" s="101">
        <f t="shared" si="533"/>
        <v>93.887089934510172</v>
      </c>
      <c r="P263" s="97">
        <f>ROUND(N263*(Stats!$I$14/100),0)</f>
        <v>136391</v>
      </c>
      <c r="Q263" s="101">
        <f t="shared" si="467"/>
        <v>94.648473872909506</v>
      </c>
      <c r="R263" s="109">
        <f xml:space="preserve"> ROUND(R262 - ((R262 / Stats!$B$27)*(Stats!$B$21*S262)),0)</f>
        <v>1324953</v>
      </c>
      <c r="S263" s="99">
        <f xml:space="preserve"> ROUND(S262 + (R262/Stats!$B$27)*(Stats!$B$21*S262)-(S262*Stats!$B$22),0)</f>
        <v>5</v>
      </c>
      <c r="T263" s="101">
        <f t="shared" si="534"/>
        <v>6890360.0000000009</v>
      </c>
      <c r="U263" s="99">
        <f xml:space="preserve"> ROUND(U262 + (S262 * Stats!$B$22),0)</f>
        <v>8714724</v>
      </c>
      <c r="V263" s="99">
        <f>ROUND(S263*(Stats!$I$14/100),0)</f>
        <v>0</v>
      </c>
      <c r="W263" s="105" t="str">
        <f t="shared" si="468"/>
        <v/>
      </c>
      <c r="X263" s="118">
        <v>261</v>
      </c>
      <c r="AD263" s="105"/>
      <c r="AE263" s="49" t="s">
        <v>361</v>
      </c>
      <c r="AF263" s="140">
        <v>2301</v>
      </c>
      <c r="AG263" s="138">
        <f t="shared" si="541"/>
        <v>121</v>
      </c>
      <c r="AH263" s="138">
        <f t="shared" si="542"/>
        <v>5.4</v>
      </c>
      <c r="AI263" s="140">
        <v>25</v>
      </c>
      <c r="AJ263" s="138">
        <f t="shared" si="543"/>
        <v>1</v>
      </c>
      <c r="AK263" s="5">
        <f t="shared" si="544"/>
        <v>4.08</v>
      </c>
      <c r="AL263" s="5" t="str">
        <f t="shared" si="441"/>
        <v>2</v>
      </c>
      <c r="AM263" s="5" t="str">
        <f t="shared" si="442"/>
        <v>2</v>
      </c>
      <c r="AN263" s="5" t="str">
        <f t="shared" si="443"/>
        <v>3</v>
      </c>
      <c r="AO263" s="5" t="str">
        <f t="shared" si="444"/>
        <v>5</v>
      </c>
    </row>
    <row r="264" spans="1:41" x14ac:dyDescent="0.25">
      <c r="A264" s="206">
        <v>44152</v>
      </c>
      <c r="B264" s="121">
        <v>348336</v>
      </c>
      <c r="C264" s="6">
        <f t="shared" si="557"/>
        <v>3813</v>
      </c>
      <c r="D264" s="19">
        <f t="shared" si="558"/>
        <v>1.1100000000000001</v>
      </c>
      <c r="E264" s="35">
        <f t="shared" si="559"/>
        <v>109</v>
      </c>
      <c r="F264" s="25">
        <f>ROUND((B264/Stats!$B$8)*100000,0)</f>
        <v>3470</v>
      </c>
      <c r="G264" s="22">
        <f>ROUND((C264/Stats!$B$8)*100000,0)</f>
        <v>38</v>
      </c>
      <c r="H264" s="213">
        <v>7335</v>
      </c>
      <c r="I264" s="6">
        <f t="shared" si="560"/>
        <v>36</v>
      </c>
      <c r="J264" s="35">
        <f t="shared" si="561"/>
        <v>0.49</v>
      </c>
      <c r="K264" s="9">
        <f t="shared" si="562"/>
        <v>2.11</v>
      </c>
      <c r="L264" s="43">
        <f>ROUND(((H264/Stats!$B$8)*100000),0)</f>
        <v>73</v>
      </c>
      <c r="M264" s="96">
        <f>Stats!$B$8-N264</f>
        <v>4403117</v>
      </c>
      <c r="N264" s="97">
        <f>ROUND(Stats!$B$33/(1+(Stats!$B$34*EXP(-1*Stats!$B$32*(X264-$X$25)))),0)</f>
        <v>5635990</v>
      </c>
      <c r="O264" s="101">
        <f t="shared" si="533"/>
        <v>93.819435449672554</v>
      </c>
      <c r="P264" s="97">
        <f>ROUND(N264*(Stats!$I$14/100),0)</f>
        <v>136391</v>
      </c>
      <c r="Q264" s="101">
        <f t="shared" si="467"/>
        <v>94.622079169446664</v>
      </c>
      <c r="R264" s="109">
        <f xml:space="preserve"> ROUND(R263 - ((R263 / Stats!$B$27)*(Stats!$B$21*S263)),0)</f>
        <v>1324953</v>
      </c>
      <c r="S264" s="99">
        <f xml:space="preserve"> ROUND(S263 + (R263/Stats!$B$27)*(Stats!$B$21*S263)-(S263*Stats!$B$22),0)</f>
        <v>5</v>
      </c>
      <c r="T264" s="101">
        <f t="shared" si="534"/>
        <v>6966620</v>
      </c>
      <c r="U264" s="99">
        <f xml:space="preserve"> ROUND(U263 + (S263 * Stats!$B$22),0)</f>
        <v>8714725</v>
      </c>
      <c r="V264" s="99">
        <f>ROUND(S264*(Stats!$I$14/100),0)</f>
        <v>0</v>
      </c>
      <c r="W264" s="105" t="str">
        <f t="shared" si="468"/>
        <v/>
      </c>
      <c r="X264" s="118">
        <v>262</v>
      </c>
      <c r="AD264" s="105"/>
      <c r="AF264" s="140">
        <v>3944</v>
      </c>
      <c r="AG264" s="138">
        <f t="shared" si="541"/>
        <v>131</v>
      </c>
      <c r="AH264" s="138">
        <f t="shared" si="542"/>
        <v>3.38</v>
      </c>
      <c r="AI264" s="140">
        <v>36</v>
      </c>
      <c r="AJ264" s="138">
        <f t="shared" si="543"/>
        <v>0</v>
      </c>
      <c r="AK264" s="5">
        <f t="shared" si="544"/>
        <v>0</v>
      </c>
      <c r="AL264" s="5" t="str">
        <f t="shared" si="441"/>
        <v>3</v>
      </c>
      <c r="AM264" s="5" t="str">
        <f t="shared" si="442"/>
        <v>3</v>
      </c>
      <c r="AN264" s="5" t="str">
        <f t="shared" si="443"/>
        <v>9</v>
      </c>
      <c r="AO264" s="5" t="str">
        <f t="shared" si="444"/>
        <v>6</v>
      </c>
    </row>
    <row r="265" spans="1:41" x14ac:dyDescent="0.25">
      <c r="A265" s="206">
        <v>44153</v>
      </c>
      <c r="B265" s="121">
        <v>353232</v>
      </c>
      <c r="C265" s="6">
        <f t="shared" si="557"/>
        <v>4896</v>
      </c>
      <c r="D265" s="19">
        <f t="shared" si="558"/>
        <v>1.41</v>
      </c>
      <c r="E265" s="35">
        <f t="shared" si="559"/>
        <v>139</v>
      </c>
      <c r="F265" s="25">
        <f>ROUND((B265/Stats!$B$8)*100000,0)</f>
        <v>3519</v>
      </c>
      <c r="G265" s="22">
        <f>ROUND((C265/Stats!$B$8)*100000,0)</f>
        <v>49</v>
      </c>
      <c r="H265" s="213">
        <v>7363</v>
      </c>
      <c r="I265" s="6">
        <f t="shared" si="560"/>
        <v>28</v>
      </c>
      <c r="J265" s="35">
        <f t="shared" si="561"/>
        <v>0.38</v>
      </c>
      <c r="K265" s="9">
        <f t="shared" si="562"/>
        <v>2.08</v>
      </c>
      <c r="L265" s="43">
        <f>ROUND(((H265/Stats!$B$8)*100000),0)</f>
        <v>73</v>
      </c>
      <c r="M265" s="96">
        <f>Stats!$B$8-N265</f>
        <v>4403117</v>
      </c>
      <c r="N265" s="97">
        <f>ROUND(Stats!$B$33/(1+(Stats!$B$34*EXP(-1*Stats!$B$32*(X265-$X$25)))),0)</f>
        <v>5635990</v>
      </c>
      <c r="O265" s="101">
        <f t="shared" si="533"/>
        <v>93.732565174884968</v>
      </c>
      <c r="P265" s="97">
        <f>ROUND(N265*(Stats!$I$14/100),0)</f>
        <v>136391</v>
      </c>
      <c r="Q265" s="101">
        <f t="shared" si="467"/>
        <v>94.601549955642241</v>
      </c>
      <c r="R265" s="109">
        <f xml:space="preserve"> ROUND(R264 - ((R264 / Stats!$B$27)*(Stats!$B$21*S264)),0)</f>
        <v>1324953</v>
      </c>
      <c r="S265" s="99">
        <f xml:space="preserve"> ROUND(S264 + (R264/Stats!$B$27)*(Stats!$B$21*S264)-(S264*Stats!$B$22),0)</f>
        <v>5</v>
      </c>
      <c r="T265" s="101">
        <f t="shared" si="534"/>
        <v>7064539.9999999991</v>
      </c>
      <c r="U265" s="99">
        <f xml:space="preserve"> ROUND(U264 + (S264 * Stats!$B$22),0)</f>
        <v>8714726</v>
      </c>
      <c r="V265" s="99">
        <f>ROUND(S265*(Stats!$I$14/100),0)</f>
        <v>0</v>
      </c>
      <c r="W265" s="105" t="str">
        <f t="shared" si="468"/>
        <v/>
      </c>
      <c r="X265" s="118">
        <v>263</v>
      </c>
      <c r="AD265" s="105"/>
      <c r="AE265" s="49" t="s">
        <v>362</v>
      </c>
      <c r="AF265" s="140">
        <v>5031</v>
      </c>
      <c r="AG265" s="138">
        <f t="shared" si="541"/>
        <v>135</v>
      </c>
      <c r="AH265" s="138">
        <f t="shared" si="542"/>
        <v>2.72</v>
      </c>
      <c r="AI265" s="140">
        <v>29</v>
      </c>
      <c r="AJ265" s="138">
        <f t="shared" si="543"/>
        <v>1</v>
      </c>
      <c r="AK265" s="5">
        <f t="shared" si="544"/>
        <v>3.51</v>
      </c>
      <c r="AL265" s="5" t="str">
        <f t="shared" si="441"/>
        <v>5</v>
      </c>
      <c r="AM265" s="5" t="str">
        <f t="shared" si="442"/>
        <v>2</v>
      </c>
      <c r="AN265" s="5" t="str">
        <f t="shared" si="443"/>
        <v>0</v>
      </c>
      <c r="AO265" s="5" t="str">
        <f t="shared" si="444"/>
        <v>9</v>
      </c>
    </row>
    <row r="266" spans="1:41" ht="75" x14ac:dyDescent="0.25">
      <c r="A266" s="206">
        <v>44154</v>
      </c>
      <c r="B266" s="121">
        <v>357451</v>
      </c>
      <c r="C266" s="6">
        <f t="shared" si="557"/>
        <v>4219</v>
      </c>
      <c r="D266" s="19">
        <f t="shared" si="558"/>
        <v>1.19</v>
      </c>
      <c r="E266" s="35">
        <f t="shared" si="559"/>
        <v>118</v>
      </c>
      <c r="F266" s="25">
        <f>ROUND((B266/Stats!$B$8)*100000,0)</f>
        <v>3561</v>
      </c>
      <c r="G266" s="22">
        <f>ROUND((C266/Stats!$B$8)*100000,0)</f>
        <v>42</v>
      </c>
      <c r="H266" s="213">
        <v>7396</v>
      </c>
      <c r="I266" s="6">
        <f t="shared" si="560"/>
        <v>33</v>
      </c>
      <c r="J266" s="35">
        <f t="shared" si="561"/>
        <v>0.45</v>
      </c>
      <c r="K266" s="9">
        <f t="shared" si="562"/>
        <v>2.0699999999999998</v>
      </c>
      <c r="L266" s="43">
        <f>ROUND(((H266/Stats!$B$8)*100000),0)</f>
        <v>74</v>
      </c>
      <c r="M266" s="96">
        <f>Stats!$B$8-N266</f>
        <v>4403117</v>
      </c>
      <c r="N266" s="97">
        <f>ROUND(Stats!$B$33/(1+(Stats!$B$34*EXP(-1*Stats!$B$32*(X266-$X$25)))),0)</f>
        <v>5635990</v>
      </c>
      <c r="O266" s="101">
        <f t="shared" si="533"/>
        <v>93.65770698670508</v>
      </c>
      <c r="P266" s="97">
        <f>ROUND(N266*(Stats!$I$14/100),0)</f>
        <v>136391</v>
      </c>
      <c r="Q266" s="101">
        <f t="shared" si="467"/>
        <v>94.577354810801296</v>
      </c>
      <c r="R266" s="109">
        <f xml:space="preserve"> ROUND(R265 - ((R265 / Stats!$B$27)*(Stats!$B$21*S265)),0)</f>
        <v>1324953</v>
      </c>
      <c r="S266" s="99">
        <f xml:space="preserve"> ROUND(S265 + (R265/Stats!$B$27)*(Stats!$B$21*S265)-(S265*Stats!$B$22),0)</f>
        <v>5</v>
      </c>
      <c r="T266" s="101">
        <f t="shared" si="534"/>
        <v>7148920</v>
      </c>
      <c r="U266" s="99">
        <f xml:space="preserve"> ROUND(U265 + (S265 * Stats!$B$22),0)</f>
        <v>8714727</v>
      </c>
      <c r="V266" s="99">
        <f>ROUND(S266*(Stats!$I$14/100),0)</f>
        <v>0</v>
      </c>
      <c r="W266" s="105" t="str">
        <f t="shared" si="468"/>
        <v/>
      </c>
      <c r="X266" s="118">
        <v>264</v>
      </c>
      <c r="AD266" s="105"/>
      <c r="AE266" s="51" t="s">
        <v>372</v>
      </c>
      <c r="AF266" s="140">
        <v>4272</v>
      </c>
      <c r="AG266" s="138">
        <f t="shared" si="541"/>
        <v>53</v>
      </c>
      <c r="AH266" s="138">
        <f t="shared" si="542"/>
        <v>1.25</v>
      </c>
      <c r="AI266" s="140">
        <v>35</v>
      </c>
      <c r="AJ266" s="138">
        <f t="shared" si="543"/>
        <v>2</v>
      </c>
      <c r="AK266" s="5">
        <f t="shared" si="544"/>
        <v>5.88</v>
      </c>
      <c r="AL266" s="5" t="str">
        <f t="shared" si="441"/>
        <v>4</v>
      </c>
      <c r="AM266" s="5" t="str">
        <f t="shared" si="442"/>
        <v>3</v>
      </c>
      <c r="AN266" s="5" t="str">
        <f t="shared" si="443"/>
        <v>2</v>
      </c>
      <c r="AO266" s="5" t="str">
        <f t="shared" si="444"/>
        <v>5</v>
      </c>
    </row>
    <row r="267" spans="1:41" x14ac:dyDescent="0.25">
      <c r="A267" s="206">
        <v>44155</v>
      </c>
      <c r="B267" s="121">
        <v>361869</v>
      </c>
      <c r="C267" s="6">
        <f t="shared" ref="C267:C269" si="563">B267-B266</f>
        <v>4418</v>
      </c>
      <c r="D267" s="19">
        <f t="shared" ref="D267:D269" si="564">ROUND(((B267/B266)-1)*100,2)</f>
        <v>1.24</v>
      </c>
      <c r="E267" s="35">
        <f t="shared" ref="E267:E269" si="565">IFERROR(ROUND((C267/B267)*10000,0),"")</f>
        <v>122</v>
      </c>
      <c r="F267" s="25">
        <f>ROUND((B267/Stats!$B$8)*100000,0)</f>
        <v>3605</v>
      </c>
      <c r="G267" s="22">
        <f>ROUND((C267/Stats!$B$8)*100000,0)</f>
        <v>44</v>
      </c>
      <c r="H267" s="213">
        <v>7329</v>
      </c>
      <c r="I267" s="47">
        <f t="shared" ref="I267:I269" si="566">H267-H266</f>
        <v>-67</v>
      </c>
      <c r="J267" s="35">
        <f t="shared" ref="J267:J269" si="567">IFERROR(ROUND(((H267/H266)-1)*100,2),"")</f>
        <v>-0.91</v>
      </c>
      <c r="K267" s="9">
        <f t="shared" ref="K267:K269" si="568">IFERROR(ROUND(100*(H267/B267),2),"")</f>
        <v>2.0299999999999998</v>
      </c>
      <c r="L267" s="43">
        <f>ROUND(((H267/Stats!$B$8)*100000),0)</f>
        <v>73</v>
      </c>
      <c r="M267" s="96">
        <f>Stats!$B$8-N267</f>
        <v>4403117</v>
      </c>
      <c r="N267" s="97">
        <f>ROUND(Stats!$B$33/(1+(Stats!$B$34*EXP(-1*Stats!$B$32*(X267-$X$25)))),0)</f>
        <v>5635990</v>
      </c>
      <c r="O267" s="101">
        <f t="shared" si="533"/>
        <v>93.579317919300777</v>
      </c>
      <c r="P267" s="97">
        <f>ROUND(N267*(Stats!$I$14/100),0)</f>
        <v>136391</v>
      </c>
      <c r="Q267" s="101">
        <f t="shared" si="467"/>
        <v>94.626478286690471</v>
      </c>
      <c r="R267" s="109">
        <f xml:space="preserve"> ROUND(R266 - ((R266 / Stats!$B$27)*(Stats!$B$21*S266)),0)</f>
        <v>1324953</v>
      </c>
      <c r="S267" s="99">
        <f xml:space="preserve"> ROUND(S266 + (R266/Stats!$B$27)*(Stats!$B$21*S266)-(S266*Stats!$B$22),0)</f>
        <v>5</v>
      </c>
      <c r="T267" s="101">
        <f t="shared" si="534"/>
        <v>7237280</v>
      </c>
      <c r="U267" s="99">
        <f xml:space="preserve"> ROUND(U266 + (S266 * Stats!$B$22),0)</f>
        <v>8714728</v>
      </c>
      <c r="V267" s="99">
        <f>ROUND(S267*(Stats!$I$14/100),0)</f>
        <v>0</v>
      </c>
      <c r="W267" s="105" t="str">
        <f t="shared" si="468"/>
        <v/>
      </c>
      <c r="X267" s="118">
        <v>265</v>
      </c>
      <c r="AD267" s="105"/>
      <c r="AE267" s="68" t="s">
        <v>375</v>
      </c>
      <c r="AF267" s="140">
        <v>4522</v>
      </c>
      <c r="AG267" s="138">
        <f t="shared" si="541"/>
        <v>104</v>
      </c>
      <c r="AH267" s="138">
        <f t="shared" si="542"/>
        <v>2.33</v>
      </c>
      <c r="AI267" s="163">
        <v>34</v>
      </c>
      <c r="AJ267" s="164">
        <f t="shared" si="543"/>
        <v>101</v>
      </c>
      <c r="AK267" s="209">
        <f t="shared" si="544"/>
        <v>-612.12</v>
      </c>
      <c r="AL267" s="5" t="str">
        <f t="shared" si="441"/>
        <v>4</v>
      </c>
      <c r="AM267" s="5" t="str">
        <f t="shared" si="442"/>
        <v>3</v>
      </c>
      <c r="AN267" s="5" t="str">
        <f t="shared" si="443"/>
        <v>5</v>
      </c>
      <c r="AO267" s="5" t="str">
        <f t="shared" si="444"/>
        <v>4</v>
      </c>
    </row>
    <row r="268" spans="1:41" x14ac:dyDescent="0.25">
      <c r="A268" s="206">
        <v>44156</v>
      </c>
      <c r="B268" s="121">
        <v>364520</v>
      </c>
      <c r="C268" s="6">
        <f t="shared" si="563"/>
        <v>2651</v>
      </c>
      <c r="D268" s="19">
        <f t="shared" si="564"/>
        <v>0.73</v>
      </c>
      <c r="E268" s="35">
        <f t="shared" si="565"/>
        <v>73</v>
      </c>
      <c r="F268" s="25">
        <f>ROUND((B268/Stats!$B$8)*100000,0)</f>
        <v>3631</v>
      </c>
      <c r="G268" s="22">
        <f>ROUND((C268/Stats!$B$8)*100000,0)</f>
        <v>26</v>
      </c>
      <c r="H268" s="213">
        <v>7438</v>
      </c>
      <c r="I268" s="47">
        <f t="shared" si="566"/>
        <v>109</v>
      </c>
      <c r="J268" s="35">
        <f t="shared" si="567"/>
        <v>1.49</v>
      </c>
      <c r="K268" s="9">
        <f t="shared" si="568"/>
        <v>2.04</v>
      </c>
      <c r="L268" s="43">
        <f>ROUND(((H268/Stats!$B$8)*100000),0)</f>
        <v>74</v>
      </c>
      <c r="M268" s="96">
        <f>Stats!$B$8-N268</f>
        <v>4403117</v>
      </c>
      <c r="N268" s="97">
        <f>ROUND(Stats!$B$33/(1+(Stats!$B$34*EXP(-1*Stats!$B$32*(X268-$X$25)))),0)</f>
        <v>5635990</v>
      </c>
      <c r="O268" s="101">
        <f t="shared" si="533"/>
        <v>93.532280930235856</v>
      </c>
      <c r="P268" s="97">
        <f>ROUND(N268*(Stats!$I$14/100),0)</f>
        <v>136391</v>
      </c>
      <c r="Q268" s="101">
        <f t="shared" si="467"/>
        <v>94.546560990094648</v>
      </c>
      <c r="R268" s="109">
        <f xml:space="preserve"> ROUND(R267 - ((R267 / Stats!$B$27)*(Stats!$B$21*S267)),0)</f>
        <v>1324953</v>
      </c>
      <c r="S268" s="99">
        <f xml:space="preserve"> ROUND(S267 + (R267/Stats!$B$27)*(Stats!$B$21*S267)-(S267*Stats!$B$22),0)</f>
        <v>5</v>
      </c>
      <c r="T268" s="101">
        <f t="shared" si="534"/>
        <v>7290300</v>
      </c>
      <c r="U268" s="99">
        <f xml:space="preserve"> ROUND(U267 + (S267 * Stats!$B$22),0)</f>
        <v>8714729</v>
      </c>
      <c r="V268" s="99">
        <f>ROUND(S268*(Stats!$I$14/100),0)</f>
        <v>0</v>
      </c>
      <c r="W268" s="105" t="str">
        <f t="shared" si="468"/>
        <v/>
      </c>
      <c r="X268" s="118">
        <v>266</v>
      </c>
      <c r="AD268" s="105"/>
      <c r="AE268" s="49" t="s">
        <v>373</v>
      </c>
      <c r="AF268" s="140">
        <v>2718</v>
      </c>
      <c r="AG268" s="138">
        <f t="shared" si="541"/>
        <v>67</v>
      </c>
      <c r="AH268" s="138">
        <f t="shared" si="542"/>
        <v>2.5</v>
      </c>
      <c r="AI268" s="163">
        <v>9</v>
      </c>
      <c r="AJ268" s="164">
        <f t="shared" si="543"/>
        <v>-100</v>
      </c>
      <c r="AK268" s="209">
        <f t="shared" si="544"/>
        <v>-169.49</v>
      </c>
      <c r="AL268" s="5" t="str">
        <f t="shared" si="441"/>
        <v>2</v>
      </c>
      <c r="AM268" s="5" t="str">
        <f t="shared" si="442"/>
        <v>9</v>
      </c>
      <c r="AN268" s="5" t="str">
        <f t="shared" si="443"/>
        <v>7</v>
      </c>
      <c r="AO268" s="5" t="str">
        <f t="shared" si="444"/>
        <v>9</v>
      </c>
    </row>
    <row r="269" spans="1:41" x14ac:dyDescent="0.25">
      <c r="A269" s="206">
        <v>44157</v>
      </c>
      <c r="B269" s="121">
        <v>370636</v>
      </c>
      <c r="C269" s="6">
        <f t="shared" si="563"/>
        <v>6116</v>
      </c>
      <c r="D269" s="19">
        <f t="shared" si="564"/>
        <v>1.68</v>
      </c>
      <c r="E269" s="35">
        <f t="shared" si="565"/>
        <v>165</v>
      </c>
      <c r="F269" s="25">
        <f>ROUND((B269/Stats!$B$8)*100000,0)</f>
        <v>3692</v>
      </c>
      <c r="G269" s="22">
        <f>ROUND((C269/Stats!$B$8)*100000,0)</f>
        <v>61</v>
      </c>
      <c r="H269" s="213">
        <v>7446</v>
      </c>
      <c r="I269" s="6">
        <f t="shared" si="566"/>
        <v>8</v>
      </c>
      <c r="J269" s="35">
        <f t="shared" si="567"/>
        <v>0.11</v>
      </c>
      <c r="K269" s="9">
        <f t="shared" si="568"/>
        <v>2.0099999999999998</v>
      </c>
      <c r="L269" s="43">
        <f>ROUND(((H269/Stats!$B$8)*100000),0)</f>
        <v>74</v>
      </c>
      <c r="M269" s="96">
        <f>Stats!$B$8-N269</f>
        <v>4403117</v>
      </c>
      <c r="N269" s="97">
        <f>ROUND(Stats!$B$33/(1+(Stats!$B$34*EXP(-1*Stats!$B$32*(X269-$X$25)))),0)</f>
        <v>5635990</v>
      </c>
      <c r="O269" s="101">
        <f t="shared" si="533"/>
        <v>93.42376405919812</v>
      </c>
      <c r="P269" s="97">
        <f>ROUND(N269*(Stats!$I$14/100),0)</f>
        <v>136391</v>
      </c>
      <c r="Q269" s="101">
        <f t="shared" si="467"/>
        <v>94.540695500436243</v>
      </c>
      <c r="R269" s="109">
        <f xml:space="preserve"> ROUND(R268 - ((R268 / Stats!$B$27)*(Stats!$B$21*S268)),0)</f>
        <v>1324953</v>
      </c>
      <c r="S269" s="99">
        <f xml:space="preserve"> ROUND(S268 + (R268/Stats!$B$27)*(Stats!$B$21*S268)-(S268*Stats!$B$22),0)</f>
        <v>5</v>
      </c>
      <c r="T269" s="101">
        <f t="shared" si="534"/>
        <v>7412620</v>
      </c>
      <c r="U269" s="99">
        <f xml:space="preserve"> ROUND(U268 + (S268 * Stats!$B$22),0)</f>
        <v>8714730</v>
      </c>
      <c r="V269" s="99">
        <f>ROUND(S269*(Stats!$I$14/100),0)</f>
        <v>0</v>
      </c>
      <c r="W269" s="105" t="str">
        <f t="shared" si="468"/>
        <v/>
      </c>
      <c r="X269" s="118">
        <v>267</v>
      </c>
      <c r="AD269" s="105"/>
      <c r="AE269" s="49" t="s">
        <v>374</v>
      </c>
      <c r="AF269" s="140">
        <v>6124</v>
      </c>
      <c r="AG269" s="138">
        <f t="shared" si="541"/>
        <v>8</v>
      </c>
      <c r="AH269" s="138">
        <f t="shared" si="542"/>
        <v>0.13</v>
      </c>
      <c r="AI269" s="140">
        <v>8</v>
      </c>
      <c r="AJ269" s="138">
        <f t="shared" si="543"/>
        <v>0</v>
      </c>
      <c r="AK269" s="5">
        <f t="shared" si="544"/>
        <v>0</v>
      </c>
      <c r="AL269" s="5" t="str">
        <f t="shared" ref="AL269:AL308" si="569">LEFT(AF269,1)</f>
        <v>6</v>
      </c>
      <c r="AM269" s="5" t="str">
        <f t="shared" ref="AM269:AM308" si="570">LEFT(AI269,1)</f>
        <v>8</v>
      </c>
      <c r="AN269" s="5" t="str">
        <f t="shared" ref="AN269:AN308" si="571">RIGHT(LEFT(AF269,2),1)</f>
        <v>1</v>
      </c>
      <c r="AO269" s="5" t="str">
        <f t="shared" ref="AO269:AO308" si="572">RIGHT(LEFT(AI269,2),1)</f>
        <v>8</v>
      </c>
    </row>
    <row r="270" spans="1:41" x14ac:dyDescent="0.25">
      <c r="A270" s="206">
        <v>44158</v>
      </c>
      <c r="B270" s="121">
        <v>374134</v>
      </c>
      <c r="C270" s="6">
        <f t="shared" ref="C270:C275" si="573">B270-B269</f>
        <v>3498</v>
      </c>
      <c r="D270" s="19">
        <f t="shared" ref="D270:D275" si="574">ROUND(((B270/B269)-1)*100,2)</f>
        <v>0.94</v>
      </c>
      <c r="E270" s="35">
        <f t="shared" ref="E270:E275" si="575">IFERROR(ROUND((C270/B270)*10000,0),"")</f>
        <v>93</v>
      </c>
      <c r="F270" s="25">
        <f>ROUND((B270/Stats!$B$8)*100000,0)</f>
        <v>3727</v>
      </c>
      <c r="G270" s="22">
        <f>ROUND((C270/Stats!$B$8)*100000,0)</f>
        <v>35</v>
      </c>
      <c r="H270" s="213">
        <v>7497</v>
      </c>
      <c r="I270" s="6">
        <f t="shared" ref="I270:I275" si="576">H270-H269</f>
        <v>51</v>
      </c>
      <c r="J270" s="35">
        <f t="shared" ref="J270:J275" si="577">IFERROR(ROUND(((H270/H269)-1)*100,2),"")</f>
        <v>0.68</v>
      </c>
      <c r="K270" s="9">
        <f t="shared" ref="K270:K275" si="578">IFERROR(ROUND(100*(H270/B270),2),"")</f>
        <v>2</v>
      </c>
      <c r="L270" s="43">
        <f>ROUND(((H270/Stats!$B$8)*100000),0)</f>
        <v>75</v>
      </c>
      <c r="M270" s="96">
        <f>Stats!$B$8-N270</f>
        <v>4403117</v>
      </c>
      <c r="N270" s="97">
        <f>ROUND(Stats!$B$33/(1+(Stats!$B$34*EXP(-1*Stats!$B$32*(X270-$X$25)))),0)</f>
        <v>5635990</v>
      </c>
      <c r="O270" s="101">
        <f t="shared" si="533"/>
        <v>93.361698654539836</v>
      </c>
      <c r="P270" s="97">
        <f>ROUND(N270*(Stats!$I$14/100),0)</f>
        <v>136391</v>
      </c>
      <c r="Q270" s="101">
        <f t="shared" si="467"/>
        <v>94.503303003863891</v>
      </c>
      <c r="R270" s="109">
        <f xml:space="preserve"> ROUND(R269 - ((R269 / Stats!$B$27)*(Stats!$B$21*S269)),0)</f>
        <v>1324953</v>
      </c>
      <c r="S270" s="99">
        <f xml:space="preserve"> ROUND(S269 + (R269/Stats!$B$27)*(Stats!$B$21*S269)-(S269*Stats!$B$22),0)</f>
        <v>5</v>
      </c>
      <c r="T270" s="101">
        <f t="shared" si="534"/>
        <v>7482580</v>
      </c>
      <c r="U270" s="99">
        <f xml:space="preserve"> ROUND(U269 + (S269 * Stats!$B$22),0)</f>
        <v>8714731</v>
      </c>
      <c r="V270" s="99">
        <f>ROUND(S270*(Stats!$I$14/100),0)</f>
        <v>0</v>
      </c>
      <c r="W270" s="105" t="str">
        <f t="shared" si="468"/>
        <v/>
      </c>
      <c r="X270" s="118">
        <v>268</v>
      </c>
      <c r="AD270" s="105"/>
      <c r="AE270" s="49" t="s">
        <v>376</v>
      </c>
      <c r="AF270" s="140">
        <v>3692</v>
      </c>
      <c r="AG270" s="138">
        <f t="shared" si="541"/>
        <v>194</v>
      </c>
      <c r="AH270" s="138">
        <f t="shared" si="542"/>
        <v>5.4</v>
      </c>
      <c r="AI270" s="140">
        <v>51</v>
      </c>
      <c r="AJ270" s="138">
        <f t="shared" si="543"/>
        <v>0</v>
      </c>
      <c r="AK270" s="5">
        <f t="shared" si="544"/>
        <v>0</v>
      </c>
      <c r="AL270" s="5" t="str">
        <f t="shared" si="569"/>
        <v>3</v>
      </c>
      <c r="AM270" s="5" t="str">
        <f t="shared" si="570"/>
        <v>5</v>
      </c>
      <c r="AN270" s="5" t="str">
        <f t="shared" si="571"/>
        <v>6</v>
      </c>
      <c r="AO270" s="5" t="str">
        <f t="shared" si="572"/>
        <v>1</v>
      </c>
    </row>
    <row r="271" spans="1:41" x14ac:dyDescent="0.25">
      <c r="A271" s="206">
        <v>44159</v>
      </c>
      <c r="B271" s="121">
        <v>378323</v>
      </c>
      <c r="C271" s="6">
        <f t="shared" si="573"/>
        <v>4189</v>
      </c>
      <c r="D271" s="19">
        <f t="shared" si="574"/>
        <v>1.1200000000000001</v>
      </c>
      <c r="E271" s="35">
        <f t="shared" si="575"/>
        <v>111</v>
      </c>
      <c r="F271" s="25">
        <f>ROUND((B271/Stats!$B$8)*100000,0)</f>
        <v>3768</v>
      </c>
      <c r="G271" s="22">
        <f>ROUND((C271/Stats!$B$8)*100000,0)</f>
        <v>42</v>
      </c>
      <c r="H271" s="213">
        <v>7543</v>
      </c>
      <c r="I271" s="6">
        <f t="shared" si="576"/>
        <v>46</v>
      </c>
      <c r="J271" s="35">
        <f t="shared" si="577"/>
        <v>0.61</v>
      </c>
      <c r="K271" s="9">
        <f t="shared" si="578"/>
        <v>1.99</v>
      </c>
      <c r="L271" s="43">
        <f>ROUND(((H271/Stats!$B$8)*100000),0)</f>
        <v>75</v>
      </c>
      <c r="M271" s="96">
        <f>Stats!$B$8-N271</f>
        <v>4403117</v>
      </c>
      <c r="N271" s="97">
        <f>ROUND(Stats!$B$33/(1+(Stats!$B$34*EXP(-1*Stats!$B$32*(X271-$X$25)))),0)</f>
        <v>5635990</v>
      </c>
      <c r="O271" s="101">
        <f t="shared" si="533"/>
        <v>93.287372759710365</v>
      </c>
      <c r="P271" s="97">
        <f>ROUND(N271*(Stats!$I$14/100),0)</f>
        <v>136391</v>
      </c>
      <c r="Q271" s="101">
        <f t="shared" si="467"/>
        <v>94.469576438328033</v>
      </c>
      <c r="R271" s="109">
        <f xml:space="preserve"> ROUND(R270 - ((R270 / Stats!$B$27)*(Stats!$B$21*S270)),0)</f>
        <v>1324953</v>
      </c>
      <c r="S271" s="99">
        <f xml:space="preserve"> ROUND(S270 + (R270/Stats!$B$27)*(Stats!$B$21*S270)-(S270*Stats!$B$22),0)</f>
        <v>5</v>
      </c>
      <c r="T271" s="101">
        <f t="shared" si="534"/>
        <v>7566360.0000000009</v>
      </c>
      <c r="U271" s="99">
        <f xml:space="preserve"> ROUND(U270 + (S270 * Stats!$B$22),0)</f>
        <v>8714732</v>
      </c>
      <c r="V271" s="99">
        <f>ROUND(S271*(Stats!$I$14/100),0)</f>
        <v>0</v>
      </c>
      <c r="W271" s="105" t="str">
        <f t="shared" si="468"/>
        <v/>
      </c>
      <c r="X271" s="118">
        <v>269</v>
      </c>
      <c r="AD271" s="105"/>
      <c r="AF271" s="140">
        <v>4311</v>
      </c>
      <c r="AG271" s="138">
        <f t="shared" si="541"/>
        <v>122</v>
      </c>
      <c r="AH271" s="138">
        <f t="shared" si="542"/>
        <v>2.87</v>
      </c>
      <c r="AI271" s="140">
        <v>49</v>
      </c>
      <c r="AJ271" s="138">
        <f t="shared" si="543"/>
        <v>3</v>
      </c>
      <c r="AK271" s="5">
        <f t="shared" si="544"/>
        <v>6.32</v>
      </c>
      <c r="AL271" s="5" t="str">
        <f t="shared" si="569"/>
        <v>4</v>
      </c>
      <c r="AM271" s="5" t="str">
        <f t="shared" si="570"/>
        <v>4</v>
      </c>
      <c r="AN271" s="5" t="str">
        <f t="shared" si="571"/>
        <v>3</v>
      </c>
      <c r="AO271" s="5" t="str">
        <f t="shared" si="572"/>
        <v>9</v>
      </c>
    </row>
    <row r="272" spans="1:41" x14ac:dyDescent="0.25">
      <c r="A272" s="206">
        <v>44160</v>
      </c>
      <c r="B272" s="121">
        <v>383275</v>
      </c>
      <c r="C272" s="6">
        <f t="shared" si="573"/>
        <v>4952</v>
      </c>
      <c r="D272" s="19">
        <f t="shared" si="574"/>
        <v>1.31</v>
      </c>
      <c r="E272" s="35">
        <f t="shared" si="575"/>
        <v>129</v>
      </c>
      <c r="F272" s="25">
        <f>ROUND((B272/Stats!$B$8)*100000,0)</f>
        <v>3818</v>
      </c>
      <c r="G272" s="22">
        <f>ROUND((C272/Stats!$B$8)*100000,0)</f>
        <v>49</v>
      </c>
      <c r="H272" s="213">
        <v>7580</v>
      </c>
      <c r="I272" s="6">
        <f t="shared" si="576"/>
        <v>37</v>
      </c>
      <c r="J272" s="35">
        <f t="shared" si="577"/>
        <v>0.49</v>
      </c>
      <c r="K272" s="9">
        <f t="shared" si="578"/>
        <v>1.98</v>
      </c>
      <c r="L272" s="43">
        <f>ROUND(((H272/Stats!$B$8)*100000),0)</f>
        <v>76</v>
      </c>
      <c r="M272" s="96">
        <f>Stats!$B$8-N272</f>
        <v>4403117</v>
      </c>
      <c r="N272" s="97">
        <f>ROUND(Stats!$B$33/(1+(Stats!$B$34*EXP(-1*Stats!$B$32*(X272-$X$25)))),0)</f>
        <v>5635990</v>
      </c>
      <c r="O272" s="101">
        <f t="shared" si="533"/>
        <v>93.19950887066868</v>
      </c>
      <c r="P272" s="97">
        <f>ROUND(N272*(Stats!$I$14/100),0)</f>
        <v>136391</v>
      </c>
      <c r="Q272" s="101">
        <f t="shared" si="467"/>
        <v>94.442448548657893</v>
      </c>
      <c r="R272" s="109">
        <f xml:space="preserve"> ROUND(R271 - ((R271 / Stats!$B$27)*(Stats!$B$21*S271)),0)</f>
        <v>1324953</v>
      </c>
      <c r="S272" s="99">
        <f xml:space="preserve"> ROUND(S271 + (R271/Stats!$B$27)*(Stats!$B$21*S271)-(S271*Stats!$B$22),0)</f>
        <v>5</v>
      </c>
      <c r="T272" s="101">
        <f t="shared" si="534"/>
        <v>7665400</v>
      </c>
      <c r="U272" s="99">
        <f xml:space="preserve"> ROUND(U271 + (S271 * Stats!$B$22),0)</f>
        <v>8714733</v>
      </c>
      <c r="V272" s="99">
        <f>ROUND(S272*(Stats!$I$14/100),0)</f>
        <v>0</v>
      </c>
      <c r="W272" s="105" t="str">
        <f t="shared" si="468"/>
        <v/>
      </c>
      <c r="X272" s="118">
        <v>270</v>
      </c>
      <c r="AD272" s="105"/>
      <c r="AF272" s="140">
        <v>5087</v>
      </c>
      <c r="AG272" s="138">
        <f t="shared" si="541"/>
        <v>135</v>
      </c>
      <c r="AH272" s="138">
        <f t="shared" si="542"/>
        <v>2.69</v>
      </c>
      <c r="AI272" s="140">
        <v>37</v>
      </c>
      <c r="AJ272" s="138">
        <f t="shared" si="543"/>
        <v>0</v>
      </c>
      <c r="AK272" s="5">
        <f t="shared" si="544"/>
        <v>0</v>
      </c>
      <c r="AL272" s="5" t="str">
        <f t="shared" si="569"/>
        <v>5</v>
      </c>
      <c r="AM272" s="5" t="str">
        <f t="shared" si="570"/>
        <v>3</v>
      </c>
      <c r="AN272" s="5" t="str">
        <f t="shared" si="571"/>
        <v>0</v>
      </c>
      <c r="AO272" s="5" t="str">
        <f t="shared" si="572"/>
        <v>7</v>
      </c>
    </row>
    <row r="273" spans="1:41" x14ac:dyDescent="0.25">
      <c r="A273" s="206">
        <v>44161</v>
      </c>
      <c r="B273" s="121">
        <v>387793</v>
      </c>
      <c r="C273" s="6">
        <f t="shared" si="573"/>
        <v>4518</v>
      </c>
      <c r="D273" s="19">
        <f t="shared" si="574"/>
        <v>1.18</v>
      </c>
      <c r="E273" s="35">
        <f t="shared" si="575"/>
        <v>117</v>
      </c>
      <c r="F273" s="25">
        <f>ROUND((B273/Stats!$B$8)*100000,0)</f>
        <v>3863</v>
      </c>
      <c r="G273" s="22">
        <f>ROUND((C273/Stats!$B$8)*100000,0)</f>
        <v>45</v>
      </c>
      <c r="H273" s="213">
        <v>7604</v>
      </c>
      <c r="I273" s="6">
        <f t="shared" si="576"/>
        <v>24</v>
      </c>
      <c r="J273" s="35">
        <f t="shared" si="577"/>
        <v>0.32</v>
      </c>
      <c r="K273" s="9">
        <f t="shared" si="578"/>
        <v>1.96</v>
      </c>
      <c r="L273" s="43">
        <f>ROUND(((H273/Stats!$B$8)*100000),0)</f>
        <v>76</v>
      </c>
      <c r="M273" s="96">
        <f>Stats!$B$8-N273</f>
        <v>4403117</v>
      </c>
      <c r="N273" s="97">
        <f>ROUND(Stats!$B$33/(1+(Stats!$B$34*EXP(-1*Stats!$B$32*(X273-$X$25)))),0)</f>
        <v>5635990</v>
      </c>
      <c r="O273" s="101">
        <f t="shared" si="533"/>
        <v>93.119345492096329</v>
      </c>
      <c r="P273" s="97">
        <f>ROUND(N273*(Stats!$I$14/100),0)</f>
        <v>136391</v>
      </c>
      <c r="Q273" s="101">
        <f t="shared" si="467"/>
        <v>94.42485207968268</v>
      </c>
      <c r="R273" s="109">
        <f xml:space="preserve"> ROUND(R272 - ((R272 / Stats!$B$27)*(Stats!$B$21*S272)),0)</f>
        <v>1324953</v>
      </c>
      <c r="S273" s="99">
        <f xml:space="preserve"> ROUND(S272 + (R272/Stats!$B$27)*(Stats!$B$21*S272)-(S272*Stats!$B$22),0)</f>
        <v>5</v>
      </c>
      <c r="T273" s="101">
        <f t="shared" si="534"/>
        <v>7755760.0000000009</v>
      </c>
      <c r="U273" s="99">
        <f xml:space="preserve"> ROUND(U272 + (S272 * Stats!$B$22),0)</f>
        <v>8714734</v>
      </c>
      <c r="V273" s="99">
        <f>ROUND(S273*(Stats!$I$14/100),0)</f>
        <v>0</v>
      </c>
      <c r="W273" s="105" t="str">
        <f t="shared" si="468"/>
        <v/>
      </c>
      <c r="X273" s="118">
        <v>271</v>
      </c>
      <c r="AD273" s="105"/>
      <c r="AE273" s="49" t="s">
        <v>377</v>
      </c>
      <c r="AF273" s="140">
        <v>4544</v>
      </c>
      <c r="AG273" s="138">
        <f t="shared" si="541"/>
        <v>26</v>
      </c>
      <c r="AH273" s="138">
        <f t="shared" si="542"/>
        <v>0.56999999999999995</v>
      </c>
      <c r="AI273" s="140">
        <v>24</v>
      </c>
      <c r="AJ273" s="138">
        <f t="shared" si="543"/>
        <v>0</v>
      </c>
      <c r="AK273" s="5">
        <f t="shared" si="544"/>
        <v>0</v>
      </c>
      <c r="AL273" s="5" t="str">
        <f t="shared" si="569"/>
        <v>4</v>
      </c>
      <c r="AM273" s="5" t="str">
        <f t="shared" si="570"/>
        <v>2</v>
      </c>
      <c r="AN273" s="5" t="str">
        <f t="shared" si="571"/>
        <v>5</v>
      </c>
      <c r="AO273" s="5" t="str">
        <f t="shared" si="572"/>
        <v>4</v>
      </c>
    </row>
    <row r="274" spans="1:41" x14ac:dyDescent="0.25">
      <c r="A274" s="206">
        <v>44162</v>
      </c>
      <c r="B274" s="121">
        <v>390891</v>
      </c>
      <c r="C274" s="6">
        <f t="shared" si="573"/>
        <v>3098</v>
      </c>
      <c r="D274" s="19">
        <f t="shared" si="574"/>
        <v>0.8</v>
      </c>
      <c r="E274" s="35">
        <f t="shared" si="575"/>
        <v>79</v>
      </c>
      <c r="F274" s="25">
        <f>ROUND((B274/Stats!$B$8)*100000,0)</f>
        <v>3894</v>
      </c>
      <c r="G274" s="22">
        <f>ROUND((C274/Stats!$B$8)*100000,0)</f>
        <v>31</v>
      </c>
      <c r="H274" s="213">
        <v>7623</v>
      </c>
      <c r="I274" s="6">
        <f t="shared" si="576"/>
        <v>19</v>
      </c>
      <c r="J274" s="35">
        <f t="shared" si="577"/>
        <v>0.25</v>
      </c>
      <c r="K274" s="9">
        <f t="shared" si="578"/>
        <v>1.95</v>
      </c>
      <c r="L274" s="43">
        <f>ROUND(((H274/Stats!$B$8)*100000),0)</f>
        <v>76</v>
      </c>
      <c r="M274" s="96">
        <f>Stats!$B$8-N274</f>
        <v>4403117</v>
      </c>
      <c r="N274" s="97">
        <f>ROUND(Stats!$B$33/(1+(Stats!$B$34*EXP(-1*Stats!$B$32*(X274-$X$25)))),0)</f>
        <v>5635990</v>
      </c>
      <c r="O274" s="101">
        <f t="shared" si="533"/>
        <v>93.06437733211024</v>
      </c>
      <c r="P274" s="97">
        <f>ROUND(N274*(Stats!$I$14/100),0)</f>
        <v>136391</v>
      </c>
      <c r="Q274" s="101">
        <f t="shared" si="467"/>
        <v>94.41092154174396</v>
      </c>
      <c r="R274" s="109">
        <f xml:space="preserve"> ROUND(R273 - ((R273 / Stats!$B$27)*(Stats!$B$21*S273)),0)</f>
        <v>1324953</v>
      </c>
      <c r="S274" s="99">
        <f xml:space="preserve"> ROUND(S273 + (R273/Stats!$B$27)*(Stats!$B$21*S273)-(S273*Stats!$B$22),0)</f>
        <v>5</v>
      </c>
      <c r="T274" s="101">
        <f t="shared" si="534"/>
        <v>7817720</v>
      </c>
      <c r="U274" s="99">
        <f xml:space="preserve"> ROUND(U273 + (S273 * Stats!$B$22),0)</f>
        <v>8714735</v>
      </c>
      <c r="V274" s="99">
        <f>ROUND(S274*(Stats!$I$14/100),0)</f>
        <v>0</v>
      </c>
      <c r="W274" s="105" t="str">
        <f t="shared" si="468"/>
        <v/>
      </c>
      <c r="X274" s="118">
        <v>272</v>
      </c>
      <c r="AD274" s="105"/>
      <c r="AE274" s="49" t="s">
        <v>378</v>
      </c>
      <c r="AF274" s="140">
        <v>3143</v>
      </c>
      <c r="AG274" s="138">
        <f t="shared" si="541"/>
        <v>45</v>
      </c>
      <c r="AH274" s="138">
        <f t="shared" si="542"/>
        <v>1.44</v>
      </c>
      <c r="AI274" s="140">
        <v>19</v>
      </c>
      <c r="AJ274" s="138">
        <f t="shared" si="543"/>
        <v>0</v>
      </c>
      <c r="AK274" s="5">
        <f t="shared" si="544"/>
        <v>0</v>
      </c>
      <c r="AL274" s="5" t="str">
        <f t="shared" si="569"/>
        <v>3</v>
      </c>
      <c r="AM274" s="5" t="str">
        <f t="shared" si="570"/>
        <v>1</v>
      </c>
      <c r="AN274" s="5" t="str">
        <f t="shared" si="571"/>
        <v>1</v>
      </c>
      <c r="AO274" s="5" t="str">
        <f t="shared" si="572"/>
        <v>9</v>
      </c>
    </row>
    <row r="275" spans="1:41" x14ac:dyDescent="0.25">
      <c r="A275" s="206">
        <v>44163</v>
      </c>
      <c r="B275" s="121">
        <v>395843</v>
      </c>
      <c r="C275" s="6">
        <f t="shared" si="573"/>
        <v>4952</v>
      </c>
      <c r="D275" s="19">
        <f t="shared" si="574"/>
        <v>1.27</v>
      </c>
      <c r="E275" s="35">
        <f t="shared" si="575"/>
        <v>125</v>
      </c>
      <c r="F275" s="25">
        <f>ROUND((B275/Stats!$B$8)*100000,0)</f>
        <v>3943</v>
      </c>
      <c r="G275" s="22">
        <f>ROUND((C275/Stats!$B$8)*100000,0)</f>
        <v>49</v>
      </c>
      <c r="H275" s="213">
        <v>7639</v>
      </c>
      <c r="I275" s="6">
        <f t="shared" si="576"/>
        <v>16</v>
      </c>
      <c r="J275" s="35">
        <f t="shared" si="577"/>
        <v>0.21</v>
      </c>
      <c r="K275" s="9">
        <f t="shared" si="578"/>
        <v>1.93</v>
      </c>
      <c r="L275" s="43">
        <f>ROUND(((H275/Stats!$B$8)*100000),0)</f>
        <v>76</v>
      </c>
      <c r="M275" s="96">
        <f>Stats!$B$8-N275</f>
        <v>4403117</v>
      </c>
      <c r="N275" s="97">
        <f>ROUND(Stats!$B$33/(1+(Stats!$B$34*EXP(-1*Stats!$B$32*(X275-$X$25)))),0)</f>
        <v>5635990</v>
      </c>
      <c r="O275" s="101">
        <f t="shared" si="533"/>
        <v>92.976513443068569</v>
      </c>
      <c r="P275" s="97">
        <f>ROUND(N275*(Stats!$I$14/100),0)</f>
        <v>136391</v>
      </c>
      <c r="Q275" s="101">
        <f t="shared" si="467"/>
        <v>94.399190562427137</v>
      </c>
      <c r="R275" s="109">
        <f xml:space="preserve"> ROUND(R274 - ((R274 / Stats!$B$27)*(Stats!$B$21*S274)),0)</f>
        <v>1324953</v>
      </c>
      <c r="S275" s="99">
        <f xml:space="preserve"> ROUND(S274 + (R274/Stats!$B$27)*(Stats!$B$21*S274)-(S274*Stats!$B$22),0)</f>
        <v>5</v>
      </c>
      <c r="T275" s="101">
        <f t="shared" si="534"/>
        <v>7916760.0000000009</v>
      </c>
      <c r="U275" s="99">
        <f xml:space="preserve"> ROUND(U274 + (S274 * Stats!$B$22),0)</f>
        <v>8714736</v>
      </c>
      <c r="V275" s="99">
        <f>ROUND(S275*(Stats!$I$14/100),0)</f>
        <v>0</v>
      </c>
      <c r="W275" s="105" t="str">
        <f t="shared" si="468"/>
        <v/>
      </c>
      <c r="X275" s="118">
        <v>273</v>
      </c>
      <c r="AD275" s="105"/>
      <c r="AE275" s="49" t="s">
        <v>379</v>
      </c>
      <c r="AF275" s="140">
        <v>5014</v>
      </c>
      <c r="AG275" s="138">
        <f t="shared" si="541"/>
        <v>62</v>
      </c>
      <c r="AH275" s="138">
        <f t="shared" si="542"/>
        <v>1.24</v>
      </c>
      <c r="AI275" s="140">
        <v>16</v>
      </c>
      <c r="AJ275" s="138">
        <f t="shared" si="543"/>
        <v>0</v>
      </c>
      <c r="AK275" s="5">
        <f t="shared" si="544"/>
        <v>0</v>
      </c>
      <c r="AL275" s="5" t="str">
        <f t="shared" si="569"/>
        <v>5</v>
      </c>
      <c r="AM275" s="5" t="str">
        <f t="shared" si="570"/>
        <v>1</v>
      </c>
      <c r="AN275" s="5" t="str">
        <f t="shared" si="571"/>
        <v>0</v>
      </c>
      <c r="AO275" s="5" t="str">
        <f t="shared" si="572"/>
        <v>6</v>
      </c>
    </row>
    <row r="276" spans="1:41" x14ac:dyDescent="0.25">
      <c r="A276" s="206">
        <v>44164</v>
      </c>
      <c r="B276" s="121">
        <v>400919</v>
      </c>
      <c r="C276" s="6">
        <f t="shared" ref="C276" si="579">B276-B275</f>
        <v>5076</v>
      </c>
      <c r="D276" s="19">
        <f t="shared" ref="D276" si="580">ROUND(((B276/B275)-1)*100,2)</f>
        <v>1.28</v>
      </c>
      <c r="E276" s="35">
        <f t="shared" ref="E276" si="581">IFERROR(ROUND((C276/B276)*10000,0),"")</f>
        <v>127</v>
      </c>
      <c r="F276" s="25">
        <f>ROUND((B276/Stats!$B$8)*100000,0)</f>
        <v>3994</v>
      </c>
      <c r="G276" s="22">
        <f>ROUND((C276/Stats!$B$8)*100000,0)</f>
        <v>51</v>
      </c>
      <c r="H276" s="213">
        <v>7655</v>
      </c>
      <c r="I276" s="6">
        <f t="shared" ref="I276" si="582">H276-H275</f>
        <v>16</v>
      </c>
      <c r="J276" s="35">
        <f t="shared" ref="J276" si="583">IFERROR(ROUND(((H276/H275)-1)*100,2),"")</f>
        <v>0.21</v>
      </c>
      <c r="K276" s="9">
        <f t="shared" ref="K276" si="584">IFERROR(ROUND(100*(H276/B276),2),"")</f>
        <v>1.91</v>
      </c>
      <c r="L276" s="43">
        <f>ROUND(((H276/Stats!$B$8)*100000),0)</f>
        <v>76</v>
      </c>
      <c r="M276" s="96">
        <f>Stats!$B$8-N276</f>
        <v>4403117</v>
      </c>
      <c r="N276" s="97">
        <f>ROUND(Stats!$B$33/(1+(Stats!$B$34*EXP(-1*Stats!$B$32*(X276-$X$25)))),0)</f>
        <v>5635990</v>
      </c>
      <c r="O276" s="101">
        <f t="shared" si="533"/>
        <v>92.886449408178507</v>
      </c>
      <c r="P276" s="97">
        <f>ROUND(N276*(Stats!$I$14/100),0)</f>
        <v>136391</v>
      </c>
      <c r="Q276" s="101">
        <f t="shared" si="467"/>
        <v>94.387459583110328</v>
      </c>
      <c r="R276" s="109">
        <f xml:space="preserve"> ROUND(R275 - ((R275 / Stats!$B$27)*(Stats!$B$21*S275)),0)</f>
        <v>1324953</v>
      </c>
      <c r="S276" s="99">
        <f xml:space="preserve"> ROUND(S275 + (R275/Stats!$B$27)*(Stats!$B$21*S275)-(S275*Stats!$B$22),0)</f>
        <v>5</v>
      </c>
      <c r="T276" s="101">
        <f t="shared" si="534"/>
        <v>8018280</v>
      </c>
      <c r="U276" s="99">
        <f xml:space="preserve"> ROUND(U275 + (S275 * Stats!$B$22),0)</f>
        <v>8714737</v>
      </c>
      <c r="V276" s="99">
        <f>ROUND(S276*(Stats!$I$14/100),0)</f>
        <v>0</v>
      </c>
      <c r="W276" s="105" t="str">
        <f t="shared" si="468"/>
        <v/>
      </c>
      <c r="X276" s="118">
        <v>274</v>
      </c>
      <c r="AD276" s="105"/>
      <c r="AF276" s="140">
        <v>5150</v>
      </c>
      <c r="AG276" s="138">
        <f t="shared" si="541"/>
        <v>74</v>
      </c>
      <c r="AH276" s="138">
        <f t="shared" si="542"/>
        <v>1.45</v>
      </c>
      <c r="AI276" s="140">
        <v>17</v>
      </c>
      <c r="AJ276" s="138">
        <f t="shared" si="543"/>
        <v>1</v>
      </c>
      <c r="AK276" s="5">
        <f t="shared" si="544"/>
        <v>6.06</v>
      </c>
      <c r="AL276" s="5" t="str">
        <f t="shared" si="569"/>
        <v>5</v>
      </c>
      <c r="AM276" s="5" t="str">
        <f t="shared" si="570"/>
        <v>1</v>
      </c>
      <c r="AN276" s="5" t="str">
        <f t="shared" si="571"/>
        <v>1</v>
      </c>
      <c r="AO276" s="5" t="str">
        <f t="shared" si="572"/>
        <v>7</v>
      </c>
    </row>
    <row r="277" spans="1:41" x14ac:dyDescent="0.25">
      <c r="A277" s="206">
        <v>44165</v>
      </c>
      <c r="B277" s="121">
        <v>408396</v>
      </c>
      <c r="C277" s="6">
        <f t="shared" ref="C277:C278" si="585">B277-B276</f>
        <v>7477</v>
      </c>
      <c r="D277" s="19">
        <f t="shared" ref="D277:D278" si="586">ROUND(((B277/B276)-1)*100,2)</f>
        <v>1.86</v>
      </c>
      <c r="E277" s="35">
        <f t="shared" ref="E277:E278" si="587">IFERROR(ROUND((C277/B277)*10000,0),"")</f>
        <v>183</v>
      </c>
      <c r="F277" s="25">
        <f>ROUND((B277/Stats!$B$8)*100000,0)</f>
        <v>4068</v>
      </c>
      <c r="G277" s="22">
        <f>ROUND((C277/Stats!$B$8)*100000,0)</f>
        <v>74</v>
      </c>
      <c r="H277" s="213">
        <v>7700</v>
      </c>
      <c r="I277" s="6">
        <f t="shared" ref="I277:I278" si="588">H277-H276</f>
        <v>45</v>
      </c>
      <c r="J277" s="35">
        <f t="shared" ref="J277:J278" si="589">IFERROR(ROUND(((H277/H276)-1)*100,2),"")</f>
        <v>0.59</v>
      </c>
      <c r="K277" s="9">
        <f t="shared" ref="K277:K278" si="590">IFERROR(ROUND(100*(H277/B277),2),"")</f>
        <v>1.89</v>
      </c>
      <c r="L277" s="43">
        <f>ROUND(((H277/Stats!$B$8)*100000),0)</f>
        <v>77</v>
      </c>
      <c r="M277" s="96">
        <f>Stats!$B$8-N277</f>
        <v>4403117</v>
      </c>
      <c r="N277" s="97">
        <f>ROUND(Stats!$B$33/(1+(Stats!$B$34*EXP(-1*Stats!$B$32*(X277-$X$25)))),0)</f>
        <v>5635990</v>
      </c>
      <c r="O277" s="101">
        <f t="shared" si="533"/>
        <v>92.753784162143646</v>
      </c>
      <c r="P277" s="97">
        <f>ROUND(N277*(Stats!$I$14/100),0)</f>
        <v>136391</v>
      </c>
      <c r="Q277" s="101">
        <f t="shared" si="467"/>
        <v>94.354466203781769</v>
      </c>
      <c r="R277" s="109">
        <f xml:space="preserve"> ROUND(R276 - ((R276 / Stats!$B$27)*(Stats!$B$21*S276)),0)</f>
        <v>1324953</v>
      </c>
      <c r="S277" s="99">
        <f xml:space="preserve"> ROUND(S276 + (R276/Stats!$B$27)*(Stats!$B$21*S276)-(S276*Stats!$B$22),0)</f>
        <v>5</v>
      </c>
      <c r="T277" s="101">
        <f t="shared" si="534"/>
        <v>8167820</v>
      </c>
      <c r="U277" s="99">
        <f xml:space="preserve"> ROUND(U276 + (S276 * Stats!$B$22),0)</f>
        <v>8714738</v>
      </c>
      <c r="V277" s="99">
        <f>ROUND(S277*(Stats!$I$14/100),0)</f>
        <v>0</v>
      </c>
      <c r="W277" s="105" t="str">
        <f t="shared" si="468"/>
        <v/>
      </c>
      <c r="X277" s="118">
        <v>275</v>
      </c>
      <c r="AD277" s="105"/>
      <c r="AE277" s="49" t="s">
        <v>520</v>
      </c>
      <c r="AF277" s="140">
        <v>7593</v>
      </c>
      <c r="AG277" s="138">
        <f t="shared" si="541"/>
        <v>116</v>
      </c>
      <c r="AH277" s="138">
        <f t="shared" si="542"/>
        <v>1.54</v>
      </c>
      <c r="AI277" s="140">
        <v>46</v>
      </c>
      <c r="AJ277" s="138">
        <f t="shared" si="543"/>
        <v>1</v>
      </c>
      <c r="AK277" s="5">
        <f t="shared" si="544"/>
        <v>2.2000000000000002</v>
      </c>
      <c r="AL277" s="5" t="str">
        <f t="shared" si="569"/>
        <v>7</v>
      </c>
      <c r="AM277" s="5" t="str">
        <f t="shared" si="570"/>
        <v>4</v>
      </c>
      <c r="AN277" s="5" t="str">
        <f t="shared" si="571"/>
        <v>5</v>
      </c>
      <c r="AO277" s="5" t="str">
        <f t="shared" si="572"/>
        <v>6</v>
      </c>
    </row>
    <row r="278" spans="1:41" ht="135" x14ac:dyDescent="0.25">
      <c r="A278" s="206">
        <v>44166</v>
      </c>
      <c r="B278" s="121">
        <v>414185</v>
      </c>
      <c r="C278" s="6">
        <f t="shared" si="585"/>
        <v>5789</v>
      </c>
      <c r="D278" s="19">
        <f t="shared" si="586"/>
        <v>1.42</v>
      </c>
      <c r="E278" s="35">
        <f t="shared" si="587"/>
        <v>140</v>
      </c>
      <c r="F278" s="25">
        <f>ROUND((B278/Stats!$B$8)*100000,0)</f>
        <v>4126</v>
      </c>
      <c r="G278" s="22">
        <f>ROUND((C278/Stats!$B$8)*100000,0)</f>
        <v>58</v>
      </c>
      <c r="H278" s="213">
        <v>7740</v>
      </c>
      <c r="I278" s="6">
        <f t="shared" si="588"/>
        <v>40</v>
      </c>
      <c r="J278" s="35">
        <f t="shared" si="589"/>
        <v>0.52</v>
      </c>
      <c r="K278" s="9">
        <f t="shared" si="590"/>
        <v>1.87</v>
      </c>
      <c r="L278" s="43">
        <f>ROUND(((H278/Stats!$B$8)*100000),0)</f>
        <v>77</v>
      </c>
      <c r="M278" s="96">
        <f>Stats!$B$8-N278</f>
        <v>4403117</v>
      </c>
      <c r="N278" s="97">
        <f>ROUND(Stats!$B$33/(1+(Stats!$B$34*EXP(-1*Stats!$B$32*(X278-$X$25)))),0)</f>
        <v>5635990</v>
      </c>
      <c r="O278" s="101">
        <f t="shared" si="533"/>
        <v>92.651069288625422</v>
      </c>
      <c r="P278" s="97">
        <f>ROUND(N278*(Stats!$I$14/100),0)</f>
        <v>136391</v>
      </c>
      <c r="Q278" s="101">
        <f t="shared" si="467"/>
        <v>94.325138755489732</v>
      </c>
      <c r="R278" s="109">
        <f xml:space="preserve"> ROUND(R277 - ((R277 / Stats!$B$27)*(Stats!$B$21*S277)),0)</f>
        <v>1324953</v>
      </c>
      <c r="S278" s="99">
        <f xml:space="preserve"> ROUND(S277 + (R277/Stats!$B$27)*(Stats!$B$21*S277)-(S277*Stats!$B$22),0)</f>
        <v>5</v>
      </c>
      <c r="T278" s="101">
        <f t="shared" si="534"/>
        <v>8283600</v>
      </c>
      <c r="U278" s="99">
        <f xml:space="preserve"> ROUND(U277 + (S277 * Stats!$B$22),0)</f>
        <v>8714739</v>
      </c>
      <c r="V278" s="99">
        <f>ROUND(S278*(Stats!$I$14/100),0)</f>
        <v>0</v>
      </c>
      <c r="W278" s="105" t="str">
        <f t="shared" si="468"/>
        <v/>
      </c>
      <c r="X278" s="118">
        <v>276</v>
      </c>
      <c r="AD278" s="105"/>
      <c r="AE278" s="51" t="s">
        <v>521</v>
      </c>
      <c r="AF278" s="140">
        <v>5987</v>
      </c>
      <c r="AG278" s="138">
        <f t="shared" si="541"/>
        <v>198</v>
      </c>
      <c r="AH278" s="138">
        <f t="shared" si="542"/>
        <v>3.36</v>
      </c>
      <c r="AI278" s="140">
        <v>40</v>
      </c>
      <c r="AJ278" s="138">
        <f t="shared" si="543"/>
        <v>0</v>
      </c>
      <c r="AK278" s="5">
        <f t="shared" si="544"/>
        <v>0</v>
      </c>
      <c r="AL278" s="5" t="str">
        <f t="shared" si="569"/>
        <v>5</v>
      </c>
      <c r="AM278" s="5" t="str">
        <f t="shared" si="570"/>
        <v>4</v>
      </c>
      <c r="AN278" s="5" t="str">
        <f t="shared" si="571"/>
        <v>9</v>
      </c>
      <c r="AO278" s="5" t="str">
        <f t="shared" si="572"/>
        <v>0</v>
      </c>
    </row>
    <row r="279" spans="1:41" x14ac:dyDescent="0.25">
      <c r="A279" s="206">
        <v>44167</v>
      </c>
      <c r="B279" s="121">
        <v>421881</v>
      </c>
      <c r="C279" s="6">
        <f t="shared" ref="C279:C294" si="591">B279-B278</f>
        <v>7696</v>
      </c>
      <c r="D279" s="19">
        <f t="shared" ref="D279:D294" si="592">ROUND(((B279/B278)-1)*100,2)</f>
        <v>1.86</v>
      </c>
      <c r="E279" s="35">
        <f t="shared" ref="E279:E294" si="593">IFERROR(ROUND((C279/B279)*10000,0),"")</f>
        <v>182</v>
      </c>
      <c r="F279" s="25">
        <f>ROUND((B279/Stats!$B$8)*100000,0)</f>
        <v>4202</v>
      </c>
      <c r="G279" s="22">
        <f>ROUND((C279/Stats!$B$8)*100000,0)</f>
        <v>77</v>
      </c>
      <c r="H279" s="213">
        <v>7782</v>
      </c>
      <c r="I279" s="6">
        <f t="shared" ref="I279:I294" si="594">H279-H278</f>
        <v>42</v>
      </c>
      <c r="J279" s="35">
        <f t="shared" ref="J279:J294" si="595">IFERROR(ROUND(((H279/H278)-1)*100,2),"")</f>
        <v>0.54</v>
      </c>
      <c r="K279" s="9">
        <f t="shared" ref="K279:K294" si="596">IFERROR(ROUND(100*(H279/B279),2),"")</f>
        <v>1.84</v>
      </c>
      <c r="L279" s="43">
        <f>ROUND(((H279/Stats!$B$8)*100000),0)</f>
        <v>78</v>
      </c>
      <c r="M279" s="96">
        <f>Stats!$B$8-N279</f>
        <v>4403117</v>
      </c>
      <c r="N279" s="97">
        <f>ROUND(Stats!$B$33/(1+(Stats!$B$34*EXP(-1*Stats!$B$32*(X279-$X$25)))),0)</f>
        <v>5635990</v>
      </c>
      <c r="O279" s="101">
        <f t="shared" si="533"/>
        <v>92.51451830113254</v>
      </c>
      <c r="P279" s="97">
        <f>ROUND(N279*(Stats!$I$14/100),0)</f>
        <v>136391</v>
      </c>
      <c r="Q279" s="101">
        <f t="shared" si="467"/>
        <v>94.294344934783098</v>
      </c>
      <c r="R279" s="109">
        <f xml:space="preserve"> ROUND(R278 - ((R278 / Stats!$B$27)*(Stats!$B$21*S278)),0)</f>
        <v>1324953</v>
      </c>
      <c r="S279" s="99">
        <f xml:space="preserve"> ROUND(S278 + (R278/Stats!$B$27)*(Stats!$B$21*S278)-(S278*Stats!$B$22),0)</f>
        <v>5</v>
      </c>
      <c r="T279" s="101">
        <f t="shared" si="534"/>
        <v>8437520</v>
      </c>
      <c r="U279" s="99">
        <f xml:space="preserve"> ROUND(U278 + (S278 * Stats!$B$22),0)</f>
        <v>8714740</v>
      </c>
      <c r="V279" s="99">
        <f>ROUND(S279*(Stats!$I$14/100),0)</f>
        <v>0</v>
      </c>
      <c r="W279" s="105" t="str">
        <f t="shared" si="468"/>
        <v/>
      </c>
      <c r="X279" s="118">
        <v>277</v>
      </c>
      <c r="AD279" s="105"/>
      <c r="AE279" s="49" t="s">
        <v>522</v>
      </c>
      <c r="AF279" s="140">
        <v>7854</v>
      </c>
      <c r="AG279" s="138">
        <f t="shared" si="541"/>
        <v>158</v>
      </c>
      <c r="AH279" s="138">
        <f t="shared" si="542"/>
        <v>2.0299999999999998</v>
      </c>
      <c r="AI279" s="140">
        <v>44</v>
      </c>
      <c r="AJ279" s="138">
        <f t="shared" si="543"/>
        <v>2</v>
      </c>
      <c r="AK279" s="5">
        <f t="shared" si="544"/>
        <v>4.6500000000000004</v>
      </c>
      <c r="AL279" s="5" t="str">
        <f t="shared" si="569"/>
        <v>7</v>
      </c>
      <c r="AM279" s="5" t="str">
        <f t="shared" si="570"/>
        <v>4</v>
      </c>
      <c r="AN279" s="5" t="str">
        <f t="shared" si="571"/>
        <v>8</v>
      </c>
      <c r="AO279" s="5" t="str">
        <f t="shared" si="572"/>
        <v>4</v>
      </c>
    </row>
    <row r="280" spans="1:41" x14ac:dyDescent="0.25">
      <c r="A280" s="206">
        <v>44168</v>
      </c>
      <c r="B280" s="121">
        <v>430583</v>
      </c>
      <c r="C280" s="6">
        <f t="shared" si="591"/>
        <v>8702</v>
      </c>
      <c r="D280" s="19">
        <f t="shared" si="592"/>
        <v>2.06</v>
      </c>
      <c r="E280" s="35">
        <f t="shared" si="593"/>
        <v>202</v>
      </c>
      <c r="F280" s="25">
        <f>ROUND((B280/Stats!$B$8)*100000,0)</f>
        <v>4289</v>
      </c>
      <c r="G280" s="22">
        <f>ROUND((C280/Stats!$B$8)*100000,0)</f>
        <v>87</v>
      </c>
      <c r="H280" s="213">
        <v>7842</v>
      </c>
      <c r="I280" s="6">
        <f t="shared" si="594"/>
        <v>60</v>
      </c>
      <c r="J280" s="35">
        <f t="shared" si="595"/>
        <v>0.77</v>
      </c>
      <c r="K280" s="9">
        <f t="shared" si="596"/>
        <v>1.82</v>
      </c>
      <c r="L280" s="43">
        <f>ROUND(((H280/Stats!$B$8)*100000),0)</f>
        <v>78</v>
      </c>
      <c r="M280" s="96">
        <f>Stats!$B$8-N280</f>
        <v>4403117</v>
      </c>
      <c r="N280" s="97">
        <f>ROUND(Stats!$B$33/(1+(Stats!$B$34*EXP(-1*Stats!$B$32*(X280-$X$25)))),0)</f>
        <v>5635990</v>
      </c>
      <c r="O280" s="101">
        <f t="shared" si="533"/>
        <v>92.360117743289123</v>
      </c>
      <c r="P280" s="97">
        <f>ROUND(N280*(Stats!$I$14/100),0)</f>
        <v>136391</v>
      </c>
      <c r="Q280" s="101">
        <f t="shared" si="467"/>
        <v>94.250353762345014</v>
      </c>
      <c r="R280" s="109">
        <f xml:space="preserve"> ROUND(R279 - ((R279 / Stats!$B$27)*(Stats!$B$21*S279)),0)</f>
        <v>1324953</v>
      </c>
      <c r="S280" s="99">
        <f xml:space="preserve"> ROUND(S279 + (R279/Stats!$B$27)*(Stats!$B$21*S279)-(S279*Stats!$B$22),0)</f>
        <v>5</v>
      </c>
      <c r="T280" s="101">
        <f t="shared" si="534"/>
        <v>8611560</v>
      </c>
      <c r="U280" s="99">
        <f xml:space="preserve"> ROUND(U279 + (S279 * Stats!$B$22),0)</f>
        <v>8714741</v>
      </c>
      <c r="V280" s="99">
        <f>ROUND(S280*(Stats!$I$14/100),0)</f>
        <v>0</v>
      </c>
      <c r="W280" s="105" t="str">
        <f t="shared" si="468"/>
        <v/>
      </c>
      <c r="X280" s="118">
        <v>278</v>
      </c>
      <c r="AD280" s="105"/>
      <c r="AF280" s="140">
        <v>8860</v>
      </c>
      <c r="AG280" s="138">
        <f t="shared" si="541"/>
        <v>158</v>
      </c>
      <c r="AH280" s="138">
        <f t="shared" si="542"/>
        <v>1.8</v>
      </c>
      <c r="AI280" s="140">
        <v>60</v>
      </c>
      <c r="AJ280" s="138">
        <f t="shared" si="543"/>
        <v>0</v>
      </c>
      <c r="AK280" s="5">
        <f t="shared" si="544"/>
        <v>0</v>
      </c>
      <c r="AL280" s="5" t="str">
        <f t="shared" si="569"/>
        <v>8</v>
      </c>
      <c r="AM280" s="5" t="str">
        <f t="shared" si="570"/>
        <v>6</v>
      </c>
      <c r="AN280" s="5" t="str">
        <f t="shared" si="571"/>
        <v>8</v>
      </c>
      <c r="AO280" s="5" t="str">
        <f t="shared" si="572"/>
        <v>0</v>
      </c>
    </row>
    <row r="281" spans="1:41" x14ac:dyDescent="0.25">
      <c r="A281" s="206">
        <v>44169</v>
      </c>
      <c r="B281" s="121">
        <v>439408</v>
      </c>
      <c r="C281" s="6">
        <f t="shared" si="591"/>
        <v>8825</v>
      </c>
      <c r="D281" s="19">
        <f t="shared" si="592"/>
        <v>2.0499999999999998</v>
      </c>
      <c r="E281" s="35">
        <f t="shared" si="593"/>
        <v>201</v>
      </c>
      <c r="F281" s="25">
        <f>ROUND((B281/Stats!$B$8)*100000,0)</f>
        <v>4377</v>
      </c>
      <c r="G281" s="22">
        <f>ROUND((C281/Stats!$B$8)*100000,0)</f>
        <v>88</v>
      </c>
      <c r="H281" s="213">
        <v>7886</v>
      </c>
      <c r="I281" s="6">
        <f t="shared" si="594"/>
        <v>44</v>
      </c>
      <c r="J281" s="35">
        <f t="shared" si="595"/>
        <v>0.56000000000000005</v>
      </c>
      <c r="K281" s="9">
        <f t="shared" si="596"/>
        <v>1.79</v>
      </c>
      <c r="L281" s="43">
        <f>ROUND(((H281/Stats!$B$8)*100000),0)</f>
        <v>79</v>
      </c>
      <c r="M281" s="96">
        <f>Stats!$B$8-N281</f>
        <v>4403117</v>
      </c>
      <c r="N281" s="97">
        <f>ROUND(Stats!$B$33/(1+(Stats!$B$34*EXP(-1*Stats!$B$32*(X281-$X$25)))),0)</f>
        <v>5635990</v>
      </c>
      <c r="O281" s="101">
        <f t="shared" si="533"/>
        <v>92.203534782708985</v>
      </c>
      <c r="P281" s="97">
        <f>ROUND(N281*(Stats!$I$14/100),0)</f>
        <v>136391</v>
      </c>
      <c r="Q281" s="101">
        <f t="shared" ref="Q281:Q308" si="597">IFERROR(ABS((($H281/P281)-1)*100),"")</f>
        <v>94.218093569223768</v>
      </c>
      <c r="R281" s="109">
        <f xml:space="preserve"> ROUND(R280 - ((R280 / Stats!$B$27)*(Stats!$B$21*S280)),0)</f>
        <v>1324953</v>
      </c>
      <c r="S281" s="99">
        <f xml:space="preserve"> ROUND(S280 + (R280/Stats!$B$27)*(Stats!$B$21*S280)-(S280*Stats!$B$22),0)</f>
        <v>5</v>
      </c>
      <c r="T281" s="101">
        <f t="shared" si="534"/>
        <v>8788060</v>
      </c>
      <c r="U281" s="99">
        <f xml:space="preserve"> ROUND(U280 + (S280 * Stats!$B$22),0)</f>
        <v>8714742</v>
      </c>
      <c r="V281" s="99">
        <f>ROUND(S281*(Stats!$I$14/100),0)</f>
        <v>0</v>
      </c>
      <c r="W281" s="105" t="str">
        <f t="shared" ref="W281:W308" si="598">IFERROR(ABS((($H281/V281)-1)*100),"")</f>
        <v/>
      </c>
      <c r="X281" s="118">
        <v>279</v>
      </c>
      <c r="AD281" s="105"/>
      <c r="AE281" s="49" t="s">
        <v>523</v>
      </c>
      <c r="AF281" s="140">
        <v>8949</v>
      </c>
      <c r="AG281" s="138">
        <f t="shared" si="541"/>
        <v>124</v>
      </c>
      <c r="AH281" s="138">
        <f t="shared" si="542"/>
        <v>1.4</v>
      </c>
      <c r="AI281" s="140">
        <v>44</v>
      </c>
      <c r="AJ281" s="138">
        <f t="shared" si="543"/>
        <v>0</v>
      </c>
      <c r="AK281" s="5">
        <f t="shared" si="544"/>
        <v>0</v>
      </c>
      <c r="AL281" s="5" t="str">
        <f t="shared" si="569"/>
        <v>8</v>
      </c>
      <c r="AM281" s="5" t="str">
        <f t="shared" si="570"/>
        <v>4</v>
      </c>
      <c r="AN281" s="5" t="str">
        <f t="shared" si="571"/>
        <v>9</v>
      </c>
      <c r="AO281" s="5" t="str">
        <f t="shared" si="572"/>
        <v>4</v>
      </c>
    </row>
    <row r="282" spans="1:41" x14ac:dyDescent="0.25">
      <c r="A282" s="206">
        <v>44170</v>
      </c>
      <c r="B282" s="121">
        <v>449851</v>
      </c>
      <c r="C282" s="6">
        <f t="shared" si="591"/>
        <v>10443</v>
      </c>
      <c r="D282" s="19">
        <f t="shared" si="592"/>
        <v>2.38</v>
      </c>
      <c r="E282" s="35">
        <f t="shared" si="593"/>
        <v>232</v>
      </c>
      <c r="F282" s="25">
        <f>ROUND((B282/Stats!$B$8)*100000,0)</f>
        <v>4481</v>
      </c>
      <c r="G282" s="22">
        <f>ROUND((C282/Stats!$B$8)*100000,0)</f>
        <v>104</v>
      </c>
      <c r="H282" s="213">
        <v>7909</v>
      </c>
      <c r="I282" s="6">
        <f t="shared" si="594"/>
        <v>23</v>
      </c>
      <c r="J282" s="35">
        <f t="shared" si="595"/>
        <v>0.28999999999999998</v>
      </c>
      <c r="K282" s="9">
        <f t="shared" si="596"/>
        <v>1.76</v>
      </c>
      <c r="L282" s="43">
        <f>ROUND(((H282/Stats!$B$8)*100000),0)</f>
        <v>79</v>
      </c>
      <c r="M282" s="96">
        <f>Stats!$B$8-N282</f>
        <v>4403117</v>
      </c>
      <c r="N282" s="97">
        <f>ROUND(Stats!$B$33/(1+(Stats!$B$34*EXP(-1*Stats!$B$32*(X282-$X$25)))),0)</f>
        <v>5635990</v>
      </c>
      <c r="O282" s="101">
        <f t="shared" si="533"/>
        <v>92.018243467429855</v>
      </c>
      <c r="P282" s="97">
        <f>ROUND(N282*(Stats!$I$14/100),0)</f>
        <v>136391</v>
      </c>
      <c r="Q282" s="101">
        <f t="shared" si="597"/>
        <v>94.201230286455854</v>
      </c>
      <c r="R282" s="109">
        <f xml:space="preserve"> ROUND(R281 - ((R281 / Stats!$B$27)*(Stats!$B$21*S281)),0)</f>
        <v>1324953</v>
      </c>
      <c r="S282" s="99">
        <f xml:space="preserve"> ROUND(S281 + (R281/Stats!$B$27)*(Stats!$B$21*S281)-(S281*Stats!$B$22),0)</f>
        <v>5</v>
      </c>
      <c r="T282" s="101">
        <f t="shared" si="534"/>
        <v>8996920</v>
      </c>
      <c r="U282" s="99">
        <f xml:space="preserve"> ROUND(U281 + (S281 * Stats!$B$22),0)</f>
        <v>8714743</v>
      </c>
      <c r="V282" s="99">
        <f>ROUND(S282*(Stats!$I$14/100),0)</f>
        <v>0</v>
      </c>
      <c r="W282" s="105" t="str">
        <f t="shared" si="598"/>
        <v/>
      </c>
      <c r="X282" s="118">
        <v>280</v>
      </c>
      <c r="AD282" s="105"/>
      <c r="AE282" s="49" t="s">
        <v>524</v>
      </c>
      <c r="AF282" s="140">
        <v>10528</v>
      </c>
      <c r="AG282" s="138">
        <f t="shared" si="541"/>
        <v>85</v>
      </c>
      <c r="AH282" s="138">
        <f t="shared" si="542"/>
        <v>0.81</v>
      </c>
      <c r="AI282" s="140">
        <v>23</v>
      </c>
      <c r="AJ282" s="138">
        <f t="shared" si="543"/>
        <v>0</v>
      </c>
      <c r="AK282" s="5">
        <f t="shared" si="544"/>
        <v>0</v>
      </c>
      <c r="AL282" s="5" t="str">
        <f t="shared" si="569"/>
        <v>1</v>
      </c>
      <c r="AM282" s="5" t="str">
        <f t="shared" si="570"/>
        <v>2</v>
      </c>
      <c r="AN282" s="5" t="str">
        <f t="shared" si="571"/>
        <v>0</v>
      </c>
      <c r="AO282" s="5" t="str">
        <f t="shared" si="572"/>
        <v>3</v>
      </c>
    </row>
    <row r="283" spans="1:41" x14ac:dyDescent="0.25">
      <c r="A283" s="206">
        <v>44171</v>
      </c>
      <c r="B283" s="121">
        <v>457880</v>
      </c>
      <c r="C283" s="6">
        <f t="shared" si="591"/>
        <v>8029</v>
      </c>
      <c r="D283" s="19">
        <f t="shared" si="592"/>
        <v>1.78</v>
      </c>
      <c r="E283" s="35">
        <f t="shared" si="593"/>
        <v>175</v>
      </c>
      <c r="F283" s="25">
        <f>ROUND((B283/Stats!$B$8)*100000,0)</f>
        <v>4561</v>
      </c>
      <c r="G283" s="22">
        <f>ROUND((C283/Stats!$B$8)*100000,0)</f>
        <v>80</v>
      </c>
      <c r="H283" s="213">
        <v>7936</v>
      </c>
      <c r="I283" s="6">
        <f t="shared" si="594"/>
        <v>27</v>
      </c>
      <c r="J283" s="35">
        <f t="shared" si="595"/>
        <v>0.34</v>
      </c>
      <c r="K283" s="9">
        <f t="shared" si="596"/>
        <v>1.73</v>
      </c>
      <c r="L283" s="43">
        <f>ROUND(((H283/Stats!$B$8)*100000),0)</f>
        <v>79</v>
      </c>
      <c r="M283" s="96">
        <f>Stats!$B$8-N283</f>
        <v>4403117</v>
      </c>
      <c r="N283" s="97">
        <f>ROUND(Stats!$B$33/(1+(Stats!$B$34*EXP(-1*Stats!$B$32*(X283-$X$25)))),0)</f>
        <v>5635990</v>
      </c>
      <c r="O283" s="101">
        <f t="shared" si="533"/>
        <v>91.875784023747386</v>
      </c>
      <c r="P283" s="97">
        <f>ROUND(N283*(Stats!$I$14/100),0)</f>
        <v>136391</v>
      </c>
      <c r="Q283" s="101">
        <f t="shared" si="597"/>
        <v>94.181434258858715</v>
      </c>
      <c r="R283" s="109">
        <f xml:space="preserve"> ROUND(R282 - ((R282 / Stats!$B$27)*(Stats!$B$21*S282)),0)</f>
        <v>1324953</v>
      </c>
      <c r="S283" s="99">
        <f xml:space="preserve"> ROUND(S282 + (R282/Stats!$B$27)*(Stats!$B$21*S282)-(S282*Stats!$B$22),0)</f>
        <v>5</v>
      </c>
      <c r="T283" s="101">
        <f t="shared" si="534"/>
        <v>9157500</v>
      </c>
      <c r="U283" s="99">
        <f xml:space="preserve"> ROUND(U282 + (S282 * Stats!$B$22),0)</f>
        <v>8714744</v>
      </c>
      <c r="V283" s="99">
        <f>ROUND(S283*(Stats!$I$14/100),0)</f>
        <v>0</v>
      </c>
      <c r="W283" s="105" t="str">
        <f t="shared" si="598"/>
        <v/>
      </c>
      <c r="X283" s="118">
        <v>281</v>
      </c>
      <c r="AD283" s="105"/>
      <c r="AE283" s="49" t="s">
        <v>525</v>
      </c>
      <c r="AF283" s="140">
        <v>8086</v>
      </c>
      <c r="AG283" s="138">
        <f t="shared" si="541"/>
        <v>57</v>
      </c>
      <c r="AH283" s="138">
        <f t="shared" si="542"/>
        <v>0.71</v>
      </c>
      <c r="AI283" s="140">
        <v>27</v>
      </c>
      <c r="AJ283" s="138">
        <f t="shared" si="543"/>
        <v>0</v>
      </c>
      <c r="AK283" s="5">
        <f t="shared" si="544"/>
        <v>0</v>
      </c>
      <c r="AL283" s="5" t="str">
        <f t="shared" si="569"/>
        <v>8</v>
      </c>
      <c r="AM283" s="5" t="str">
        <f t="shared" si="570"/>
        <v>2</v>
      </c>
      <c r="AN283" s="5" t="str">
        <f t="shared" si="571"/>
        <v>0</v>
      </c>
      <c r="AO283" s="5" t="str">
        <f t="shared" si="572"/>
        <v>7</v>
      </c>
    </row>
    <row r="284" spans="1:41" x14ac:dyDescent="0.25">
      <c r="A284" s="206">
        <v>44172</v>
      </c>
      <c r="B284" s="121">
        <v>466321</v>
      </c>
      <c r="C284" s="6">
        <f t="shared" si="591"/>
        <v>8441</v>
      </c>
      <c r="D284" s="19">
        <f t="shared" si="592"/>
        <v>1.84</v>
      </c>
      <c r="E284" s="35">
        <f t="shared" si="593"/>
        <v>181</v>
      </c>
      <c r="F284" s="25">
        <f>ROUND((B284/Stats!$B$8)*100000,0)</f>
        <v>4645</v>
      </c>
      <c r="G284" s="22">
        <f>ROUND((C284/Stats!$B$8)*100000,0)</f>
        <v>84</v>
      </c>
      <c r="H284" s="213">
        <v>8000</v>
      </c>
      <c r="I284" s="6">
        <f t="shared" si="594"/>
        <v>64</v>
      </c>
      <c r="J284" s="35">
        <f t="shared" si="595"/>
        <v>0.81</v>
      </c>
      <c r="K284" s="9">
        <f t="shared" si="596"/>
        <v>1.72</v>
      </c>
      <c r="L284" s="43">
        <f>ROUND(((H284/Stats!$B$8)*100000),0)</f>
        <v>80</v>
      </c>
      <c r="M284" s="96">
        <f>Stats!$B$8-N284</f>
        <v>4403117</v>
      </c>
      <c r="N284" s="97">
        <f>ROUND(Stats!$B$33/(1+(Stats!$B$34*EXP(-1*Stats!$B$32*(X284-$X$25)))),0)</f>
        <v>5635990</v>
      </c>
      <c r="O284" s="101">
        <f t="shared" si="533"/>
        <v>91.726014418052543</v>
      </c>
      <c r="P284" s="97">
        <f>ROUND(N284*(Stats!$I$14/100),0)</f>
        <v>136391</v>
      </c>
      <c r="Q284" s="101">
        <f t="shared" si="597"/>
        <v>94.134510341591465</v>
      </c>
      <c r="R284" s="109">
        <f xml:space="preserve"> ROUND(R283 - ((R283 / Stats!$B$27)*(Stats!$B$21*S283)),0)</f>
        <v>1324953</v>
      </c>
      <c r="S284" s="99">
        <f xml:space="preserve"> ROUND(S283 + (R283/Stats!$B$27)*(Stats!$B$21*S283)-(S283*Stats!$B$22),0)</f>
        <v>5</v>
      </c>
      <c r="T284" s="101">
        <f t="shared" si="534"/>
        <v>9326320</v>
      </c>
      <c r="U284" s="99">
        <f xml:space="preserve"> ROUND(U283 + (S283 * Stats!$B$22),0)</f>
        <v>8714745</v>
      </c>
      <c r="V284" s="99">
        <f>ROUND(S284*(Stats!$I$14/100),0)</f>
        <v>0</v>
      </c>
      <c r="W284" s="105" t="str">
        <f t="shared" si="598"/>
        <v/>
      </c>
      <c r="X284" s="118">
        <v>282</v>
      </c>
      <c r="AD284" s="105"/>
      <c r="AE284" s="49" t="s">
        <v>526</v>
      </c>
      <c r="AF284" s="140">
        <v>8547</v>
      </c>
      <c r="AG284" s="138">
        <f t="shared" si="541"/>
        <v>106</v>
      </c>
      <c r="AH284" s="138">
        <f t="shared" si="542"/>
        <v>1.25</v>
      </c>
      <c r="AI284" s="140">
        <v>64</v>
      </c>
      <c r="AJ284" s="138">
        <f t="shared" si="543"/>
        <v>0</v>
      </c>
      <c r="AK284" s="5">
        <f t="shared" si="544"/>
        <v>0</v>
      </c>
      <c r="AL284" s="5" t="str">
        <f t="shared" si="569"/>
        <v>8</v>
      </c>
      <c r="AM284" s="5" t="str">
        <f t="shared" si="570"/>
        <v>6</v>
      </c>
      <c r="AN284" s="5" t="str">
        <f t="shared" si="571"/>
        <v>5</v>
      </c>
      <c r="AO284" s="5" t="str">
        <f t="shared" si="572"/>
        <v>4</v>
      </c>
    </row>
    <row r="285" spans="1:41" x14ac:dyDescent="0.25">
      <c r="A285" s="206">
        <v>44173</v>
      </c>
      <c r="B285" s="121">
        <v>475271</v>
      </c>
      <c r="C285" s="6">
        <f t="shared" si="591"/>
        <v>8950</v>
      </c>
      <c r="D285" s="19">
        <f t="shared" si="592"/>
        <v>1.92</v>
      </c>
      <c r="E285" s="35">
        <f t="shared" si="593"/>
        <v>188</v>
      </c>
      <c r="F285" s="25">
        <f>ROUND((B285/Stats!$B$8)*100000,0)</f>
        <v>4734</v>
      </c>
      <c r="G285" s="22">
        <f>ROUND((C285/Stats!$B$8)*100000,0)</f>
        <v>89</v>
      </c>
      <c r="H285" s="213">
        <v>8075</v>
      </c>
      <c r="I285" s="6">
        <f t="shared" si="594"/>
        <v>75</v>
      </c>
      <c r="J285" s="35">
        <f t="shared" si="595"/>
        <v>0.94</v>
      </c>
      <c r="K285" s="9">
        <f t="shared" si="596"/>
        <v>1.7</v>
      </c>
      <c r="L285" s="43">
        <f>ROUND(((H285/Stats!$B$8)*100000),0)</f>
        <v>80</v>
      </c>
      <c r="M285" s="96">
        <f>Stats!$B$8-N285</f>
        <v>4403117</v>
      </c>
      <c r="N285" s="97">
        <f>ROUND(Stats!$B$33/(1+(Stats!$B$34*EXP(-1*Stats!$B$32*(X285-$X$25)))),0)</f>
        <v>5635990</v>
      </c>
      <c r="O285" s="101">
        <f t="shared" si="533"/>
        <v>91.567213568512358</v>
      </c>
      <c r="P285" s="97">
        <f>ROUND(N285*(Stats!$I$14/100),0)</f>
        <v>136391</v>
      </c>
      <c r="Q285" s="101">
        <f t="shared" si="597"/>
        <v>94.079521376043871</v>
      </c>
      <c r="R285" s="109">
        <f xml:space="preserve"> ROUND(R284 - ((R284 / Stats!$B$27)*(Stats!$B$21*S284)),0)</f>
        <v>1324953</v>
      </c>
      <c r="S285" s="99">
        <f xml:space="preserve"> ROUND(S284 + (R284/Stats!$B$27)*(Stats!$B$21*S284)-(S284*Stats!$B$22),0)</f>
        <v>5</v>
      </c>
      <c r="T285" s="101">
        <f t="shared" si="534"/>
        <v>9505320</v>
      </c>
      <c r="U285" s="99">
        <f xml:space="preserve"> ROUND(U284 + (S284 * Stats!$B$22),0)</f>
        <v>8714746</v>
      </c>
      <c r="V285" s="99">
        <f>ROUND(S285*(Stats!$I$14/100),0)</f>
        <v>0</v>
      </c>
      <c r="W285" s="105" t="str">
        <f t="shared" si="598"/>
        <v/>
      </c>
      <c r="X285" s="118">
        <v>283</v>
      </c>
      <c r="AD285" s="105"/>
      <c r="AF285" s="140">
        <v>9243</v>
      </c>
      <c r="AG285" s="138">
        <f t="shared" si="541"/>
        <v>293</v>
      </c>
      <c r="AH285" s="138">
        <f t="shared" si="542"/>
        <v>3.22</v>
      </c>
      <c r="AI285" s="140">
        <v>75</v>
      </c>
      <c r="AJ285" s="138">
        <f t="shared" si="543"/>
        <v>0</v>
      </c>
      <c r="AK285" s="5">
        <f t="shared" si="544"/>
        <v>0</v>
      </c>
      <c r="AL285" s="5" t="str">
        <f t="shared" si="569"/>
        <v>9</v>
      </c>
      <c r="AM285" s="5" t="str">
        <f t="shared" si="570"/>
        <v>7</v>
      </c>
      <c r="AN285" s="5" t="str">
        <f t="shared" si="571"/>
        <v>2</v>
      </c>
      <c r="AO285" s="5" t="str">
        <f t="shared" si="572"/>
        <v>5</v>
      </c>
    </row>
    <row r="286" spans="1:41" x14ac:dyDescent="0.25">
      <c r="A286" s="206">
        <v>44174</v>
      </c>
      <c r="B286" s="121">
        <v>487917</v>
      </c>
      <c r="C286" s="6">
        <f t="shared" si="591"/>
        <v>12646</v>
      </c>
      <c r="D286" s="19">
        <f t="shared" si="592"/>
        <v>2.66</v>
      </c>
      <c r="E286" s="35">
        <f t="shared" si="593"/>
        <v>259</v>
      </c>
      <c r="F286" s="25">
        <f>ROUND((B286/Stats!$B$8)*100000,0)</f>
        <v>4860</v>
      </c>
      <c r="G286" s="22">
        <f>ROUND((C286/Stats!$B$8)*100000,0)</f>
        <v>126</v>
      </c>
      <c r="H286" s="213">
        <v>8149</v>
      </c>
      <c r="I286" s="6">
        <f t="shared" si="594"/>
        <v>74</v>
      </c>
      <c r="J286" s="35">
        <f t="shared" si="595"/>
        <v>0.92</v>
      </c>
      <c r="K286" s="9">
        <f t="shared" si="596"/>
        <v>1.67</v>
      </c>
      <c r="L286" s="43">
        <f>ROUND(((H286/Stats!$B$8)*100000),0)</f>
        <v>81</v>
      </c>
      <c r="M286" s="96">
        <f>Stats!$B$8-N286</f>
        <v>4403117</v>
      </c>
      <c r="N286" s="97">
        <f>ROUND(Stats!$B$33/(1+(Stats!$B$34*EXP(-1*Stats!$B$32*(X286-$X$25)))),0)</f>
        <v>5635990</v>
      </c>
      <c r="O286" s="101">
        <f t="shared" si="533"/>
        <v>91.342834178201173</v>
      </c>
      <c r="P286" s="97">
        <f>ROUND(N286*(Stats!$I$14/100),0)</f>
        <v>136391</v>
      </c>
      <c r="Q286" s="101">
        <f t="shared" si="597"/>
        <v>94.025265596703605</v>
      </c>
      <c r="R286" s="109">
        <f xml:space="preserve"> ROUND(R285 - ((R285 / Stats!$B$27)*(Stats!$B$21*S285)),0)</f>
        <v>1324953</v>
      </c>
      <c r="S286" s="99">
        <f xml:space="preserve"> ROUND(S285 + (R285/Stats!$B$27)*(Stats!$B$21*S285)-(S285*Stats!$B$22),0)</f>
        <v>5</v>
      </c>
      <c r="T286" s="101">
        <f t="shared" si="534"/>
        <v>9758240</v>
      </c>
      <c r="U286" s="99">
        <f xml:space="preserve"> ROUND(U285 + (S285 * Stats!$B$22),0)</f>
        <v>8714747</v>
      </c>
      <c r="V286" s="99">
        <f>ROUND(S286*(Stats!$I$14/100),0)</f>
        <v>0</v>
      </c>
      <c r="W286" s="105" t="str">
        <f t="shared" si="598"/>
        <v/>
      </c>
      <c r="X286" s="118">
        <v>284</v>
      </c>
      <c r="AD286" s="105"/>
      <c r="AE286" s="49" t="s">
        <v>527</v>
      </c>
      <c r="AF286" s="140">
        <v>12819</v>
      </c>
      <c r="AG286" s="138">
        <f t="shared" si="541"/>
        <v>173</v>
      </c>
      <c r="AH286" s="138">
        <f t="shared" si="542"/>
        <v>1.36</v>
      </c>
      <c r="AI286" s="140">
        <v>74</v>
      </c>
      <c r="AJ286" s="138">
        <f t="shared" si="543"/>
        <v>0</v>
      </c>
      <c r="AK286" s="5">
        <f t="shared" si="544"/>
        <v>0</v>
      </c>
      <c r="AL286" s="5" t="str">
        <f t="shared" si="569"/>
        <v>1</v>
      </c>
      <c r="AM286" s="5" t="str">
        <f t="shared" si="570"/>
        <v>7</v>
      </c>
      <c r="AN286" s="5" t="str">
        <f t="shared" si="571"/>
        <v>2</v>
      </c>
      <c r="AO286" s="5" t="str">
        <f t="shared" si="572"/>
        <v>4</v>
      </c>
    </row>
    <row r="287" spans="1:41" x14ac:dyDescent="0.25">
      <c r="A287" s="206">
        <v>44175</v>
      </c>
      <c r="B287" s="121">
        <v>501635</v>
      </c>
      <c r="C287" s="6">
        <f t="shared" si="591"/>
        <v>13718</v>
      </c>
      <c r="D287" s="19">
        <f t="shared" si="592"/>
        <v>2.81</v>
      </c>
      <c r="E287" s="35">
        <f t="shared" si="593"/>
        <v>273</v>
      </c>
      <c r="F287" s="25">
        <f>ROUND((B287/Stats!$B$8)*100000,0)</f>
        <v>4997</v>
      </c>
      <c r="G287" s="22">
        <f>ROUND((C287/Stats!$B$8)*100000,0)</f>
        <v>137</v>
      </c>
      <c r="H287" s="213">
        <v>8199</v>
      </c>
      <c r="I287" s="6">
        <f t="shared" si="594"/>
        <v>50</v>
      </c>
      <c r="J287" s="35">
        <f t="shared" si="595"/>
        <v>0.61</v>
      </c>
      <c r="K287" s="9">
        <f t="shared" si="596"/>
        <v>1.63</v>
      </c>
      <c r="L287" s="43">
        <f>ROUND(((H287/Stats!$B$8)*100000),0)</f>
        <v>82</v>
      </c>
      <c r="M287" s="96">
        <f>Stats!$B$8-N287</f>
        <v>4403117</v>
      </c>
      <c r="N287" s="97">
        <f>ROUND(Stats!$B$33/(1+(Stats!$B$34*EXP(-1*Stats!$B$32*(X287-$X$25)))),0)</f>
        <v>5635990</v>
      </c>
      <c r="O287" s="101">
        <f t="shared" si="533"/>
        <v>91.099434172168515</v>
      </c>
      <c r="P287" s="97">
        <f>ROUND(N287*(Stats!$I$14/100),0)</f>
        <v>136391</v>
      </c>
      <c r="Q287" s="101">
        <f t="shared" si="597"/>
        <v>93.988606286338538</v>
      </c>
      <c r="R287" s="109">
        <f xml:space="preserve"> ROUND(R286 - ((R286 / Stats!$B$27)*(Stats!$B$21*S286)),0)</f>
        <v>1324953</v>
      </c>
      <c r="S287" s="99">
        <f xml:space="preserve"> ROUND(S286 + (R286/Stats!$B$27)*(Stats!$B$21*S286)-(S286*Stats!$B$22),0)</f>
        <v>5</v>
      </c>
      <c r="T287" s="101">
        <f t="shared" si="534"/>
        <v>10032600</v>
      </c>
      <c r="U287" s="99">
        <f xml:space="preserve"> ROUND(U286 + (S286 * Stats!$B$22),0)</f>
        <v>8714748</v>
      </c>
      <c r="V287" s="99">
        <f>ROUND(S287*(Stats!$I$14/100),0)</f>
        <v>0</v>
      </c>
      <c r="W287" s="105" t="str">
        <f t="shared" si="598"/>
        <v/>
      </c>
      <c r="X287" s="118">
        <v>285</v>
      </c>
      <c r="AD287" s="105"/>
      <c r="AE287" s="49" t="s">
        <v>528</v>
      </c>
      <c r="AF287" s="140">
        <v>13815</v>
      </c>
      <c r="AG287" s="138">
        <f t="shared" si="541"/>
        <v>97</v>
      </c>
      <c r="AH287" s="138">
        <f t="shared" si="542"/>
        <v>0.7</v>
      </c>
      <c r="AI287" s="140">
        <v>50</v>
      </c>
      <c r="AJ287" s="138">
        <f t="shared" si="543"/>
        <v>0</v>
      </c>
      <c r="AK287" s="5">
        <f t="shared" si="544"/>
        <v>0</v>
      </c>
      <c r="AL287" s="5" t="str">
        <f t="shared" si="569"/>
        <v>1</v>
      </c>
      <c r="AM287" s="5" t="str">
        <f t="shared" si="570"/>
        <v>5</v>
      </c>
      <c r="AN287" s="5" t="str">
        <f t="shared" si="571"/>
        <v>3</v>
      </c>
      <c r="AO287" s="5" t="str">
        <f t="shared" si="572"/>
        <v>0</v>
      </c>
    </row>
    <row r="288" spans="1:41" x14ac:dyDescent="0.25">
      <c r="A288" s="206">
        <v>44176</v>
      </c>
      <c r="B288" s="121">
        <v>512872</v>
      </c>
      <c r="C288" s="6">
        <f t="shared" si="591"/>
        <v>11237</v>
      </c>
      <c r="D288" s="19">
        <f t="shared" si="592"/>
        <v>2.2400000000000002</v>
      </c>
      <c r="E288" s="35">
        <f t="shared" si="593"/>
        <v>219</v>
      </c>
      <c r="F288" s="25">
        <f>ROUND((B288/Stats!$B$8)*100000,0)</f>
        <v>5109</v>
      </c>
      <c r="G288" s="22">
        <f>ROUND((C288/Stats!$B$8)*100000,0)</f>
        <v>112</v>
      </c>
      <c r="H288" s="213">
        <v>8269</v>
      </c>
      <c r="I288" s="6">
        <f t="shared" si="594"/>
        <v>70</v>
      </c>
      <c r="J288" s="35">
        <f t="shared" si="595"/>
        <v>0.85</v>
      </c>
      <c r="K288" s="9">
        <f t="shared" si="596"/>
        <v>1.61</v>
      </c>
      <c r="L288" s="43">
        <f>ROUND(((H288/Stats!$B$8)*100000),0)</f>
        <v>82</v>
      </c>
      <c r="M288" s="96">
        <f>Stats!$B$8-N288</f>
        <v>4403117</v>
      </c>
      <c r="N288" s="97">
        <f>ROUND(Stats!$B$33/(1+(Stats!$B$34*EXP(-1*Stats!$B$32*(X288-$X$25)))),0)</f>
        <v>5635990</v>
      </c>
      <c r="O288" s="101">
        <f t="shared" si="533"/>
        <v>90.900054826215097</v>
      </c>
      <c r="P288" s="97">
        <f>ROUND(N288*(Stats!$I$14/100),0)</f>
        <v>136391</v>
      </c>
      <c r="Q288" s="101">
        <f t="shared" si="597"/>
        <v>93.937283251827466</v>
      </c>
      <c r="R288" s="109">
        <f xml:space="preserve"> ROUND(R287 - ((R287 / Stats!$B$27)*(Stats!$B$21*S287)),0)</f>
        <v>1324953</v>
      </c>
      <c r="S288" s="99">
        <f xml:space="preserve"> ROUND(S287 + (R287/Stats!$B$27)*(Stats!$B$21*S287)-(S287*Stats!$B$22),0)</f>
        <v>5</v>
      </c>
      <c r="T288" s="101">
        <f t="shared" si="534"/>
        <v>10257340</v>
      </c>
      <c r="U288" s="99">
        <f xml:space="preserve"> ROUND(U287 + (S287 * Stats!$B$22),0)</f>
        <v>8714749</v>
      </c>
      <c r="V288" s="99">
        <f>ROUND(S288*(Stats!$I$14/100),0)</f>
        <v>0</v>
      </c>
      <c r="W288" s="105" t="str">
        <f t="shared" si="598"/>
        <v/>
      </c>
      <c r="X288" s="118">
        <v>286</v>
      </c>
      <c r="AD288" s="105"/>
      <c r="AE288" s="49" t="s">
        <v>529</v>
      </c>
      <c r="AF288" s="140">
        <v>11476</v>
      </c>
      <c r="AG288" s="138">
        <f t="shared" si="541"/>
        <v>239</v>
      </c>
      <c r="AH288" s="138">
        <f t="shared" si="542"/>
        <v>2.1</v>
      </c>
      <c r="AI288" s="140">
        <v>70</v>
      </c>
      <c r="AJ288" s="138">
        <f t="shared" si="543"/>
        <v>0</v>
      </c>
      <c r="AK288" s="5">
        <f t="shared" si="544"/>
        <v>0</v>
      </c>
      <c r="AL288" s="5" t="str">
        <f t="shared" si="569"/>
        <v>1</v>
      </c>
      <c r="AM288" s="5" t="str">
        <f t="shared" si="570"/>
        <v>7</v>
      </c>
      <c r="AN288" s="5" t="str">
        <f t="shared" si="571"/>
        <v>1</v>
      </c>
      <c r="AO288" s="5" t="str">
        <f t="shared" si="572"/>
        <v>0</v>
      </c>
    </row>
    <row r="289" spans="1:41" x14ac:dyDescent="0.25">
      <c r="A289" s="206">
        <v>44177</v>
      </c>
      <c r="B289" s="121">
        <v>525486</v>
      </c>
      <c r="C289" s="6">
        <f t="shared" si="591"/>
        <v>12614</v>
      </c>
      <c r="D289" s="19">
        <f t="shared" si="592"/>
        <v>2.46</v>
      </c>
      <c r="E289" s="35">
        <f t="shared" si="593"/>
        <v>240</v>
      </c>
      <c r="F289" s="25">
        <f>ROUND((B289/Stats!$B$8)*100000,0)</f>
        <v>5234</v>
      </c>
      <c r="G289" s="22">
        <f>ROUND((C289/Stats!$B$8)*100000,0)</f>
        <v>126</v>
      </c>
      <c r="H289" s="213">
        <v>8298</v>
      </c>
      <c r="I289" s="6">
        <f t="shared" si="594"/>
        <v>29</v>
      </c>
      <c r="J289" s="35">
        <f t="shared" si="595"/>
        <v>0.35</v>
      </c>
      <c r="K289" s="9">
        <f t="shared" si="596"/>
        <v>1.58</v>
      </c>
      <c r="L289" s="43">
        <f>ROUND(((H289/Stats!$B$8)*100000),0)</f>
        <v>83</v>
      </c>
      <c r="M289" s="96">
        <f>Stats!$B$8-N289</f>
        <v>4403117</v>
      </c>
      <c r="N289" s="97">
        <f>ROUND(Stats!$B$33/(1+(Stats!$B$34*EXP(-1*Stats!$B$32*(X289-$X$25)))),0)</f>
        <v>5635990</v>
      </c>
      <c r="O289" s="101">
        <f t="shared" si="533"/>
        <v>90.676243215477669</v>
      </c>
      <c r="P289" s="97">
        <f>ROUND(N289*(Stats!$I$14/100),0)</f>
        <v>136391</v>
      </c>
      <c r="Q289" s="101">
        <f t="shared" si="597"/>
        <v>93.916020851815745</v>
      </c>
      <c r="R289" s="109">
        <f xml:space="preserve"> ROUND(R288 - ((R288 / Stats!$B$27)*(Stats!$B$21*S288)),0)</f>
        <v>1324953</v>
      </c>
      <c r="S289" s="99">
        <f xml:space="preserve"> ROUND(S288 + (R288/Stats!$B$27)*(Stats!$B$21*S288)-(S288*Stats!$B$22),0)</f>
        <v>5</v>
      </c>
      <c r="T289" s="101">
        <f t="shared" si="534"/>
        <v>10509620</v>
      </c>
      <c r="U289" s="99">
        <f xml:space="preserve"> ROUND(U288 + (S288 * Stats!$B$22),0)</f>
        <v>8714750</v>
      </c>
      <c r="V289" s="99">
        <f>ROUND(S289*(Stats!$I$14/100),0)</f>
        <v>0</v>
      </c>
      <c r="W289" s="105" t="str">
        <f t="shared" si="598"/>
        <v/>
      </c>
      <c r="X289" s="118">
        <v>287</v>
      </c>
      <c r="AD289" s="105"/>
      <c r="AE289" s="49" t="s">
        <v>530</v>
      </c>
      <c r="AF289" s="140">
        <v>12731</v>
      </c>
      <c r="AG289" s="138">
        <f t="shared" ref="AG289:AG308" si="599">AF289-C289</f>
        <v>117</v>
      </c>
      <c r="AH289" s="138">
        <f t="shared" ref="AH289:AH308" si="600">IFERROR(ROUND(100*(AG289/AVERAGE(AF289,C289)),2),"")</f>
        <v>0.92</v>
      </c>
      <c r="AI289" s="140">
        <v>29</v>
      </c>
      <c r="AJ289" s="138">
        <f t="shared" ref="AJ289:AJ308" si="601">AI289-I289</f>
        <v>0</v>
      </c>
      <c r="AK289" s="5">
        <f t="shared" ref="AK289:AK308" si="602">IFERROR(ROUND(100*(AJ289/AVERAGE(AI289,I289)),2),"")</f>
        <v>0</v>
      </c>
      <c r="AL289" s="5" t="str">
        <f t="shared" si="569"/>
        <v>1</v>
      </c>
      <c r="AM289" s="5" t="str">
        <f t="shared" si="570"/>
        <v>2</v>
      </c>
      <c r="AN289" s="5" t="str">
        <f t="shared" si="571"/>
        <v>2</v>
      </c>
      <c r="AO289" s="5" t="str">
        <f t="shared" si="572"/>
        <v>9</v>
      </c>
    </row>
    <row r="290" spans="1:41" x14ac:dyDescent="0.25">
      <c r="A290" s="206">
        <v>44178</v>
      </c>
      <c r="B290" s="121">
        <v>532730</v>
      </c>
      <c r="C290" s="6">
        <f t="shared" si="591"/>
        <v>7244</v>
      </c>
      <c r="D290" s="19">
        <f t="shared" si="592"/>
        <v>1.38</v>
      </c>
      <c r="E290" s="35">
        <f t="shared" si="593"/>
        <v>136</v>
      </c>
      <c r="F290" s="25">
        <f>ROUND((B290/Stats!$B$8)*100000,0)</f>
        <v>5307</v>
      </c>
      <c r="G290" s="22">
        <f>ROUND((C290/Stats!$B$8)*100000,0)</f>
        <v>72</v>
      </c>
      <c r="H290" s="213">
        <v>8345</v>
      </c>
      <c r="I290" s="6">
        <f t="shared" si="594"/>
        <v>47</v>
      </c>
      <c r="J290" s="35">
        <f t="shared" si="595"/>
        <v>0.56999999999999995</v>
      </c>
      <c r="K290" s="9">
        <f t="shared" si="596"/>
        <v>1.57</v>
      </c>
      <c r="L290" s="43">
        <f>ROUND(((H290/Stats!$B$8)*100000),0)</f>
        <v>83</v>
      </c>
      <c r="M290" s="96">
        <f>Stats!$B$8-N290</f>
        <v>4403117</v>
      </c>
      <c r="N290" s="97">
        <f>ROUND(Stats!$B$33/(1+(Stats!$B$34*EXP(-1*Stats!$B$32*(X290-$X$25)))),0)</f>
        <v>5635990</v>
      </c>
      <c r="O290" s="101">
        <f t="shared" si="533"/>
        <v>90.54771211446436</v>
      </c>
      <c r="P290" s="97">
        <f>ROUND(N290*(Stats!$I$14/100),0)</f>
        <v>136391</v>
      </c>
      <c r="Q290" s="101">
        <f t="shared" si="597"/>
        <v>93.881561100072588</v>
      </c>
      <c r="R290" s="109">
        <f xml:space="preserve"> ROUND(R289 - ((R289 / Stats!$B$27)*(Stats!$B$21*S289)),0)</f>
        <v>1324953</v>
      </c>
      <c r="S290" s="99">
        <f xml:space="preserve"> ROUND(S289 + (R289/Stats!$B$27)*(Stats!$B$21*S289)-(S289*Stats!$B$22),0)</f>
        <v>5</v>
      </c>
      <c r="T290" s="101">
        <f t="shared" si="534"/>
        <v>10654500</v>
      </c>
      <c r="U290" s="99">
        <f xml:space="preserve"> ROUND(U289 + (S289 * Stats!$B$22),0)</f>
        <v>8714751</v>
      </c>
      <c r="V290" s="99">
        <f>ROUND(S290*(Stats!$I$14/100),0)</f>
        <v>0</v>
      </c>
      <c r="W290" s="105" t="str">
        <f t="shared" si="598"/>
        <v/>
      </c>
      <c r="X290" s="118">
        <v>288</v>
      </c>
      <c r="AD290" s="105"/>
      <c r="AE290" s="49" t="s">
        <v>531</v>
      </c>
      <c r="AF290" s="140">
        <v>7344</v>
      </c>
      <c r="AG290" s="138">
        <f t="shared" si="599"/>
        <v>100</v>
      </c>
      <c r="AH290" s="138">
        <f t="shared" si="600"/>
        <v>1.37</v>
      </c>
      <c r="AI290" s="140">
        <v>48</v>
      </c>
      <c r="AJ290" s="138">
        <f t="shared" si="601"/>
        <v>1</v>
      </c>
      <c r="AK290" s="5">
        <f t="shared" si="602"/>
        <v>2.11</v>
      </c>
      <c r="AL290" s="5" t="str">
        <f t="shared" si="569"/>
        <v>7</v>
      </c>
      <c r="AM290" s="5" t="str">
        <f t="shared" si="570"/>
        <v>4</v>
      </c>
      <c r="AN290" s="5" t="str">
        <f t="shared" si="571"/>
        <v>3</v>
      </c>
      <c r="AO290" s="5" t="str">
        <f t="shared" si="572"/>
        <v>8</v>
      </c>
    </row>
    <row r="291" spans="1:41" x14ac:dyDescent="0.25">
      <c r="A291" s="206">
        <v>44179</v>
      </c>
      <c r="B291" s="121">
        <v>543769</v>
      </c>
      <c r="C291" s="6">
        <f t="shared" si="591"/>
        <v>11039</v>
      </c>
      <c r="D291" s="19">
        <f t="shared" si="592"/>
        <v>2.0699999999999998</v>
      </c>
      <c r="E291" s="35">
        <f t="shared" si="593"/>
        <v>203</v>
      </c>
      <c r="F291" s="25">
        <f>ROUND((B291/Stats!$B$8)*100000,0)</f>
        <v>5417</v>
      </c>
      <c r="G291" s="22">
        <f>ROUND((C291/Stats!$B$8)*100000,0)</f>
        <v>110</v>
      </c>
      <c r="H291" s="213">
        <v>8431</v>
      </c>
      <c r="I291" s="6">
        <f t="shared" si="594"/>
        <v>86</v>
      </c>
      <c r="J291" s="35">
        <f t="shared" si="595"/>
        <v>1.03</v>
      </c>
      <c r="K291" s="9">
        <f t="shared" si="596"/>
        <v>1.55</v>
      </c>
      <c r="L291" s="43">
        <f>ROUND(((H291/Stats!$B$8)*100000),0)</f>
        <v>84</v>
      </c>
      <c r="M291" s="96">
        <f>Stats!$B$8-N291</f>
        <v>4403117</v>
      </c>
      <c r="N291" s="97">
        <f>ROUND(Stats!$B$33/(1+(Stats!$B$34*EXP(-1*Stats!$B$32*(X291-$X$25)))),0)</f>
        <v>5635990</v>
      </c>
      <c r="O291" s="101">
        <f t="shared" si="533"/>
        <v>90.351845904623673</v>
      </c>
      <c r="P291" s="97">
        <f>ROUND(N291*(Stats!$I$14/100),0)</f>
        <v>136391</v>
      </c>
      <c r="Q291" s="101">
        <f t="shared" si="597"/>
        <v>93.818507086244693</v>
      </c>
      <c r="R291" s="109">
        <f xml:space="preserve"> ROUND(R290 - ((R290 / Stats!$B$27)*(Stats!$B$21*S290)),0)</f>
        <v>1324953</v>
      </c>
      <c r="S291" s="99">
        <f xml:space="preserve"> ROUND(S290 + (R290/Stats!$B$27)*(Stats!$B$21*S290)-(S290*Stats!$B$22),0)</f>
        <v>5</v>
      </c>
      <c r="T291" s="101">
        <f t="shared" si="534"/>
        <v>10875280</v>
      </c>
      <c r="U291" s="99">
        <f xml:space="preserve"> ROUND(U290 + (S290 * Stats!$B$22),0)</f>
        <v>8714752</v>
      </c>
      <c r="V291" s="99">
        <f>ROUND(S291*(Stats!$I$14/100),0)</f>
        <v>0</v>
      </c>
      <c r="W291" s="105" t="str">
        <f t="shared" si="598"/>
        <v/>
      </c>
      <c r="X291" s="118">
        <v>289</v>
      </c>
      <c r="AD291" s="105"/>
      <c r="AF291" s="140">
        <v>11194</v>
      </c>
      <c r="AG291" s="138">
        <f t="shared" si="599"/>
        <v>155</v>
      </c>
      <c r="AH291" s="138">
        <f t="shared" si="600"/>
        <v>1.39</v>
      </c>
      <c r="AI291" s="140">
        <v>86</v>
      </c>
      <c r="AJ291" s="138">
        <f t="shared" si="601"/>
        <v>0</v>
      </c>
      <c r="AK291" s="5">
        <f t="shared" si="602"/>
        <v>0</v>
      </c>
      <c r="AL291" s="5" t="str">
        <f t="shared" si="569"/>
        <v>1</v>
      </c>
      <c r="AM291" s="5" t="str">
        <f t="shared" si="570"/>
        <v>8</v>
      </c>
      <c r="AN291" s="5" t="str">
        <f t="shared" si="571"/>
        <v>1</v>
      </c>
      <c r="AO291" s="5" t="str">
        <f t="shared" si="572"/>
        <v>6</v>
      </c>
    </row>
    <row r="292" spans="1:41" x14ac:dyDescent="0.25">
      <c r="A292" s="206">
        <v>44180</v>
      </c>
      <c r="B292" s="121">
        <v>566005</v>
      </c>
      <c r="C292" s="6">
        <f t="shared" si="591"/>
        <v>22236</v>
      </c>
      <c r="D292" s="19">
        <f t="shared" si="592"/>
        <v>4.09</v>
      </c>
      <c r="E292" s="35">
        <f t="shared" si="593"/>
        <v>393</v>
      </c>
      <c r="F292" s="25">
        <f>ROUND((B292/Stats!$B$8)*100000,0)</f>
        <v>5638</v>
      </c>
      <c r="G292" s="22">
        <f>ROUND((C292/Stats!$B$8)*100000,0)</f>
        <v>221</v>
      </c>
      <c r="H292" s="213">
        <v>8568</v>
      </c>
      <c r="I292" s="6">
        <f t="shared" si="594"/>
        <v>137</v>
      </c>
      <c r="J292" s="35">
        <f t="shared" si="595"/>
        <v>1.62</v>
      </c>
      <c r="K292" s="9">
        <f t="shared" si="596"/>
        <v>1.51</v>
      </c>
      <c r="L292" s="43">
        <f>ROUND(((H292/Stats!$B$8)*100000),0)</f>
        <v>85</v>
      </c>
      <c r="M292" s="96">
        <f>Stats!$B$8-N292</f>
        <v>4403117</v>
      </c>
      <c r="N292" s="97">
        <f>ROUND(Stats!$B$33/(1+(Stats!$B$34*EXP(-1*Stats!$B$32*(X292-$X$25)))),0)</f>
        <v>5635990</v>
      </c>
      <c r="O292" s="101">
        <f t="shared" si="533"/>
        <v>89.957310073296796</v>
      </c>
      <c r="P292" s="97">
        <f>ROUND(N292*(Stats!$I$14/100),0)</f>
        <v>136391</v>
      </c>
      <c r="Q292" s="101">
        <f t="shared" si="597"/>
        <v>93.718060575844447</v>
      </c>
      <c r="R292" s="109">
        <f xml:space="preserve"> ROUND(R291 - ((R291 / Stats!$B$27)*(Stats!$B$21*S291)),0)</f>
        <v>1324953</v>
      </c>
      <c r="S292" s="99">
        <f xml:space="preserve"> ROUND(S291 + (R291/Stats!$B$27)*(Stats!$B$21*S291)-(S291*Stats!$B$22),0)</f>
        <v>5</v>
      </c>
      <c r="T292" s="101">
        <f t="shared" si="534"/>
        <v>11320000</v>
      </c>
      <c r="U292" s="99">
        <f xml:space="preserve"> ROUND(U291 + (S291 * Stats!$B$22),0)</f>
        <v>8714753</v>
      </c>
      <c r="V292" s="99">
        <f>ROUND(S292*(Stats!$I$14/100),0)</f>
        <v>0</v>
      </c>
      <c r="W292" s="105" t="str">
        <f t="shared" si="598"/>
        <v/>
      </c>
      <c r="X292" s="118">
        <v>290</v>
      </c>
      <c r="AD292" s="105"/>
      <c r="AE292" s="49" t="s">
        <v>532</v>
      </c>
      <c r="AF292" s="140">
        <v>22422</v>
      </c>
      <c r="AG292" s="138">
        <f t="shared" si="599"/>
        <v>186</v>
      </c>
      <c r="AH292" s="138">
        <f t="shared" si="600"/>
        <v>0.83</v>
      </c>
      <c r="AI292" s="140">
        <v>138</v>
      </c>
      <c r="AJ292" s="138">
        <f t="shared" si="601"/>
        <v>1</v>
      </c>
      <c r="AK292" s="5">
        <f t="shared" si="602"/>
        <v>0.73</v>
      </c>
      <c r="AL292" s="5" t="str">
        <f t="shared" si="569"/>
        <v>2</v>
      </c>
      <c r="AM292" s="5" t="str">
        <f t="shared" si="570"/>
        <v>1</v>
      </c>
      <c r="AN292" s="5" t="str">
        <f t="shared" si="571"/>
        <v>2</v>
      </c>
      <c r="AO292" s="5" t="str">
        <f t="shared" si="572"/>
        <v>3</v>
      </c>
    </row>
    <row r="293" spans="1:41" x14ac:dyDescent="0.25">
      <c r="A293" s="206">
        <v>44181</v>
      </c>
      <c r="B293" s="121">
        <v>580325</v>
      </c>
      <c r="C293" s="6">
        <f t="shared" si="591"/>
        <v>14320</v>
      </c>
      <c r="D293" s="19">
        <f t="shared" si="592"/>
        <v>2.5299999999999998</v>
      </c>
      <c r="E293" s="35">
        <f t="shared" si="593"/>
        <v>247</v>
      </c>
      <c r="F293" s="25">
        <f>ROUND((B293/Stats!$B$8)*100000,0)</f>
        <v>5781</v>
      </c>
      <c r="G293" s="22">
        <f>ROUND((C293/Stats!$B$8)*100000,0)</f>
        <v>143</v>
      </c>
      <c r="H293" s="213">
        <v>8664</v>
      </c>
      <c r="I293" s="6">
        <f t="shared" si="594"/>
        <v>96</v>
      </c>
      <c r="J293" s="35">
        <f t="shared" si="595"/>
        <v>1.1200000000000001</v>
      </c>
      <c r="K293" s="9">
        <f t="shared" si="596"/>
        <v>1.49</v>
      </c>
      <c r="L293" s="43">
        <f>ROUND(((H293/Stats!$B$8)*100000),0)</f>
        <v>86</v>
      </c>
      <c r="M293" s="96">
        <f>Stats!$B$8-N293</f>
        <v>4403117</v>
      </c>
      <c r="N293" s="97">
        <f>ROUND(Stats!$B$33/(1+(Stats!$B$34*EXP(-1*Stats!$B$32*(X293-$X$25)))),0)</f>
        <v>5635990</v>
      </c>
      <c r="O293" s="101">
        <f t="shared" si="533"/>
        <v>89.703228714032491</v>
      </c>
      <c r="P293" s="97">
        <f>ROUND(N293*(Stats!$I$14/100),0)</f>
        <v>136391</v>
      </c>
      <c r="Q293" s="101">
        <f t="shared" si="597"/>
        <v>93.647674699943551</v>
      </c>
      <c r="R293" s="109">
        <f xml:space="preserve"> ROUND(R292 - ((R292 / Stats!$B$27)*(Stats!$B$21*S292)),0)</f>
        <v>1324953</v>
      </c>
      <c r="S293" s="99">
        <f xml:space="preserve"> ROUND(S292 + (R292/Stats!$B$27)*(Stats!$B$21*S292)-(S292*Stats!$B$22),0)</f>
        <v>5</v>
      </c>
      <c r="T293" s="101">
        <f t="shared" si="534"/>
        <v>11606400</v>
      </c>
      <c r="U293" s="99">
        <f xml:space="preserve"> ROUND(U292 + (S292 * Stats!$B$22),0)</f>
        <v>8714754</v>
      </c>
      <c r="V293" s="99">
        <f>ROUND(S293*(Stats!$I$14/100),0)</f>
        <v>0</v>
      </c>
      <c r="W293" s="105" t="str">
        <f t="shared" si="598"/>
        <v/>
      </c>
      <c r="X293" s="118">
        <v>291</v>
      </c>
      <c r="AD293" s="105"/>
      <c r="AE293" s="49" t="s">
        <v>533</v>
      </c>
      <c r="AF293" s="140">
        <v>14418</v>
      </c>
      <c r="AG293" s="138">
        <f t="shared" si="599"/>
        <v>98</v>
      </c>
      <c r="AH293" s="138">
        <f t="shared" si="600"/>
        <v>0.68</v>
      </c>
      <c r="AI293" s="140">
        <v>102</v>
      </c>
      <c r="AJ293" s="138">
        <f t="shared" si="601"/>
        <v>6</v>
      </c>
      <c r="AK293" s="5">
        <f t="shared" si="602"/>
        <v>6.06</v>
      </c>
      <c r="AL293" s="5" t="str">
        <f t="shared" si="569"/>
        <v>1</v>
      </c>
      <c r="AM293" s="5" t="str">
        <f t="shared" si="570"/>
        <v>1</v>
      </c>
      <c r="AN293" s="5" t="str">
        <f t="shared" si="571"/>
        <v>4</v>
      </c>
      <c r="AO293" s="5" t="str">
        <f t="shared" si="572"/>
        <v>0</v>
      </c>
    </row>
    <row r="294" spans="1:41" x14ac:dyDescent="0.25">
      <c r="A294" s="206">
        <v>44182</v>
      </c>
      <c r="B294" s="121">
        <v>596721</v>
      </c>
      <c r="C294" s="6">
        <f t="shared" si="591"/>
        <v>16396</v>
      </c>
      <c r="D294" s="19">
        <f t="shared" si="592"/>
        <v>2.83</v>
      </c>
      <c r="E294" s="35">
        <f t="shared" si="593"/>
        <v>275</v>
      </c>
      <c r="F294" s="25">
        <f>ROUND((B294/Stats!$B$8)*100000,0)</f>
        <v>5944</v>
      </c>
      <c r="G294" s="22">
        <f>ROUND((C294/Stats!$B$8)*100000,0)</f>
        <v>163</v>
      </c>
      <c r="H294" s="213">
        <v>8757</v>
      </c>
      <c r="I294" s="6">
        <f t="shared" si="594"/>
        <v>93</v>
      </c>
      <c r="J294" s="35">
        <f t="shared" si="595"/>
        <v>1.07</v>
      </c>
      <c r="K294" s="9">
        <f t="shared" si="596"/>
        <v>1.47</v>
      </c>
      <c r="L294" s="43">
        <f>ROUND(((H294/Stats!$B$8)*100000),0)</f>
        <v>87</v>
      </c>
      <c r="M294" s="96">
        <f>Stats!$B$8-N294</f>
        <v>4403117</v>
      </c>
      <c r="N294" s="97">
        <f>ROUND(Stats!$B$33/(1+(Stats!$B$34*EXP(-1*Stats!$B$32*(X294-$X$25)))),0)</f>
        <v>5635990</v>
      </c>
      <c r="O294" s="101">
        <f t="shared" si="533"/>
        <v>89.412312654919546</v>
      </c>
      <c r="P294" s="97">
        <f>ROUND(N294*(Stats!$I$14/100),0)</f>
        <v>136391</v>
      </c>
      <c r="Q294" s="101">
        <f t="shared" si="597"/>
        <v>93.57948838266455</v>
      </c>
      <c r="R294" s="109">
        <f xml:space="preserve"> ROUND(R293 - ((R293 / Stats!$B$27)*(Stats!$B$21*S293)),0)</f>
        <v>1324953</v>
      </c>
      <c r="S294" s="99">
        <f xml:space="preserve"> ROUND(S293 + (R293/Stats!$B$27)*(Stats!$B$21*S293)-(S293*Stats!$B$22),0)</f>
        <v>5</v>
      </c>
      <c r="T294" s="101">
        <f t="shared" si="534"/>
        <v>11934320</v>
      </c>
      <c r="U294" s="99">
        <f xml:space="preserve"> ROUND(U293 + (S293 * Stats!$B$22),0)</f>
        <v>8714755</v>
      </c>
      <c r="V294" s="99">
        <f>ROUND(S294*(Stats!$I$14/100),0)</f>
        <v>0</v>
      </c>
      <c r="W294" s="105" t="str">
        <f t="shared" si="598"/>
        <v/>
      </c>
      <c r="X294" s="118">
        <v>292</v>
      </c>
      <c r="AD294" s="105"/>
      <c r="AE294" s="49" t="s">
        <v>534</v>
      </c>
      <c r="AF294" s="140">
        <v>16504</v>
      </c>
      <c r="AG294" s="138">
        <f t="shared" si="599"/>
        <v>108</v>
      </c>
      <c r="AH294" s="138">
        <f t="shared" si="600"/>
        <v>0.66</v>
      </c>
      <c r="AI294" s="140">
        <v>96</v>
      </c>
      <c r="AJ294" s="138">
        <f t="shared" si="601"/>
        <v>3</v>
      </c>
      <c r="AK294" s="5">
        <f t="shared" si="602"/>
        <v>3.17</v>
      </c>
      <c r="AL294" s="5" t="str">
        <f t="shared" si="569"/>
        <v>1</v>
      </c>
      <c r="AM294" s="5" t="str">
        <f t="shared" si="570"/>
        <v>9</v>
      </c>
      <c r="AN294" s="5" t="str">
        <f t="shared" si="571"/>
        <v>6</v>
      </c>
      <c r="AO294" s="5" t="str">
        <f t="shared" si="572"/>
        <v>6</v>
      </c>
    </row>
    <row r="295" spans="1:41" x14ac:dyDescent="0.25">
      <c r="A295" s="206">
        <v>44183</v>
      </c>
      <c r="B295" s="121">
        <v>610372</v>
      </c>
      <c r="C295" s="6">
        <f t="shared" ref="C295:C297" si="603">B295-B294</f>
        <v>13651</v>
      </c>
      <c r="D295" s="19">
        <f t="shared" ref="D295:D297" si="604">ROUND(((B295/B294)-1)*100,2)</f>
        <v>2.29</v>
      </c>
      <c r="E295" s="35">
        <f t="shared" ref="E295:E297" si="605">IFERROR(ROUND((C295/B295)*10000,0),"")</f>
        <v>224</v>
      </c>
      <c r="F295" s="25">
        <f>ROUND((B295/Stats!$B$8)*100000,0)</f>
        <v>6080</v>
      </c>
      <c r="G295" s="22">
        <f>ROUND((C295/Stats!$B$8)*100000,0)</f>
        <v>136</v>
      </c>
      <c r="H295" s="213">
        <v>8817</v>
      </c>
      <c r="I295" s="6">
        <f t="shared" ref="I295:I297" si="606">H295-H294</f>
        <v>60</v>
      </c>
      <c r="J295" s="35">
        <f t="shared" ref="J295:J297" si="607">IFERROR(ROUND(((H295/H294)-1)*100,2),"")</f>
        <v>0.69</v>
      </c>
      <c r="K295" s="9">
        <f t="shared" ref="K295:K297" si="608">IFERROR(ROUND(100*(H295/B295),2),"")</f>
        <v>1.44</v>
      </c>
      <c r="L295" s="43">
        <f>ROUND(((H295/Stats!$B$8)*100000),0)</f>
        <v>88</v>
      </c>
      <c r="M295" s="96">
        <f>Stats!$B$8-N295</f>
        <v>4403117</v>
      </c>
      <c r="N295" s="97">
        <f>ROUND(Stats!$B$33/(1+(Stats!$B$34*EXP(-1*Stats!$B$32*(X295-$X$25)))),0)</f>
        <v>5635990</v>
      </c>
      <c r="O295" s="101">
        <f t="shared" si="533"/>
        <v>89.170101437369482</v>
      </c>
      <c r="P295" s="97">
        <f>ROUND(N295*(Stats!$I$14/100),0)</f>
        <v>136391</v>
      </c>
      <c r="Q295" s="101">
        <f t="shared" si="597"/>
        <v>93.535497210226481</v>
      </c>
      <c r="R295" s="109">
        <f xml:space="preserve"> ROUND(R294 - ((R294 / Stats!$B$27)*(Stats!$B$21*S294)),0)</f>
        <v>1324953</v>
      </c>
      <c r="S295" s="99">
        <f xml:space="preserve"> ROUND(S294 + (R294/Stats!$B$27)*(Stats!$B$21*S294)-(S294*Stats!$B$22),0)</f>
        <v>5</v>
      </c>
      <c r="T295" s="101">
        <f t="shared" si="534"/>
        <v>12207340</v>
      </c>
      <c r="U295" s="99">
        <f xml:space="preserve"> ROUND(U294 + (S294 * Stats!$B$22),0)</f>
        <v>8714756</v>
      </c>
      <c r="V295" s="99">
        <f>ROUND(S295*(Stats!$I$14/100),0)</f>
        <v>0</v>
      </c>
      <c r="W295" s="105" t="str">
        <f t="shared" si="598"/>
        <v/>
      </c>
      <c r="X295" s="118">
        <v>293</v>
      </c>
      <c r="AD295" s="105"/>
      <c r="AF295" s="140">
        <v>13756</v>
      </c>
      <c r="AG295" s="138">
        <f t="shared" si="599"/>
        <v>105</v>
      </c>
      <c r="AH295" s="138">
        <f t="shared" si="600"/>
        <v>0.77</v>
      </c>
      <c r="AI295" s="140">
        <v>60</v>
      </c>
      <c r="AJ295" s="138">
        <f t="shared" si="601"/>
        <v>0</v>
      </c>
      <c r="AK295" s="5">
        <f t="shared" si="602"/>
        <v>0</v>
      </c>
      <c r="AL295" s="5" t="str">
        <f t="shared" si="569"/>
        <v>1</v>
      </c>
      <c r="AM295" s="5" t="str">
        <f t="shared" si="570"/>
        <v>6</v>
      </c>
      <c r="AN295" s="5" t="str">
        <f t="shared" si="571"/>
        <v>3</v>
      </c>
      <c r="AO295" s="5" t="str">
        <f t="shared" si="572"/>
        <v>0</v>
      </c>
    </row>
    <row r="296" spans="1:41" x14ac:dyDescent="0.25">
      <c r="A296" s="206">
        <v>44184</v>
      </c>
      <c r="B296" s="121">
        <v>623670</v>
      </c>
      <c r="C296" s="6">
        <f t="shared" si="603"/>
        <v>13298</v>
      </c>
      <c r="D296" s="19">
        <f t="shared" si="604"/>
        <v>2.1800000000000002</v>
      </c>
      <c r="E296" s="35">
        <f t="shared" si="605"/>
        <v>213</v>
      </c>
      <c r="F296" s="25">
        <f>ROUND((B296/Stats!$B$8)*100000,0)</f>
        <v>6212</v>
      </c>
      <c r="G296" s="22">
        <f>ROUND((C296/Stats!$B$8)*100000,0)</f>
        <v>132</v>
      </c>
      <c r="H296" s="213">
        <v>8875</v>
      </c>
      <c r="I296" s="6">
        <f t="shared" si="606"/>
        <v>58</v>
      </c>
      <c r="J296" s="35">
        <f t="shared" si="607"/>
        <v>0.66</v>
      </c>
      <c r="K296" s="9">
        <f t="shared" si="608"/>
        <v>1.42</v>
      </c>
      <c r="L296" s="43">
        <f>ROUND(((H296/Stats!$B$8)*100000),0)</f>
        <v>88</v>
      </c>
      <c r="M296" s="96">
        <f>Stats!$B$8-N296</f>
        <v>4403117</v>
      </c>
      <c r="N296" s="97">
        <f>ROUND(Stats!$B$33/(1+(Stats!$B$34*EXP(-1*Stats!$B$32*(X296-$X$25)))),0)</f>
        <v>5635990</v>
      </c>
      <c r="O296" s="101">
        <f t="shared" si="533"/>
        <v>88.934153538242612</v>
      </c>
      <c r="P296" s="97">
        <f>ROUND(N296*(Stats!$I$14/100),0)</f>
        <v>136391</v>
      </c>
      <c r="Q296" s="101">
        <f t="shared" si="597"/>
        <v>93.492972410203024</v>
      </c>
      <c r="R296" s="109">
        <f xml:space="preserve"> ROUND(R295 - ((R295 / Stats!$B$27)*(Stats!$B$21*S295)),0)</f>
        <v>1324953</v>
      </c>
      <c r="S296" s="99">
        <f xml:space="preserve"> ROUND(S295 + (R295/Stats!$B$27)*(Stats!$B$21*S295)-(S295*Stats!$B$22),0)</f>
        <v>5</v>
      </c>
      <c r="T296" s="101">
        <f t="shared" si="534"/>
        <v>12473300</v>
      </c>
      <c r="U296" s="99">
        <f xml:space="preserve"> ROUND(U295 + (S295 * Stats!$B$22),0)</f>
        <v>8714757</v>
      </c>
      <c r="V296" s="99">
        <f>ROUND(S296*(Stats!$I$14/100),0)</f>
        <v>0</v>
      </c>
      <c r="W296" s="105" t="str">
        <f t="shared" si="598"/>
        <v/>
      </c>
      <c r="X296" s="118">
        <v>294</v>
      </c>
      <c r="AD296" s="105"/>
      <c r="AF296" s="140">
        <v>13315</v>
      </c>
      <c r="AG296" s="138">
        <f t="shared" si="599"/>
        <v>17</v>
      </c>
      <c r="AH296" s="138">
        <f t="shared" si="600"/>
        <v>0.13</v>
      </c>
      <c r="AI296" s="140">
        <v>58</v>
      </c>
      <c r="AJ296" s="138">
        <f t="shared" si="601"/>
        <v>0</v>
      </c>
      <c r="AK296" s="5">
        <f t="shared" si="602"/>
        <v>0</v>
      </c>
      <c r="AL296" s="5" t="str">
        <f t="shared" si="569"/>
        <v>1</v>
      </c>
      <c r="AM296" s="5" t="str">
        <f t="shared" si="570"/>
        <v>5</v>
      </c>
      <c r="AN296" s="5" t="str">
        <f t="shared" si="571"/>
        <v>3</v>
      </c>
      <c r="AO296" s="5" t="str">
        <f t="shared" si="572"/>
        <v>8</v>
      </c>
    </row>
    <row r="297" spans="1:41" x14ac:dyDescent="0.25">
      <c r="A297" s="206">
        <v>44185</v>
      </c>
      <c r="B297" s="121">
        <v>634849</v>
      </c>
      <c r="C297" s="6">
        <f t="shared" si="603"/>
        <v>11179</v>
      </c>
      <c r="D297" s="19">
        <f t="shared" si="604"/>
        <v>1.79</v>
      </c>
      <c r="E297" s="35">
        <f t="shared" si="605"/>
        <v>176</v>
      </c>
      <c r="F297" s="25">
        <f>ROUND((B297/Stats!$B$8)*100000,0)</f>
        <v>6324</v>
      </c>
      <c r="G297" s="22">
        <f>ROUND((C297/Stats!$B$8)*100000,0)</f>
        <v>111</v>
      </c>
      <c r="H297" s="213">
        <v>8931</v>
      </c>
      <c r="I297" s="6">
        <f t="shared" si="606"/>
        <v>56</v>
      </c>
      <c r="J297" s="35">
        <f t="shared" si="607"/>
        <v>0.63</v>
      </c>
      <c r="K297" s="9">
        <f t="shared" si="608"/>
        <v>1.41</v>
      </c>
      <c r="L297" s="43">
        <f>ROUND(((H297/Stats!$B$8)*100000),0)</f>
        <v>89</v>
      </c>
      <c r="M297" s="96">
        <f>Stats!$B$8-N297</f>
        <v>4403117</v>
      </c>
      <c r="N297" s="97">
        <f>ROUND(Stats!$B$33/(1+(Stats!$B$34*EXP(-1*Stats!$B$32*(X297-$X$25)))),0)</f>
        <v>5635990</v>
      </c>
      <c r="O297" s="101">
        <f t="shared" si="533"/>
        <v>88.735803292766661</v>
      </c>
      <c r="P297" s="97">
        <f>ROUND(N297*(Stats!$I$14/100),0)</f>
        <v>136391</v>
      </c>
      <c r="Q297" s="101">
        <f t="shared" si="597"/>
        <v>93.451913982594164</v>
      </c>
      <c r="R297" s="109">
        <f xml:space="preserve"> ROUND(R296 - ((R296 / Stats!$B$27)*(Stats!$B$21*S296)),0)</f>
        <v>1324953</v>
      </c>
      <c r="S297" s="99">
        <f xml:space="preserve"> ROUND(S296 + (R296/Stats!$B$27)*(Stats!$B$21*S296)-(S296*Stats!$B$22),0)</f>
        <v>5</v>
      </c>
      <c r="T297" s="101">
        <f t="shared" si="534"/>
        <v>12696880</v>
      </c>
      <c r="U297" s="99">
        <f xml:space="preserve"> ROUND(U296 + (S296 * Stats!$B$22),0)</f>
        <v>8714758</v>
      </c>
      <c r="V297" s="99">
        <f>ROUND(S297*(Stats!$I$14/100),0)</f>
        <v>0</v>
      </c>
      <c r="W297" s="105" t="str">
        <f t="shared" si="598"/>
        <v/>
      </c>
      <c r="X297" s="118">
        <v>295</v>
      </c>
      <c r="AD297" s="105"/>
      <c r="AF297" s="140">
        <v>11271</v>
      </c>
      <c r="AG297" s="138">
        <f t="shared" si="599"/>
        <v>92</v>
      </c>
      <c r="AH297" s="138">
        <f t="shared" si="600"/>
        <v>0.82</v>
      </c>
      <c r="AI297" s="140">
        <v>56</v>
      </c>
      <c r="AJ297" s="138">
        <f t="shared" si="601"/>
        <v>0</v>
      </c>
      <c r="AK297" s="5">
        <f t="shared" si="602"/>
        <v>0</v>
      </c>
      <c r="AL297" s="5" t="str">
        <f t="shared" si="569"/>
        <v>1</v>
      </c>
      <c r="AM297" s="5" t="str">
        <f t="shared" si="570"/>
        <v>5</v>
      </c>
      <c r="AN297" s="5" t="str">
        <f t="shared" si="571"/>
        <v>1</v>
      </c>
      <c r="AO297" s="5" t="str">
        <f t="shared" si="572"/>
        <v>6</v>
      </c>
    </row>
    <row r="298" spans="1:41" x14ac:dyDescent="0.25">
      <c r="A298" s="206">
        <v>44186</v>
      </c>
      <c r="B298" s="121">
        <v>647542</v>
      </c>
      <c r="C298" s="6">
        <f t="shared" ref="C298:C308" si="609">B298-B297</f>
        <v>12693</v>
      </c>
      <c r="D298" s="19">
        <f t="shared" ref="D298:D308" si="610">ROUND(((B298/B297)-1)*100,2)</f>
        <v>2</v>
      </c>
      <c r="E298" s="35">
        <f t="shared" ref="E298:E308" si="611">IFERROR(ROUND((C298/B298)*10000,0),"")</f>
        <v>196</v>
      </c>
      <c r="F298" s="25">
        <f>ROUND((B298/Stats!$B$8)*100000,0)</f>
        <v>6450</v>
      </c>
      <c r="G298" s="22">
        <f>ROUND((C298/Stats!$B$8)*100000,0)</f>
        <v>126</v>
      </c>
      <c r="H298" s="213">
        <v>9016</v>
      </c>
      <c r="I298" s="6">
        <f t="shared" ref="I298:I308" si="612">H298-H297</f>
        <v>85</v>
      </c>
      <c r="J298" s="35">
        <f t="shared" ref="J298:J308" si="613">IFERROR(ROUND(((H298/H297)-1)*100,2),"")</f>
        <v>0.95</v>
      </c>
      <c r="K298" s="9">
        <f t="shared" ref="K298:K318" si="614">IFERROR(ROUND(100*(H298/B298),2),"")</f>
        <v>1.39</v>
      </c>
      <c r="L298" s="43">
        <f>ROUND(((H298/Stats!$B$8)*100000),0)</f>
        <v>90</v>
      </c>
      <c r="M298" s="96">
        <f>Stats!$B$8-N298</f>
        <v>4403117</v>
      </c>
      <c r="N298" s="97">
        <f>ROUND(Stats!$B$33/(1+(Stats!$B$34*EXP(-1*Stats!$B$32*(X298-$X$25)))),0)</f>
        <v>5635990</v>
      </c>
      <c r="O298" s="101">
        <f t="shared" si="533"/>
        <v>88.510589976206489</v>
      </c>
      <c r="P298" s="97">
        <f>ROUND(N298*(Stats!$I$14/100),0)</f>
        <v>136391</v>
      </c>
      <c r="Q298" s="101">
        <f t="shared" si="597"/>
        <v>93.389593154973568</v>
      </c>
      <c r="R298" s="109">
        <f xml:space="preserve"> ROUND(R297 - ((R297 / Stats!$B$27)*(Stats!$B$21*S297)),0)</f>
        <v>1324953</v>
      </c>
      <c r="S298" s="99">
        <f xml:space="preserve"> ROUND(S297 + (R297/Stats!$B$27)*(Stats!$B$21*S297)-(S297*Stats!$B$22),0)</f>
        <v>5</v>
      </c>
      <c r="T298" s="101">
        <f t="shared" si="534"/>
        <v>12950740</v>
      </c>
      <c r="U298" s="99">
        <f xml:space="preserve"> ROUND(U297 + (S297 * Stats!$B$22),0)</f>
        <v>8714759</v>
      </c>
      <c r="V298" s="99">
        <f>ROUND(S298*(Stats!$I$14/100),0)</f>
        <v>0</v>
      </c>
      <c r="W298" s="105" t="str">
        <f t="shared" si="598"/>
        <v/>
      </c>
      <c r="X298" s="118">
        <v>296</v>
      </c>
      <c r="AD298" s="105"/>
      <c r="AF298" s="140">
        <v>12954</v>
      </c>
      <c r="AG298" s="138">
        <f t="shared" si="599"/>
        <v>261</v>
      </c>
      <c r="AH298" s="138">
        <f t="shared" si="600"/>
        <v>2.04</v>
      </c>
      <c r="AI298" s="140">
        <v>88</v>
      </c>
      <c r="AJ298" s="138">
        <f t="shared" si="601"/>
        <v>3</v>
      </c>
      <c r="AK298" s="5">
        <f t="shared" si="602"/>
        <v>3.47</v>
      </c>
      <c r="AL298" s="5" t="str">
        <f t="shared" si="569"/>
        <v>1</v>
      </c>
      <c r="AM298" s="5" t="str">
        <f t="shared" si="570"/>
        <v>8</v>
      </c>
      <c r="AN298" s="5" t="str">
        <f t="shared" si="571"/>
        <v>2</v>
      </c>
      <c r="AO298" s="5" t="str">
        <f t="shared" si="572"/>
        <v>8</v>
      </c>
    </row>
    <row r="299" spans="1:41" x14ac:dyDescent="0.25">
      <c r="A299" s="206">
        <v>44187</v>
      </c>
      <c r="B299" s="121">
        <v>663954</v>
      </c>
      <c r="C299" s="6">
        <f t="shared" si="609"/>
        <v>16412</v>
      </c>
      <c r="D299" s="19">
        <f t="shared" si="610"/>
        <v>2.5299999999999998</v>
      </c>
      <c r="E299" s="35">
        <f t="shared" si="611"/>
        <v>247</v>
      </c>
      <c r="F299" s="25">
        <f>ROUND((B299/Stats!$B$8)*100000,0)</f>
        <v>6614</v>
      </c>
      <c r="G299" s="22">
        <f>ROUND((C299/Stats!$B$8)*100000,0)</f>
        <v>163</v>
      </c>
      <c r="H299" s="213">
        <v>9153</v>
      </c>
      <c r="I299" s="6">
        <f t="shared" si="612"/>
        <v>137</v>
      </c>
      <c r="J299" s="35">
        <f t="shared" si="613"/>
        <v>1.52</v>
      </c>
      <c r="K299" s="9">
        <f t="shared" si="614"/>
        <v>1.38</v>
      </c>
      <c r="L299" s="43">
        <f>ROUND(((H299/Stats!$B$8)*100000),0)</f>
        <v>91</v>
      </c>
      <c r="M299" s="96">
        <f>Stats!$B$8-N299</f>
        <v>4403117</v>
      </c>
      <c r="N299" s="97">
        <f>ROUND(Stats!$B$33/(1+(Stats!$B$34*EXP(-1*Stats!$B$32*(X299-$X$25)))),0)</f>
        <v>5635990</v>
      </c>
      <c r="O299" s="101">
        <f t="shared" si="533"/>
        <v>88.219390027306659</v>
      </c>
      <c r="P299" s="97">
        <f>ROUND(N299*(Stats!$I$14/100),0)</f>
        <v>136391</v>
      </c>
      <c r="Q299" s="101">
        <f t="shared" si="597"/>
        <v>93.289146644573322</v>
      </c>
      <c r="R299" s="109">
        <f xml:space="preserve"> ROUND(R298 - ((R298 / Stats!$B$27)*(Stats!$B$21*S298)),0)</f>
        <v>1324953</v>
      </c>
      <c r="S299" s="99">
        <f xml:space="preserve"> ROUND(S298 + (R298/Stats!$B$27)*(Stats!$B$21*S298)-(S298*Stats!$B$22),0)</f>
        <v>5</v>
      </c>
      <c r="T299" s="101">
        <f t="shared" si="534"/>
        <v>13278979.999999998</v>
      </c>
      <c r="U299" s="99">
        <f xml:space="preserve"> ROUND(U298 + (S298 * Stats!$B$22),0)</f>
        <v>8714760</v>
      </c>
      <c r="V299" s="99">
        <f>ROUND(S299*(Stats!$I$14/100),0)</f>
        <v>0</v>
      </c>
      <c r="W299" s="105" t="str">
        <f t="shared" si="598"/>
        <v/>
      </c>
      <c r="X299" s="118">
        <v>297</v>
      </c>
      <c r="AD299" s="105"/>
      <c r="AE299" s="49" t="s">
        <v>535</v>
      </c>
      <c r="AF299" s="140">
        <v>16525</v>
      </c>
      <c r="AG299" s="138">
        <f t="shared" si="599"/>
        <v>113</v>
      </c>
      <c r="AH299" s="138">
        <f t="shared" si="600"/>
        <v>0.69</v>
      </c>
      <c r="AI299" s="140">
        <v>145</v>
      </c>
      <c r="AJ299" s="138">
        <f t="shared" si="601"/>
        <v>8</v>
      </c>
      <c r="AK299" s="5">
        <f t="shared" si="602"/>
        <v>5.67</v>
      </c>
      <c r="AL299" s="5" t="str">
        <f t="shared" si="569"/>
        <v>1</v>
      </c>
      <c r="AM299" s="5" t="str">
        <f t="shared" si="570"/>
        <v>1</v>
      </c>
      <c r="AN299" s="5" t="str">
        <f t="shared" si="571"/>
        <v>6</v>
      </c>
      <c r="AO299" s="5" t="str">
        <f t="shared" si="572"/>
        <v>4</v>
      </c>
    </row>
    <row r="300" spans="1:41" x14ac:dyDescent="0.25">
      <c r="A300" s="206">
        <v>44188</v>
      </c>
      <c r="B300" s="121">
        <v>677299</v>
      </c>
      <c r="C300" s="6">
        <f t="shared" si="609"/>
        <v>13345</v>
      </c>
      <c r="D300" s="19">
        <f t="shared" si="610"/>
        <v>2.0099999999999998</v>
      </c>
      <c r="E300" s="35">
        <f t="shared" si="611"/>
        <v>197</v>
      </c>
      <c r="F300" s="25">
        <f>ROUND((B300/Stats!$B$8)*100000,0)</f>
        <v>6747</v>
      </c>
      <c r="G300" s="22">
        <f>ROUND((C300/Stats!$B$8)*100000,0)</f>
        <v>133</v>
      </c>
      <c r="H300" s="213">
        <v>9299</v>
      </c>
      <c r="I300" s="6">
        <f t="shared" si="612"/>
        <v>146</v>
      </c>
      <c r="J300" s="35">
        <f t="shared" si="613"/>
        <v>1.6</v>
      </c>
      <c r="K300" s="9">
        <f t="shared" si="614"/>
        <v>1.37</v>
      </c>
      <c r="L300" s="43">
        <f>ROUND(((H300/Stats!$B$8)*100000),0)</f>
        <v>93</v>
      </c>
      <c r="M300" s="96">
        <f>Stats!$B$8-N300</f>
        <v>4403117</v>
      </c>
      <c r="N300" s="97">
        <f>ROUND(Stats!$B$33/(1+(Stats!$B$34*EXP(-1*Stats!$B$32*(X300-$X$25)))),0)</f>
        <v>5635990</v>
      </c>
      <c r="O300" s="101">
        <f t="shared" si="533"/>
        <v>87.982608201930802</v>
      </c>
      <c r="P300" s="97">
        <f>ROUND(N300*(Stats!$I$14/100),0)</f>
        <v>136391</v>
      </c>
      <c r="Q300" s="101">
        <f t="shared" si="597"/>
        <v>93.182101458307358</v>
      </c>
      <c r="R300" s="109">
        <f xml:space="preserve"> ROUND(R299 - ((R299 / Stats!$B$27)*(Stats!$B$21*S299)),0)</f>
        <v>1324953</v>
      </c>
      <c r="S300" s="99">
        <f xml:space="preserve"> ROUND(S299 + (R299/Stats!$B$27)*(Stats!$B$21*S299)-(S299*Stats!$B$22),0)</f>
        <v>5</v>
      </c>
      <c r="T300" s="101">
        <f t="shared" si="534"/>
        <v>13545879.999999998</v>
      </c>
      <c r="U300" s="99">
        <f xml:space="preserve"> ROUND(U299 + (S299 * Stats!$B$22),0)</f>
        <v>8714761</v>
      </c>
      <c r="V300" s="99">
        <f>ROUND(S300*(Stats!$I$14/100),0)</f>
        <v>0</v>
      </c>
      <c r="W300" s="105" t="str">
        <f t="shared" si="598"/>
        <v/>
      </c>
      <c r="X300" s="118">
        <v>298</v>
      </c>
      <c r="AD300" s="105"/>
      <c r="AF300" s="140">
        <v>13678</v>
      </c>
      <c r="AG300" s="138">
        <f t="shared" si="599"/>
        <v>333</v>
      </c>
      <c r="AH300" s="138">
        <f t="shared" si="600"/>
        <v>2.46</v>
      </c>
      <c r="AI300" s="140">
        <v>148</v>
      </c>
      <c r="AJ300" s="138">
        <f t="shared" si="601"/>
        <v>2</v>
      </c>
      <c r="AK300" s="5">
        <f t="shared" si="602"/>
        <v>1.36</v>
      </c>
      <c r="AL300" s="5" t="str">
        <f t="shared" si="569"/>
        <v>1</v>
      </c>
      <c r="AM300" s="5" t="str">
        <f t="shared" si="570"/>
        <v>1</v>
      </c>
      <c r="AN300" s="5" t="str">
        <f t="shared" si="571"/>
        <v>3</v>
      </c>
      <c r="AO300" s="5" t="str">
        <f t="shared" si="572"/>
        <v>4</v>
      </c>
    </row>
    <row r="301" spans="1:41" x14ac:dyDescent="0.25">
      <c r="A301" s="206">
        <v>44189</v>
      </c>
      <c r="B301" s="121">
        <v>706448</v>
      </c>
      <c r="C301" s="6">
        <f t="shared" si="609"/>
        <v>29149</v>
      </c>
      <c r="D301" s="19">
        <f t="shared" si="610"/>
        <v>4.3</v>
      </c>
      <c r="E301" s="35">
        <f t="shared" si="611"/>
        <v>413</v>
      </c>
      <c r="F301" s="25">
        <f>ROUND((B301/Stats!$B$8)*100000,0)</f>
        <v>7037</v>
      </c>
      <c r="G301" s="22">
        <f>ROUND((C301/Stats!$B$8)*100000,0)</f>
        <v>290</v>
      </c>
      <c r="H301" s="213">
        <v>9438</v>
      </c>
      <c r="I301" s="6">
        <f t="shared" si="612"/>
        <v>139</v>
      </c>
      <c r="J301" s="35">
        <f t="shared" si="613"/>
        <v>1.49</v>
      </c>
      <c r="K301" s="9">
        <f t="shared" si="614"/>
        <v>1.34</v>
      </c>
      <c r="L301" s="43">
        <f>ROUND(((H301/Stats!$B$8)*100000),0)</f>
        <v>94</v>
      </c>
      <c r="M301" s="96">
        <f>Stats!$B$8-N301</f>
        <v>4403117</v>
      </c>
      <c r="N301" s="97">
        <f>ROUND(Stats!$B$33/(1+(Stats!$B$34*EXP(-1*Stats!$B$32*(X301-$X$25)))),0)</f>
        <v>5635990</v>
      </c>
      <c r="O301" s="101">
        <f t="shared" si="533"/>
        <v>87.46541423955685</v>
      </c>
      <c r="P301" s="97">
        <f>ROUND(N301*(Stats!$I$14/100),0)</f>
        <v>136391</v>
      </c>
      <c r="Q301" s="101">
        <f t="shared" si="597"/>
        <v>93.080188575492514</v>
      </c>
      <c r="R301" s="109">
        <f xml:space="preserve"> ROUND(R300 - ((R300 / Stats!$B$27)*(Stats!$B$21*S300)),0)</f>
        <v>1324953</v>
      </c>
      <c r="S301" s="99">
        <f xml:space="preserve"> ROUND(S300 + (R300/Stats!$B$27)*(Stats!$B$21*S300)-(S300*Stats!$B$22),0)</f>
        <v>5</v>
      </c>
      <c r="T301" s="101">
        <f t="shared" si="534"/>
        <v>14128860</v>
      </c>
      <c r="U301" s="99">
        <f xml:space="preserve"> ROUND(U300 + (S300 * Stats!$B$22),0)</f>
        <v>8714762</v>
      </c>
      <c r="V301" s="99">
        <f>ROUND(S301*(Stats!$I$14/100),0)</f>
        <v>0</v>
      </c>
      <c r="W301" s="105" t="str">
        <f t="shared" si="598"/>
        <v/>
      </c>
      <c r="X301" s="118">
        <v>299</v>
      </c>
      <c r="AD301" s="105"/>
      <c r="AF301" s="140">
        <v>29464</v>
      </c>
      <c r="AG301" s="138">
        <f t="shared" si="599"/>
        <v>315</v>
      </c>
      <c r="AH301" s="138">
        <f t="shared" si="600"/>
        <v>1.07</v>
      </c>
      <c r="AI301" s="140">
        <v>142</v>
      </c>
      <c r="AJ301" s="138">
        <f t="shared" si="601"/>
        <v>3</v>
      </c>
      <c r="AK301" s="5">
        <f t="shared" si="602"/>
        <v>2.14</v>
      </c>
      <c r="AL301" s="5" t="str">
        <f t="shared" si="569"/>
        <v>2</v>
      </c>
      <c r="AM301" s="5" t="str">
        <f t="shared" si="570"/>
        <v>1</v>
      </c>
      <c r="AN301" s="5" t="str">
        <f t="shared" si="571"/>
        <v>9</v>
      </c>
      <c r="AO301" s="5" t="str">
        <f t="shared" si="572"/>
        <v>4</v>
      </c>
    </row>
    <row r="302" spans="1:41" s="234" customFormat="1" ht="45" x14ac:dyDescent="0.25">
      <c r="A302" s="226">
        <v>44190</v>
      </c>
      <c r="B302" s="166">
        <v>706448</v>
      </c>
      <c r="C302" s="160">
        <f t="shared" si="609"/>
        <v>0</v>
      </c>
      <c r="D302" s="160">
        <f t="shared" si="610"/>
        <v>0</v>
      </c>
      <c r="E302" s="160">
        <f t="shared" si="611"/>
        <v>0</v>
      </c>
      <c r="F302" s="160">
        <f>ROUND((B302/Stats!$B$8)*100000,0)</f>
        <v>7037</v>
      </c>
      <c r="G302" s="160">
        <f>ROUND((C302/Stats!$B$8)*100000,0)</f>
        <v>0</v>
      </c>
      <c r="H302" s="166">
        <v>9438</v>
      </c>
      <c r="I302" s="160">
        <f t="shared" si="612"/>
        <v>0</v>
      </c>
      <c r="J302" s="160">
        <f t="shared" si="613"/>
        <v>0</v>
      </c>
      <c r="K302" s="160">
        <f t="shared" si="614"/>
        <v>1.34</v>
      </c>
      <c r="L302" s="160">
        <f>ROUND(((H302/Stats!$B$8)*100000),0)</f>
        <v>94</v>
      </c>
      <c r="M302" s="166">
        <f>Stats!$B$8-N302</f>
        <v>4403117</v>
      </c>
      <c r="N302" s="227">
        <f>ROUND(Stats!$B$33/(1+(Stats!$B$34*EXP(-1*Stats!$B$32*(X302-$X$25)))),0)</f>
        <v>5635990</v>
      </c>
      <c r="O302" s="228">
        <f>IFERROR(ABS((($B302/N302)-1)*100),"")</f>
        <v>87.46541423955685</v>
      </c>
      <c r="P302" s="227">
        <f>ROUND(N302*(Stats!$I$14/100),0)</f>
        <v>136391</v>
      </c>
      <c r="Q302" s="228">
        <f>IFERROR(ABS((($H302/P302)-1)*100),"")</f>
        <v>93.080188575492514</v>
      </c>
      <c r="R302" s="166">
        <f xml:space="preserve"> ROUND(R301 - ((R301 / Stats!$B$27)*(Stats!$B$21*S301)),0)</f>
        <v>1324953</v>
      </c>
      <c r="S302" s="227">
        <f xml:space="preserve"> ROUND(S301 + (R301/Stats!$B$27)*(Stats!$B$21*S301)-(S301*Stats!$B$22),0)</f>
        <v>5</v>
      </c>
      <c r="T302" s="228">
        <f>IFERROR(ABS((($B302/S302)-1)*100),"")</f>
        <v>14128860</v>
      </c>
      <c r="U302" s="227">
        <f xml:space="preserve"> ROUND(U301 + (S301 * Stats!$B$22),0)</f>
        <v>8714763</v>
      </c>
      <c r="V302" s="227">
        <f>ROUND(S302*(Stats!$I$14/100),0)</f>
        <v>0</v>
      </c>
      <c r="W302" s="229" t="str">
        <f>IFERROR(ABS((($H302/V302)-1)*100),"")</f>
        <v/>
      </c>
      <c r="X302" s="230">
        <v>300</v>
      </c>
      <c r="Y302" s="231"/>
      <c r="Z302" s="232"/>
      <c r="AA302" s="231"/>
      <c r="AB302" s="232"/>
      <c r="AC302" s="231"/>
      <c r="AD302" s="229"/>
      <c r="AE302" s="233" t="s">
        <v>537</v>
      </c>
      <c r="AF302" s="163"/>
      <c r="AG302" s="163">
        <f t="shared" si="599"/>
        <v>0</v>
      </c>
      <c r="AH302" s="163" t="str">
        <f t="shared" si="600"/>
        <v/>
      </c>
      <c r="AI302" s="163"/>
      <c r="AJ302" s="163">
        <f t="shared" si="601"/>
        <v>0</v>
      </c>
      <c r="AK302" s="160" t="str">
        <f t="shared" si="602"/>
        <v/>
      </c>
      <c r="AL302" s="5" t="str">
        <f t="shared" si="569"/>
        <v/>
      </c>
      <c r="AM302" s="5" t="str">
        <f t="shared" si="570"/>
        <v/>
      </c>
      <c r="AN302" s="5" t="str">
        <f t="shared" si="571"/>
        <v/>
      </c>
      <c r="AO302" s="5" t="str">
        <f t="shared" si="572"/>
        <v/>
      </c>
    </row>
    <row r="303" spans="1:41" x14ac:dyDescent="0.25">
      <c r="A303" s="206">
        <v>44191</v>
      </c>
      <c r="B303" s="121">
        <v>719833</v>
      </c>
      <c r="C303" s="6">
        <f t="shared" si="609"/>
        <v>13385</v>
      </c>
      <c r="D303" s="19">
        <f t="shared" si="610"/>
        <v>1.89</v>
      </c>
      <c r="E303" s="35">
        <f t="shared" si="611"/>
        <v>186</v>
      </c>
      <c r="F303" s="25">
        <f>ROUND((B303/Stats!$B$8)*100000,0)</f>
        <v>7170</v>
      </c>
      <c r="G303" s="22">
        <f>ROUND((C303/Stats!$B$8)*100000,0)</f>
        <v>133</v>
      </c>
      <c r="H303" s="213">
        <v>9482</v>
      </c>
      <c r="I303" s="6">
        <f t="shared" si="612"/>
        <v>44</v>
      </c>
      <c r="J303" s="35">
        <f t="shared" si="613"/>
        <v>0.47</v>
      </c>
      <c r="K303" s="9">
        <f t="shared" si="614"/>
        <v>1.32</v>
      </c>
      <c r="L303" s="43">
        <f>ROUND(((H303/Stats!$B$8)*100000),0)</f>
        <v>94</v>
      </c>
      <c r="M303" s="96">
        <f>Stats!$B$8-N303</f>
        <v>4403117</v>
      </c>
      <c r="N303" s="97">
        <f>ROUND(Stats!$B$33/(1+(Stats!$B$34*EXP(-1*Stats!$B$32*(X303-$X$25)))),0)</f>
        <v>5635990</v>
      </c>
      <c r="O303" s="101">
        <f>IFERROR(ABS((($B303/N303)-1)*100),"")</f>
        <v>87.227922689713793</v>
      </c>
      <c r="P303" s="97">
        <f>ROUND(N303*(Stats!$I$14/100),0)</f>
        <v>136391</v>
      </c>
      <c r="Q303" s="101">
        <f>IFERROR(ABS((($H303/P303)-1)*100),"")</f>
        <v>93.047928382371268</v>
      </c>
      <c r="R303" s="109">
        <f xml:space="preserve"> ROUND(R302 - ((R302 / Stats!$B$27)*(Stats!$B$21*S302)),0)</f>
        <v>1324953</v>
      </c>
      <c r="S303" s="99">
        <f xml:space="preserve"> ROUND(S302 + (R302/Stats!$B$27)*(Stats!$B$21*S302)-(S302*Stats!$B$22),0)</f>
        <v>5</v>
      </c>
      <c r="T303" s="101">
        <f>IFERROR(ABS((($B303/S303)-1)*100),"")</f>
        <v>14396560</v>
      </c>
      <c r="U303" s="99">
        <f xml:space="preserve"> ROUND(U302 + (S302 * Stats!$B$22),0)</f>
        <v>8714764</v>
      </c>
      <c r="V303" s="99">
        <f>ROUND(S303*(Stats!$I$14/100),0)</f>
        <v>0</v>
      </c>
      <c r="W303" s="105" t="str">
        <f>IFERROR(ABS((($H303/V303)-1)*100),"")</f>
        <v/>
      </c>
      <c r="X303" s="118">
        <v>301</v>
      </c>
      <c r="AD303" s="105"/>
      <c r="AF303" s="140">
        <v>13580</v>
      </c>
      <c r="AG303" s="138">
        <f t="shared" si="599"/>
        <v>195</v>
      </c>
      <c r="AH303" s="138">
        <f t="shared" si="600"/>
        <v>1.45</v>
      </c>
      <c r="AI303" s="140">
        <v>44</v>
      </c>
      <c r="AJ303" s="138">
        <f t="shared" si="601"/>
        <v>0</v>
      </c>
      <c r="AK303" s="5">
        <f t="shared" si="602"/>
        <v>0</v>
      </c>
      <c r="AL303" s="5" t="str">
        <f t="shared" si="569"/>
        <v>1</v>
      </c>
      <c r="AM303" s="5" t="str">
        <f t="shared" si="570"/>
        <v>4</v>
      </c>
      <c r="AN303" s="5" t="str">
        <f t="shared" si="571"/>
        <v>3</v>
      </c>
      <c r="AO303" s="5" t="str">
        <f t="shared" si="572"/>
        <v>4</v>
      </c>
    </row>
    <row r="304" spans="1:41" x14ac:dyDescent="0.25">
      <c r="A304" s="206">
        <v>44192</v>
      </c>
      <c r="B304" s="121">
        <v>733325</v>
      </c>
      <c r="C304" s="6">
        <f t="shared" si="609"/>
        <v>13492</v>
      </c>
      <c r="D304" s="19">
        <f t="shared" si="610"/>
        <v>1.87</v>
      </c>
      <c r="E304" s="35">
        <f t="shared" si="611"/>
        <v>184</v>
      </c>
      <c r="F304" s="25">
        <f>ROUND((B304/Stats!$B$8)*100000,0)</f>
        <v>7305</v>
      </c>
      <c r="G304" s="22">
        <f>ROUND((C304/Stats!$B$8)*100000,0)</f>
        <v>134</v>
      </c>
      <c r="H304" s="213">
        <v>9555</v>
      </c>
      <c r="I304" s="6">
        <f t="shared" si="612"/>
        <v>73</v>
      </c>
      <c r="J304" s="35">
        <f t="shared" si="613"/>
        <v>0.77</v>
      </c>
      <c r="K304" s="9">
        <f t="shared" si="614"/>
        <v>1.3</v>
      </c>
      <c r="L304" s="43">
        <f>ROUND(((H304/Stats!$B$8)*100000),0)</f>
        <v>95</v>
      </c>
      <c r="M304" s="96">
        <f>Stats!$B$8-N304</f>
        <v>4403117</v>
      </c>
      <c r="N304" s="97">
        <f>ROUND(Stats!$B$33/(1+(Stats!$B$34*EXP(-1*Stats!$B$32*(X304-$X$25)))),0)</f>
        <v>5635990</v>
      </c>
      <c r="O304" s="101">
        <f>IFERROR(ABS((($B304/N304)-1)*100),"")</f>
        <v>86.988532626920914</v>
      </c>
      <c r="P304" s="97">
        <f>ROUND(N304*(Stats!$I$14/100),0)</f>
        <v>136391</v>
      </c>
      <c r="Q304" s="101">
        <f>IFERROR(ABS((($H304/P304)-1)*100),"")</f>
        <v>92.994405789238286</v>
      </c>
      <c r="R304" s="109">
        <f xml:space="preserve"> ROUND(R303 - ((R303 / Stats!$B$27)*(Stats!$B$21*S303)),0)</f>
        <v>1324953</v>
      </c>
      <c r="S304" s="99">
        <f xml:space="preserve"> ROUND(S303 + (R303/Stats!$B$27)*(Stats!$B$21*S303)-(S303*Stats!$B$22),0)</f>
        <v>5</v>
      </c>
      <c r="T304" s="101">
        <f>IFERROR(ABS((($B304/S304)-1)*100),"")</f>
        <v>14666400</v>
      </c>
      <c r="U304" s="99">
        <f xml:space="preserve"> ROUND(U303 + (S303 * Stats!$B$22),0)</f>
        <v>8714765</v>
      </c>
      <c r="V304" s="99">
        <f>ROUND(S304*(Stats!$I$14/100),0)</f>
        <v>0</v>
      </c>
      <c r="W304" s="105" t="str">
        <f>IFERROR(ABS((($H304/V304)-1)*100),"")</f>
        <v/>
      </c>
      <c r="X304" s="118">
        <v>302</v>
      </c>
      <c r="AD304" s="105"/>
      <c r="AF304" s="140">
        <v>13661</v>
      </c>
      <c r="AG304" s="138">
        <f t="shared" si="599"/>
        <v>169</v>
      </c>
      <c r="AH304" s="138">
        <f t="shared" si="600"/>
        <v>1.24</v>
      </c>
      <c r="AI304" s="140">
        <v>73</v>
      </c>
      <c r="AJ304" s="138">
        <f t="shared" si="601"/>
        <v>0</v>
      </c>
      <c r="AK304" s="5">
        <f t="shared" si="602"/>
        <v>0</v>
      </c>
      <c r="AL304" s="5" t="str">
        <f t="shared" si="569"/>
        <v>1</v>
      </c>
      <c r="AM304" s="5" t="str">
        <f t="shared" si="570"/>
        <v>7</v>
      </c>
      <c r="AN304" s="5" t="str">
        <f t="shared" si="571"/>
        <v>3</v>
      </c>
      <c r="AO304" s="5" t="str">
        <f t="shared" si="572"/>
        <v>3</v>
      </c>
    </row>
    <row r="305" spans="1:41" x14ac:dyDescent="0.25">
      <c r="A305" s="206">
        <v>44193</v>
      </c>
      <c r="B305" s="121">
        <v>746089</v>
      </c>
      <c r="C305" s="6">
        <f t="shared" si="609"/>
        <v>12764</v>
      </c>
      <c r="D305" s="19">
        <f t="shared" si="610"/>
        <v>1.74</v>
      </c>
      <c r="E305" s="35">
        <f t="shared" si="611"/>
        <v>171</v>
      </c>
      <c r="F305" s="25">
        <f>ROUND((B305/Stats!$B$8)*100000,0)</f>
        <v>7432</v>
      </c>
      <c r="G305" s="22">
        <f>ROUND((C305/Stats!$B$8)*100000,0)</f>
        <v>127</v>
      </c>
      <c r="H305" s="213">
        <v>9782</v>
      </c>
      <c r="I305" s="6">
        <f t="shared" si="612"/>
        <v>227</v>
      </c>
      <c r="J305" s="35">
        <f t="shared" si="613"/>
        <v>2.38</v>
      </c>
      <c r="K305" s="9">
        <f t="shared" si="614"/>
        <v>1.31</v>
      </c>
      <c r="L305" s="43">
        <f>ROUND(((H305/Stats!$B$8)*100000),0)</f>
        <v>97</v>
      </c>
      <c r="M305" s="96">
        <f>Stats!$B$8-N305</f>
        <v>4403117</v>
      </c>
      <c r="N305" s="97">
        <f>ROUND(Stats!$B$33/(1+(Stats!$B$34*EXP(-1*Stats!$B$32*(X305-$X$25)))),0)</f>
        <v>5635990</v>
      </c>
      <c r="O305" s="101">
        <f>IFERROR(ABS((($B305/N305)-1)*100),"")</f>
        <v>86.762059549431427</v>
      </c>
      <c r="P305" s="97">
        <f>ROUND(N305*(Stats!$I$14/100),0)</f>
        <v>136391</v>
      </c>
      <c r="Q305" s="101">
        <f>IFERROR(ABS((($H305/P305)-1)*100),"")</f>
        <v>92.82797252018095</v>
      </c>
      <c r="R305" s="109">
        <f xml:space="preserve"> ROUND(R304 - ((R304 / Stats!$B$27)*(Stats!$B$21*S304)),0)</f>
        <v>1324953</v>
      </c>
      <c r="S305" s="99">
        <f xml:space="preserve"> ROUND(S304 + (R304/Stats!$B$27)*(Stats!$B$21*S304)-(S304*Stats!$B$22),0)</f>
        <v>5</v>
      </c>
      <c r="T305" s="101">
        <f>IFERROR(ABS((($B305/S305)-1)*100),"")</f>
        <v>14921679.999999998</v>
      </c>
      <c r="U305" s="99">
        <f xml:space="preserve"> ROUND(U304 + (S304 * Stats!$B$22),0)</f>
        <v>8714766</v>
      </c>
      <c r="V305" s="99">
        <f>ROUND(S305*(Stats!$I$14/100),0)</f>
        <v>0</v>
      </c>
      <c r="W305" s="105" t="str">
        <f>IFERROR(ABS((($H305/V305)-1)*100),"")</f>
        <v/>
      </c>
      <c r="X305" s="118">
        <v>303</v>
      </c>
      <c r="AD305" s="105"/>
      <c r="AF305" s="140">
        <v>12979</v>
      </c>
      <c r="AG305" s="138">
        <f t="shared" si="599"/>
        <v>215</v>
      </c>
      <c r="AH305" s="138">
        <f t="shared" si="600"/>
        <v>1.67</v>
      </c>
      <c r="AI305" s="140">
        <v>227</v>
      </c>
      <c r="AJ305" s="138">
        <f t="shared" si="601"/>
        <v>0</v>
      </c>
      <c r="AK305" s="5">
        <f t="shared" si="602"/>
        <v>0</v>
      </c>
      <c r="AL305" s="5" t="str">
        <f t="shared" si="569"/>
        <v>1</v>
      </c>
      <c r="AM305" s="5" t="str">
        <f t="shared" si="570"/>
        <v>2</v>
      </c>
      <c r="AN305" s="5" t="str">
        <f t="shared" si="571"/>
        <v>2</v>
      </c>
      <c r="AO305" s="5" t="str">
        <f t="shared" si="572"/>
        <v>2</v>
      </c>
    </row>
    <row r="306" spans="1:41" x14ac:dyDescent="0.25">
      <c r="A306" s="206">
        <v>44194</v>
      </c>
      <c r="B306" s="121">
        <v>756116</v>
      </c>
      <c r="C306" s="6">
        <f t="shared" si="609"/>
        <v>10027</v>
      </c>
      <c r="D306" s="19">
        <f t="shared" si="610"/>
        <v>1.34</v>
      </c>
      <c r="E306" s="35">
        <f t="shared" si="611"/>
        <v>133</v>
      </c>
      <c r="F306" s="25">
        <f>ROUND((B306/Stats!$B$8)*100000,0)</f>
        <v>7532</v>
      </c>
      <c r="G306" s="22">
        <f>ROUND((C306/Stats!$B$8)*100000,0)</f>
        <v>100</v>
      </c>
      <c r="H306" s="213">
        <v>10056</v>
      </c>
      <c r="I306" s="6">
        <f t="shared" si="612"/>
        <v>274</v>
      </c>
      <c r="J306" s="35">
        <f t="shared" si="613"/>
        <v>2.8</v>
      </c>
      <c r="K306" s="9">
        <f t="shared" si="614"/>
        <v>1.33</v>
      </c>
      <c r="L306" s="43">
        <f>ROUND(((H306/Stats!$B$8)*100000),0)</f>
        <v>100</v>
      </c>
      <c r="M306" s="96">
        <f>Stats!$B$8-N306</f>
        <v>4403117</v>
      </c>
      <c r="N306" s="97">
        <f>ROUND(Stats!$B$33/(1+(Stats!$B$34*EXP(-1*Stats!$B$32*(X306-$X$25)))),0)</f>
        <v>5635990</v>
      </c>
      <c r="O306" s="101">
        <f>IFERROR(ABS((($B306/N306)-1)*100),"")</f>
        <v>86.584149368611378</v>
      </c>
      <c r="P306" s="97">
        <f>ROUND(N306*(Stats!$I$14/100),0)</f>
        <v>136391</v>
      </c>
      <c r="Q306" s="101">
        <f t="shared" si="597"/>
        <v>92.627079499380457</v>
      </c>
      <c r="R306" s="109">
        <f xml:space="preserve"> ROUND(R305 - ((R305 / Stats!$B$27)*(Stats!$B$21*S305)),0)</f>
        <v>1324953</v>
      </c>
      <c r="S306" s="99">
        <f xml:space="preserve"> ROUND(S305 + (R305/Stats!$B$27)*(Stats!$B$21*S305)-(S305*Stats!$B$22),0)</f>
        <v>5</v>
      </c>
      <c r="T306" s="101">
        <f>IFERROR(ABS((($B306/S306)-1)*100),"")</f>
        <v>15122220.000000002</v>
      </c>
      <c r="U306" s="99">
        <f xml:space="preserve"> ROUND(U305 + (S305 * Stats!$B$22),0)</f>
        <v>8714767</v>
      </c>
      <c r="V306" s="99">
        <f>ROUND(S306*(Stats!$I$14/100),0)</f>
        <v>0</v>
      </c>
      <c r="W306" s="105" t="str">
        <f t="shared" si="598"/>
        <v/>
      </c>
      <c r="X306" s="118">
        <v>304</v>
      </c>
      <c r="AD306" s="105"/>
      <c r="AE306" s="49" t="s">
        <v>536</v>
      </c>
      <c r="AF306" s="140">
        <v>10392</v>
      </c>
      <c r="AG306" s="138">
        <f t="shared" si="599"/>
        <v>365</v>
      </c>
      <c r="AH306" s="138">
        <f t="shared" si="600"/>
        <v>3.58</v>
      </c>
      <c r="AI306" s="140">
        <v>274</v>
      </c>
      <c r="AJ306" s="138">
        <f t="shared" si="601"/>
        <v>0</v>
      </c>
      <c r="AK306" s="5">
        <f t="shared" si="602"/>
        <v>0</v>
      </c>
      <c r="AL306" s="5" t="str">
        <f t="shared" si="569"/>
        <v>1</v>
      </c>
      <c r="AM306" s="5" t="str">
        <f t="shared" si="570"/>
        <v>2</v>
      </c>
      <c r="AN306" s="5" t="str">
        <f t="shared" si="571"/>
        <v>0</v>
      </c>
      <c r="AO306" s="5" t="str">
        <f t="shared" si="572"/>
        <v>7</v>
      </c>
    </row>
    <row r="307" spans="1:41" x14ac:dyDescent="0.25">
      <c r="A307" s="206">
        <v>44195</v>
      </c>
      <c r="B307" s="121">
        <v>770602</v>
      </c>
      <c r="C307" s="6">
        <f t="shared" si="609"/>
        <v>14486</v>
      </c>
      <c r="D307" s="19">
        <f t="shared" si="610"/>
        <v>1.92</v>
      </c>
      <c r="E307" s="35">
        <f t="shared" si="611"/>
        <v>188</v>
      </c>
      <c r="F307" s="25">
        <f>ROUND((B307/Stats!$B$8)*100000,0)</f>
        <v>7676</v>
      </c>
      <c r="G307" s="22">
        <f>ROUND((C307/Stats!$B$8)*100000,0)</f>
        <v>144</v>
      </c>
      <c r="H307" s="213">
        <v>10345</v>
      </c>
      <c r="I307" s="6">
        <f t="shared" si="612"/>
        <v>289</v>
      </c>
      <c r="J307" s="35">
        <f t="shared" si="613"/>
        <v>2.87</v>
      </c>
      <c r="K307" s="9">
        <f t="shared" si="614"/>
        <v>1.34</v>
      </c>
      <c r="L307" s="43">
        <f>ROUND(((H307/Stats!$B$8)*100000),0)</f>
        <v>103</v>
      </c>
      <c r="M307" s="96">
        <f>Stats!$B$8-N307</f>
        <v>4403117</v>
      </c>
      <c r="N307" s="97">
        <f>ROUND(Stats!$B$33/(1+(Stats!$B$34*EXP(-1*Stats!$B$32*(X307-$X$25)))),0)</f>
        <v>5635990</v>
      </c>
      <c r="O307" s="101">
        <f t="shared" si="533"/>
        <v>86.327122652808114</v>
      </c>
      <c r="P307" s="97">
        <f>ROUND(N307*(Stats!$I$14/100),0)</f>
        <v>136391</v>
      </c>
      <c r="Q307" s="101">
        <f t="shared" si="597"/>
        <v>92.415188685470454</v>
      </c>
      <c r="R307" s="109">
        <f xml:space="preserve"> ROUND(R306 - ((R306 / Stats!$B$27)*(Stats!$B$21*S306)),0)</f>
        <v>1324953</v>
      </c>
      <c r="S307" s="99">
        <f xml:space="preserve"> ROUND(S306 + (R306/Stats!$B$27)*(Stats!$B$21*S306)-(S306*Stats!$B$22),0)</f>
        <v>5</v>
      </c>
      <c r="T307" s="101">
        <f t="shared" si="534"/>
        <v>15411940</v>
      </c>
      <c r="U307" s="99">
        <f xml:space="preserve"> ROUND(U306 + (S306 * Stats!$B$22),0)</f>
        <v>8714768</v>
      </c>
      <c r="V307" s="99">
        <f>ROUND(S307*(Stats!$I$14/100),0)</f>
        <v>0</v>
      </c>
      <c r="W307" s="105" t="str">
        <f t="shared" si="598"/>
        <v/>
      </c>
      <c r="X307" s="118">
        <v>305</v>
      </c>
      <c r="AD307" s="105"/>
      <c r="AF307" s="140">
        <v>15129</v>
      </c>
      <c r="AG307" s="138">
        <f t="shared" si="599"/>
        <v>643</v>
      </c>
      <c r="AH307" s="138">
        <f t="shared" si="600"/>
        <v>4.34</v>
      </c>
      <c r="AI307" s="140">
        <v>290</v>
      </c>
      <c r="AJ307" s="138">
        <f t="shared" si="601"/>
        <v>1</v>
      </c>
      <c r="AK307" s="5">
        <f t="shared" si="602"/>
        <v>0.35</v>
      </c>
      <c r="AL307" s="5" t="str">
        <f t="shared" si="569"/>
        <v>1</v>
      </c>
      <c r="AM307" s="5" t="str">
        <f t="shared" si="570"/>
        <v>2</v>
      </c>
      <c r="AN307" s="5" t="str">
        <f t="shared" si="571"/>
        <v>5</v>
      </c>
      <c r="AO307" s="5" t="str">
        <f t="shared" si="572"/>
        <v>9</v>
      </c>
    </row>
    <row r="308" spans="1:41" ht="60.75" thickBot="1" x14ac:dyDescent="0.3">
      <c r="A308" s="205">
        <v>44196</v>
      </c>
      <c r="B308" s="122">
        <v>790582</v>
      </c>
      <c r="C308" s="17">
        <f t="shared" si="609"/>
        <v>19980</v>
      </c>
      <c r="D308" s="20">
        <f t="shared" si="610"/>
        <v>2.59</v>
      </c>
      <c r="E308" s="36">
        <f t="shared" si="611"/>
        <v>253</v>
      </c>
      <c r="F308" s="26">
        <f>ROUND((B308/Stats!$B$8)*100000,0)</f>
        <v>7875</v>
      </c>
      <c r="G308" s="23">
        <f>ROUND((C308/Stats!$B$8)*100000,0)</f>
        <v>199</v>
      </c>
      <c r="H308" s="214">
        <v>10552</v>
      </c>
      <c r="I308" s="17">
        <f t="shared" si="612"/>
        <v>207</v>
      </c>
      <c r="J308" s="36">
        <f t="shared" si="613"/>
        <v>2</v>
      </c>
      <c r="K308" s="11">
        <f t="shared" si="614"/>
        <v>1.33</v>
      </c>
      <c r="L308" s="208">
        <f>ROUND(((H308/Stats!$B$8)*100000),0)</f>
        <v>105</v>
      </c>
      <c r="M308" s="106">
        <f>Stats!$B$8-N308</f>
        <v>4403117</v>
      </c>
      <c r="N308" s="54">
        <f>ROUND(Stats!$B$33/(1+(Stats!$B$34*EXP(-1*Stats!$B$32*(X308-$X$25)))),0)</f>
        <v>5635990</v>
      </c>
      <c r="O308" s="12">
        <f t="shared" si="533"/>
        <v>85.972615281432368</v>
      </c>
      <c r="P308" s="54">
        <f>ROUND(N308*(Stats!$I$14/100),0)</f>
        <v>136391</v>
      </c>
      <c r="Q308" s="12">
        <f t="shared" si="597"/>
        <v>92.263419140559137</v>
      </c>
      <c r="R308" s="111">
        <f xml:space="preserve"> ROUND(R307 - ((R307 / Stats!$B$27)*(Stats!$B$21*S307)),0)</f>
        <v>1324953</v>
      </c>
      <c r="S308" s="56">
        <f xml:space="preserve"> ROUND(S307 + (R307/Stats!$B$27)*(Stats!$B$21*S307)-(S307*Stats!$B$22),0)</f>
        <v>5</v>
      </c>
      <c r="T308" s="12">
        <f t="shared" si="534"/>
        <v>15811540</v>
      </c>
      <c r="U308" s="56">
        <f xml:space="preserve"> ROUND(U307 + (S307 * Stats!$B$22),0)</f>
        <v>8714769</v>
      </c>
      <c r="V308" s="56">
        <f>ROUND(S308*(Stats!$I$14/100),0)</f>
        <v>0</v>
      </c>
      <c r="W308" s="107" t="str">
        <f t="shared" si="598"/>
        <v/>
      </c>
      <c r="X308" s="119">
        <v>306</v>
      </c>
      <c r="Y308" s="15"/>
      <c r="Z308" s="12"/>
      <c r="AA308" s="15"/>
      <c r="AB308" s="12"/>
      <c r="AC308" s="15"/>
      <c r="AD308" s="107"/>
      <c r="AE308" s="51" t="s">
        <v>538</v>
      </c>
      <c r="AF308" s="140">
        <v>20414</v>
      </c>
      <c r="AG308" s="138">
        <f t="shared" si="599"/>
        <v>434</v>
      </c>
      <c r="AH308" s="138">
        <f t="shared" si="600"/>
        <v>2.15</v>
      </c>
      <c r="AI308" s="140">
        <v>207</v>
      </c>
      <c r="AJ308" s="138">
        <f t="shared" si="601"/>
        <v>0</v>
      </c>
      <c r="AK308" s="5">
        <f t="shared" si="602"/>
        <v>0</v>
      </c>
      <c r="AL308" s="5" t="str">
        <f t="shared" si="569"/>
        <v>2</v>
      </c>
      <c r="AM308" s="5" t="str">
        <f t="shared" si="570"/>
        <v>2</v>
      </c>
      <c r="AN308" s="5" t="str">
        <f t="shared" si="571"/>
        <v>0</v>
      </c>
      <c r="AO308" s="5" t="str">
        <f t="shared" si="572"/>
        <v>0</v>
      </c>
    </row>
    <row r="309" spans="1:41" ht="15.75" thickTop="1" x14ac:dyDescent="0.25"/>
    <row r="310" spans="1:41" x14ac:dyDescent="0.25">
      <c r="A310" s="255">
        <v>44205</v>
      </c>
      <c r="B310" s="5">
        <v>920177</v>
      </c>
      <c r="C310" s="241"/>
      <c r="F310" s="25">
        <f>ROUND((B310/Stats!$B$8)*100000,0)</f>
        <v>9166</v>
      </c>
      <c r="H310" s="9">
        <v>12250</v>
      </c>
      <c r="K310" s="9">
        <f t="shared" si="614"/>
        <v>1.33</v>
      </c>
      <c r="L310" s="43">
        <f>ROUND(((H310/Stats!$B$8)*100000),0)</f>
        <v>122</v>
      </c>
      <c r="AE310" s="49" t="s">
        <v>557</v>
      </c>
    </row>
    <row r="311" spans="1:41" x14ac:dyDescent="0.25">
      <c r="A311" s="255">
        <v>44207</v>
      </c>
      <c r="B311" s="5">
        <v>944319</v>
      </c>
      <c r="C311" s="241"/>
      <c r="F311" s="25">
        <f>ROUND((B311/Stats!$B$8)*100000,0)</f>
        <v>9406</v>
      </c>
      <c r="H311" s="9">
        <v>12674</v>
      </c>
      <c r="K311" s="9">
        <f t="shared" si="614"/>
        <v>1.34</v>
      </c>
      <c r="L311" s="43">
        <f>ROUND(((H311/Stats!$B$8)*100000),0)</f>
        <v>126</v>
      </c>
    </row>
    <row r="312" spans="1:41" x14ac:dyDescent="0.25">
      <c r="A312" s="255">
        <v>44212</v>
      </c>
      <c r="B312" s="5">
        <v>1014662</v>
      </c>
      <c r="C312" s="241"/>
      <c r="F312" s="25">
        <f>ROUND((B312/Stats!$B$8)*100000,0)</f>
        <v>10107</v>
      </c>
      <c r="H312" s="9">
        <v>13848</v>
      </c>
      <c r="K312" s="9">
        <f t="shared" si="614"/>
        <v>1.36</v>
      </c>
      <c r="L312" s="43">
        <f>ROUND(((H312/Stats!$B$8)*100000),0)</f>
        <v>138</v>
      </c>
      <c r="AE312" s="49" t="s">
        <v>558</v>
      </c>
    </row>
    <row r="313" spans="1:41" x14ac:dyDescent="0.25">
      <c r="A313" s="255">
        <v>44214</v>
      </c>
      <c r="B313" s="5">
        <v>1031874</v>
      </c>
      <c r="C313" s="241"/>
      <c r="F313" s="25">
        <f>ROUND((B313/Stats!$B$8)*100000,0)</f>
        <v>10279</v>
      </c>
      <c r="H313" s="9">
        <v>14122</v>
      </c>
      <c r="K313" s="9">
        <f t="shared" si="614"/>
        <v>1.37</v>
      </c>
      <c r="L313" s="43">
        <f>ROUND(((H313/Stats!$B$8)*100000),0)</f>
        <v>141</v>
      </c>
    </row>
    <row r="314" spans="1:41" x14ac:dyDescent="0.25">
      <c r="A314" s="255">
        <v>44217</v>
      </c>
      <c r="B314" s="5">
        <v>1054802</v>
      </c>
      <c r="C314" s="241"/>
      <c r="F314" s="25">
        <f>ROUND((B314/Stats!$B$8)*100000,0)</f>
        <v>10507</v>
      </c>
      <c r="H314" s="9">
        <v>14894</v>
      </c>
      <c r="K314" s="9">
        <f t="shared" si="614"/>
        <v>1.41</v>
      </c>
      <c r="L314" s="43">
        <f>ROUND(((H314/Stats!$B$8)*100000),0)</f>
        <v>148</v>
      </c>
    </row>
    <row r="315" spans="1:41" x14ac:dyDescent="0.25">
      <c r="A315" s="255">
        <v>44222</v>
      </c>
      <c r="B315" s="5">
        <v>1091712</v>
      </c>
      <c r="C315" s="241"/>
      <c r="F315" s="25">
        <f>ROUND((B315/Stats!$B$8)*100000,0)</f>
        <v>10875</v>
      </c>
      <c r="H315" s="9">
        <v>15897</v>
      </c>
      <c r="K315" s="9">
        <f t="shared" si="614"/>
        <v>1.46</v>
      </c>
      <c r="L315" s="43">
        <f>ROUND(((H315/Stats!$B$8)*100000),0)</f>
        <v>158</v>
      </c>
    </row>
    <row r="316" spans="1:41" x14ac:dyDescent="0.25">
      <c r="A316" s="255">
        <v>44225</v>
      </c>
      <c r="B316" s="5">
        <v>1111089</v>
      </c>
      <c r="C316" s="241"/>
      <c r="F316" s="25">
        <f>ROUND((B316/Stats!$B$8)*100000,0)</f>
        <v>11068</v>
      </c>
      <c r="H316" s="9">
        <v>16647</v>
      </c>
      <c r="K316" s="9">
        <f t="shared" si="614"/>
        <v>1.5</v>
      </c>
      <c r="L316" s="43">
        <f>ROUND(((H316/Stats!$B$8)*100000),0)</f>
        <v>166</v>
      </c>
    </row>
    <row r="317" spans="1:41" x14ac:dyDescent="0.25">
      <c r="A317" s="255">
        <v>44230</v>
      </c>
      <c r="B317" s="5">
        <v>1134338</v>
      </c>
      <c r="C317" s="241"/>
      <c r="F317" s="25">
        <f>ROUND((B317/Stats!$B$8)*100000,0)</f>
        <v>11299</v>
      </c>
      <c r="H317" s="9">
        <v>17539</v>
      </c>
      <c r="K317" s="9">
        <f t="shared" si="614"/>
        <v>1.55</v>
      </c>
      <c r="L317" s="43">
        <f>ROUND(((H317/Stats!$B$8)*100000),0)</f>
        <v>175</v>
      </c>
    </row>
    <row r="318" spans="1:41" x14ac:dyDescent="0.25">
      <c r="A318" s="255">
        <v>44239</v>
      </c>
      <c r="B318" s="5">
        <v>1164769</v>
      </c>
      <c r="C318" s="241"/>
      <c r="F318" s="25">
        <f>ROUND((B318/Stats!$B$8)*100000,0)</f>
        <v>11602</v>
      </c>
      <c r="H318" s="9">
        <v>18984</v>
      </c>
      <c r="K318" s="9">
        <f t="shared" si="614"/>
        <v>1.63</v>
      </c>
      <c r="L318" s="43">
        <f>ROUND(((H318/Stats!$B$8)*100000),0)</f>
        <v>189</v>
      </c>
      <c r="AE318" s="49" t="s">
        <v>559</v>
      </c>
    </row>
    <row r="319" spans="1:41" x14ac:dyDescent="0.25">
      <c r="A319" s="255"/>
    </row>
    <row r="320" spans="1:41" x14ac:dyDescent="0.25">
      <c r="A320" s="255"/>
      <c r="C320" s="241"/>
    </row>
    <row r="321" spans="1:1" x14ac:dyDescent="0.25">
      <c r="A321" s="255"/>
    </row>
    <row r="322" spans="1:1" x14ac:dyDescent="0.25">
      <c r="A322" s="255"/>
    </row>
    <row r="323" spans="1:1" x14ac:dyDescent="0.25">
      <c r="A323" s="255"/>
    </row>
    <row r="324" spans="1:1" x14ac:dyDescent="0.25">
      <c r="A324" s="255"/>
    </row>
  </sheetData>
  <mergeCells count="5">
    <mergeCell ref="B1:G1"/>
    <mergeCell ref="H1:L1"/>
    <mergeCell ref="Y1:AD1"/>
    <mergeCell ref="R1:W1"/>
    <mergeCell ref="M1:Q1"/>
  </mergeCells>
  <phoneticPr fontId="44" type="noConversion"/>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54234-760B-4B44-BEAD-0C73CBC67297}">
  <sheetPr>
    <tabColor rgb="FFFFFF00"/>
  </sheetPr>
  <dimension ref="A1:M16"/>
  <sheetViews>
    <sheetView workbookViewId="0"/>
  </sheetViews>
  <sheetFormatPr defaultRowHeight="15" x14ac:dyDescent="0.25"/>
  <cols>
    <col min="1" max="1" width="10.7109375" style="5" bestFit="1" customWidth="1"/>
    <col min="2" max="2" width="11.140625" style="5" bestFit="1" customWidth="1"/>
    <col min="3" max="3" width="10.28515625" style="53" bestFit="1" customWidth="1"/>
    <col min="4" max="4" width="9.7109375" style="43" bestFit="1" customWidth="1"/>
    <col min="5" max="5" width="10.140625" style="241" bestFit="1" customWidth="1"/>
    <col min="6" max="6" width="10.28515625" style="53" bestFit="1" customWidth="1"/>
    <col min="7" max="7" width="9.7109375" style="43" bestFit="1" customWidth="1"/>
    <col min="8" max="8" width="11.28515625" style="5" bestFit="1" customWidth="1"/>
    <col min="9" max="9" width="10.28515625" style="53" bestFit="1" customWidth="1"/>
    <col min="10" max="10" width="9.7109375" style="43" bestFit="1" customWidth="1"/>
    <col min="11" max="11" width="11.28515625" style="241" bestFit="1" customWidth="1"/>
    <col min="12" max="12" width="10.28515625" style="53" bestFit="1" customWidth="1"/>
    <col min="13" max="13" width="9.7109375" style="43" bestFit="1" customWidth="1"/>
    <col min="14" max="16384" width="9.140625" style="1"/>
  </cols>
  <sheetData>
    <row r="1" spans="1:13" x14ac:dyDescent="0.25">
      <c r="A1" s="235"/>
      <c r="B1" s="235" t="s">
        <v>541</v>
      </c>
      <c r="C1" s="235" t="s">
        <v>2</v>
      </c>
      <c r="D1" s="19"/>
      <c r="E1" s="246"/>
      <c r="F1" s="19"/>
      <c r="G1" s="19"/>
      <c r="H1" s="19"/>
      <c r="I1" s="19"/>
      <c r="J1" s="19"/>
      <c r="K1" s="246"/>
      <c r="L1" s="19"/>
      <c r="M1" s="19"/>
    </row>
    <row r="2" spans="1:13" x14ac:dyDescent="0.25">
      <c r="A2" s="235" t="s">
        <v>546</v>
      </c>
      <c r="B2" s="247">
        <f>CHITEST(D7:D15,C7:C15)</f>
        <v>0.99998936793130966</v>
      </c>
      <c r="C2" s="247">
        <f>CHITEST(J7:J15,I7:I15)</f>
        <v>0.99999824023772255</v>
      </c>
      <c r="D2" s="19"/>
      <c r="E2" s="246"/>
      <c r="F2" s="19"/>
      <c r="G2" s="19"/>
      <c r="H2" s="19"/>
      <c r="I2" s="19"/>
      <c r="J2" s="19"/>
      <c r="K2" s="246"/>
      <c r="L2" s="19"/>
      <c r="M2" s="19"/>
    </row>
    <row r="3" spans="1:13" x14ac:dyDescent="0.25">
      <c r="A3" s="235" t="s">
        <v>547</v>
      </c>
      <c r="B3" s="247">
        <f>CHITEST(G6:G15,F6:F15)</f>
        <v>0.99999999949530927</v>
      </c>
      <c r="C3" s="247">
        <f>CHITEST(M6:M15,L6:L15)</f>
        <v>0.99999999985084709</v>
      </c>
      <c r="D3" s="19"/>
      <c r="E3" s="246"/>
      <c r="F3" s="19"/>
      <c r="G3" s="19"/>
      <c r="H3" s="19"/>
      <c r="I3" s="19"/>
      <c r="J3" s="19"/>
      <c r="K3" s="246"/>
      <c r="L3" s="19"/>
      <c r="M3" s="19"/>
    </row>
    <row r="4" spans="1:13" x14ac:dyDescent="0.25">
      <c r="A4" s="19"/>
      <c r="B4" s="19"/>
      <c r="C4" s="19"/>
      <c r="D4" s="19"/>
      <c r="E4" s="246"/>
      <c r="F4" s="19"/>
      <c r="G4" s="19"/>
      <c r="H4" s="19"/>
      <c r="I4" s="19"/>
      <c r="J4" s="19"/>
      <c r="K4" s="246"/>
      <c r="L4" s="19"/>
      <c r="M4" s="19"/>
    </row>
    <row r="5" spans="1:13" s="2" customFormat="1" ht="30" x14ac:dyDescent="0.25">
      <c r="A5" s="3" t="s">
        <v>539</v>
      </c>
      <c r="B5" s="240" t="s">
        <v>552</v>
      </c>
      <c r="C5" s="184" t="s">
        <v>542</v>
      </c>
      <c r="D5" s="181" t="s">
        <v>543</v>
      </c>
      <c r="E5" s="242" t="s">
        <v>554</v>
      </c>
      <c r="F5" s="184" t="s">
        <v>544</v>
      </c>
      <c r="G5" s="181" t="s">
        <v>545</v>
      </c>
      <c r="H5" s="240" t="s">
        <v>553</v>
      </c>
      <c r="I5" s="184" t="s">
        <v>542</v>
      </c>
      <c r="J5" s="181" t="s">
        <v>543</v>
      </c>
      <c r="K5" s="242" t="s">
        <v>555</v>
      </c>
      <c r="L5" s="184" t="s">
        <v>544</v>
      </c>
      <c r="M5" s="181" t="s">
        <v>545</v>
      </c>
    </row>
    <row r="6" spans="1:13" s="71" customFormat="1" x14ac:dyDescent="0.25">
      <c r="A6" s="238">
        <v>0</v>
      </c>
      <c r="B6" s="238"/>
      <c r="C6" s="185"/>
      <c r="D6" s="77"/>
      <c r="E6" s="243">
        <f>COUNTIF(Data!$AN$3:$AN$308,A6)</f>
        <v>31</v>
      </c>
      <c r="F6" s="239">
        <v>0.1197</v>
      </c>
      <c r="G6" s="245">
        <f>E6/$B$16</f>
        <v>0.13478260869565217</v>
      </c>
      <c r="H6" s="238"/>
      <c r="I6" s="185"/>
      <c r="J6" s="77"/>
      <c r="K6" s="243">
        <f>COUNTIF(Data!$AO$3:$AO$308,A6)</f>
        <v>28</v>
      </c>
      <c r="L6" s="239">
        <v>0.1197</v>
      </c>
      <c r="M6" s="245">
        <f>K6/($H$16-1)</f>
        <v>0.1222707423580786</v>
      </c>
    </row>
    <row r="7" spans="1:13" x14ac:dyDescent="0.25">
      <c r="A7" s="5">
        <v>1</v>
      </c>
      <c r="B7" s="5">
        <f>COUNTIF(Data!$AL$3:$AL$308,A7)</f>
        <v>112</v>
      </c>
      <c r="C7" s="236">
        <f>LOG(1+(1/A7),10)</f>
        <v>0.30102999566398114</v>
      </c>
      <c r="D7" s="237">
        <f>B7/$B$16</f>
        <v>0.48695652173913045</v>
      </c>
      <c r="E7" s="241">
        <f>COUNTIF(Data!$AN$3:$AN$308,A7)</f>
        <v>33</v>
      </c>
      <c r="F7" s="236">
        <v>0.1139</v>
      </c>
      <c r="G7" s="237">
        <f t="shared" ref="G7:G15" si="0">E7/$B$16</f>
        <v>0.14347826086956522</v>
      </c>
      <c r="H7" s="5">
        <f>COUNTIF(Data!$AM$3:$AM$308,A7)</f>
        <v>45</v>
      </c>
      <c r="I7" s="236">
        <f t="shared" ref="I7:I15" si="1">LOG(1+(1/A7),10)</f>
        <v>0.30102999566398114</v>
      </c>
      <c r="J7" s="237">
        <f>H7/$H$16</f>
        <v>0.19565217391304349</v>
      </c>
      <c r="K7" s="244">
        <f>COUNTIF(Data!$AO$3:$AO$308,A7)</f>
        <v>24</v>
      </c>
      <c r="L7" s="236">
        <v>0.1139</v>
      </c>
      <c r="M7" s="245">
        <f t="shared" ref="M7:M15" si="2">K7/($H$16-1)</f>
        <v>0.10480349344978165</v>
      </c>
    </row>
    <row r="8" spans="1:13" x14ac:dyDescent="0.25">
      <c r="A8" s="5">
        <v>2</v>
      </c>
      <c r="B8" s="5">
        <f>COUNTIF(Data!$AL$3:$AL$308,A8)</f>
        <v>48</v>
      </c>
      <c r="C8" s="236">
        <f t="shared" ref="C8:C15" si="3">LOG(1+(1/A8),10)</f>
        <v>0.17609125905568124</v>
      </c>
      <c r="D8" s="237">
        <f t="shared" ref="D8:D15" si="4">B8/$B$16</f>
        <v>0.20869565217391303</v>
      </c>
      <c r="E8" s="241">
        <f>COUNTIF(Data!$AN$3:$AN$308,A8)</f>
        <v>30</v>
      </c>
      <c r="F8" s="236">
        <v>0.10879999999999999</v>
      </c>
      <c r="G8" s="237">
        <f t="shared" si="0"/>
        <v>0.13043478260869565</v>
      </c>
      <c r="H8" s="5">
        <f>COUNTIF(Data!$AM$3:$AM$308,A8)</f>
        <v>49</v>
      </c>
      <c r="I8" s="236">
        <f t="shared" si="1"/>
        <v>0.17609125905568124</v>
      </c>
      <c r="J8" s="237">
        <f t="shared" ref="J8:J15" si="5">H8/$H$16</f>
        <v>0.21304347826086956</v>
      </c>
      <c r="K8" s="244">
        <f>COUNTIF(Data!$AO$3:$AO$308,A8)</f>
        <v>15</v>
      </c>
      <c r="L8" s="236">
        <v>0.10879999999999999</v>
      </c>
      <c r="M8" s="245">
        <f t="shared" si="2"/>
        <v>6.5502183406113537E-2</v>
      </c>
    </row>
    <row r="9" spans="1:13" x14ac:dyDescent="0.25">
      <c r="A9" s="5">
        <v>3</v>
      </c>
      <c r="B9" s="5">
        <f>COUNTIF(Data!$AL$3:$AL$308,A9)</f>
        <v>13</v>
      </c>
      <c r="C9" s="236">
        <f t="shared" si="3"/>
        <v>0.12493873660829991</v>
      </c>
      <c r="D9" s="237">
        <f t="shared" si="4"/>
        <v>5.6521739130434782E-2</v>
      </c>
      <c r="E9" s="241">
        <f>COUNTIF(Data!$AN$3:$AN$308,A9)</f>
        <v>29</v>
      </c>
      <c r="F9" s="236">
        <v>0.1043</v>
      </c>
      <c r="G9" s="237">
        <f t="shared" si="0"/>
        <v>0.12608695652173912</v>
      </c>
      <c r="H9" s="5">
        <f>COUNTIF(Data!$AM$3:$AM$308,A9)</f>
        <v>32</v>
      </c>
      <c r="I9" s="236">
        <f t="shared" si="1"/>
        <v>0.12493873660829991</v>
      </c>
      <c r="J9" s="237">
        <f t="shared" si="5"/>
        <v>0.1391304347826087</v>
      </c>
      <c r="K9" s="244">
        <f>COUNTIF(Data!$AO$3:$AO$308,A9)</f>
        <v>24</v>
      </c>
      <c r="L9" s="236">
        <v>0.1043</v>
      </c>
      <c r="M9" s="245">
        <f t="shared" si="2"/>
        <v>0.10480349344978165</v>
      </c>
    </row>
    <row r="10" spans="1:13" x14ac:dyDescent="0.25">
      <c r="A10" s="5">
        <v>4</v>
      </c>
      <c r="B10" s="5">
        <f>COUNTIF(Data!$AL$3:$AL$308,A10)</f>
        <v>13</v>
      </c>
      <c r="C10" s="236">
        <f t="shared" si="3"/>
        <v>9.6910013008056406E-2</v>
      </c>
      <c r="D10" s="237">
        <f t="shared" si="4"/>
        <v>5.6521739130434782E-2</v>
      </c>
      <c r="E10" s="241">
        <f>COUNTIF(Data!$AN$3:$AN$308,A10)</f>
        <v>18</v>
      </c>
      <c r="F10" s="236">
        <v>0.1003</v>
      </c>
      <c r="G10" s="237">
        <f t="shared" si="0"/>
        <v>7.8260869565217397E-2</v>
      </c>
      <c r="H10" s="5">
        <f>COUNTIF(Data!$AM$3:$AM$308,A10)</f>
        <v>37</v>
      </c>
      <c r="I10" s="236">
        <f t="shared" si="1"/>
        <v>9.6910013008056406E-2</v>
      </c>
      <c r="J10" s="237">
        <f t="shared" si="5"/>
        <v>0.16086956521739129</v>
      </c>
      <c r="K10" s="244">
        <f>COUNTIF(Data!$AO$3:$AO$308,A10)</f>
        <v>26</v>
      </c>
      <c r="L10" s="236">
        <v>0.1003</v>
      </c>
      <c r="M10" s="245">
        <f t="shared" si="2"/>
        <v>0.11353711790393013</v>
      </c>
    </row>
    <row r="11" spans="1:13" x14ac:dyDescent="0.25">
      <c r="A11" s="5">
        <v>5</v>
      </c>
      <c r="B11" s="5">
        <f>COUNTIF(Data!$AL$3:$AL$308,A11)</f>
        <v>6</v>
      </c>
      <c r="C11" s="236">
        <f t="shared" si="3"/>
        <v>7.9181246047624804E-2</v>
      </c>
      <c r="D11" s="237">
        <f t="shared" si="4"/>
        <v>2.6086956521739129E-2</v>
      </c>
      <c r="E11" s="241">
        <f>COUNTIF(Data!$AN$3:$AN$308,A11)</f>
        <v>19</v>
      </c>
      <c r="F11" s="236">
        <v>9.6699999999999994E-2</v>
      </c>
      <c r="G11" s="237">
        <f t="shared" si="0"/>
        <v>8.2608695652173908E-2</v>
      </c>
      <c r="H11" s="5">
        <f>COUNTIF(Data!$AM$3:$AM$308,A11)</f>
        <v>31</v>
      </c>
      <c r="I11" s="236">
        <f t="shared" si="1"/>
        <v>7.9181246047624804E-2</v>
      </c>
      <c r="J11" s="237">
        <f t="shared" si="5"/>
        <v>0.13478260869565217</v>
      </c>
      <c r="K11" s="244">
        <f>COUNTIF(Data!$AO$3:$AO$308,A11)</f>
        <v>23</v>
      </c>
      <c r="L11" s="236">
        <v>9.6699999999999994E-2</v>
      </c>
      <c r="M11" s="245">
        <f t="shared" si="2"/>
        <v>0.10043668122270742</v>
      </c>
    </row>
    <row r="12" spans="1:13" x14ac:dyDescent="0.25">
      <c r="A12" s="5">
        <v>6</v>
      </c>
      <c r="B12" s="5">
        <f>COUNTIF(Data!$AL$3:$AL$308,A12)</f>
        <v>5</v>
      </c>
      <c r="C12" s="236">
        <f t="shared" si="3"/>
        <v>6.6946789630613221E-2</v>
      </c>
      <c r="D12" s="237">
        <f t="shared" si="4"/>
        <v>2.1739130434782608E-2</v>
      </c>
      <c r="E12" s="241">
        <f>COUNTIF(Data!$AN$3:$AN$308,A12)</f>
        <v>20</v>
      </c>
      <c r="F12" s="236">
        <v>9.3399999999999997E-2</v>
      </c>
      <c r="G12" s="237">
        <f t="shared" si="0"/>
        <v>8.6956521739130432E-2</v>
      </c>
      <c r="H12" s="5">
        <f>COUNTIF(Data!$AM$3:$AM$308,A12)</f>
        <v>17</v>
      </c>
      <c r="I12" s="236">
        <f t="shared" si="1"/>
        <v>6.6946789630613221E-2</v>
      </c>
      <c r="J12" s="237">
        <f t="shared" si="5"/>
        <v>7.3913043478260873E-2</v>
      </c>
      <c r="K12" s="244">
        <f>COUNTIF(Data!$AO$3:$AO$308,A12)</f>
        <v>20</v>
      </c>
      <c r="L12" s="236">
        <v>9.3399999999999997E-2</v>
      </c>
      <c r="M12" s="245">
        <f t="shared" si="2"/>
        <v>8.7336244541484712E-2</v>
      </c>
    </row>
    <row r="13" spans="1:13" x14ac:dyDescent="0.25">
      <c r="A13" s="5">
        <v>7</v>
      </c>
      <c r="B13" s="5">
        <f>COUNTIF(Data!$AL$3:$AL$308,A13)</f>
        <v>7</v>
      </c>
      <c r="C13" s="236">
        <f t="shared" si="3"/>
        <v>5.7991946977686726E-2</v>
      </c>
      <c r="D13" s="237">
        <f t="shared" si="4"/>
        <v>3.0434782608695653E-2</v>
      </c>
      <c r="E13" s="241">
        <f>COUNTIF(Data!$AN$3:$AN$308,A13)</f>
        <v>21</v>
      </c>
      <c r="F13" s="236">
        <v>9.0399999999999994E-2</v>
      </c>
      <c r="G13" s="237">
        <f t="shared" si="0"/>
        <v>9.1304347826086957E-2</v>
      </c>
      <c r="H13" s="5">
        <f>COUNTIF(Data!$AM$3:$AM$308,A13)</f>
        <v>9</v>
      </c>
      <c r="I13" s="236">
        <f t="shared" si="1"/>
        <v>5.7991946977686726E-2</v>
      </c>
      <c r="J13" s="237">
        <f t="shared" si="5"/>
        <v>3.9130434782608699E-2</v>
      </c>
      <c r="K13" s="244">
        <f>COUNTIF(Data!$AO$3:$AO$308,A13)</f>
        <v>22</v>
      </c>
      <c r="L13" s="236">
        <v>9.0399999999999994E-2</v>
      </c>
      <c r="M13" s="245">
        <f t="shared" si="2"/>
        <v>9.606986899563319E-2</v>
      </c>
    </row>
    <row r="14" spans="1:13" x14ac:dyDescent="0.25">
      <c r="A14" s="5">
        <v>8</v>
      </c>
      <c r="B14" s="5">
        <f>COUNTIF(Data!$AL$3:$AL$308,A14)</f>
        <v>12</v>
      </c>
      <c r="C14" s="236">
        <f t="shared" si="3"/>
        <v>5.1152522447381284E-2</v>
      </c>
      <c r="D14" s="237">
        <f t="shared" si="4"/>
        <v>5.2173913043478258E-2</v>
      </c>
      <c r="E14" s="241">
        <f>COUNTIF(Data!$AN$3:$AN$308,A14)</f>
        <v>12</v>
      </c>
      <c r="F14" s="236">
        <v>8.7599999999999997E-2</v>
      </c>
      <c r="G14" s="237">
        <f t="shared" si="0"/>
        <v>5.2173913043478258E-2</v>
      </c>
      <c r="H14" s="5">
        <f>COUNTIF(Data!$AM$3:$AM$308,A14)</f>
        <v>5</v>
      </c>
      <c r="I14" s="236">
        <f t="shared" si="1"/>
        <v>5.1152522447381284E-2</v>
      </c>
      <c r="J14" s="237">
        <f t="shared" si="5"/>
        <v>2.1739130434782608E-2</v>
      </c>
      <c r="K14" s="244">
        <f>COUNTIF(Data!$AO$3:$AO$308,A14)</f>
        <v>27</v>
      </c>
      <c r="L14" s="236">
        <v>8.7599999999999997E-2</v>
      </c>
      <c r="M14" s="245">
        <f t="shared" si="2"/>
        <v>0.11790393013100436</v>
      </c>
    </row>
    <row r="15" spans="1:13" x14ac:dyDescent="0.25">
      <c r="A15" s="5">
        <v>9</v>
      </c>
      <c r="B15" s="5">
        <f>COUNTIF(Data!$AL$3:$AL$308,A15)</f>
        <v>14</v>
      </c>
      <c r="C15" s="236">
        <f t="shared" si="3"/>
        <v>4.5757490560675143E-2</v>
      </c>
      <c r="D15" s="237">
        <f t="shared" si="4"/>
        <v>6.0869565217391307E-2</v>
      </c>
      <c r="E15" s="241">
        <f>COUNTIF(Data!$AN$3:$AN$308,A15)</f>
        <v>17</v>
      </c>
      <c r="F15" s="236">
        <v>8.5000000000000006E-2</v>
      </c>
      <c r="G15" s="237">
        <f t="shared" si="0"/>
        <v>7.3913043478260873E-2</v>
      </c>
      <c r="H15" s="5">
        <f>COUNTIF(Data!$AM$3:$AM$308,A15)</f>
        <v>5</v>
      </c>
      <c r="I15" s="236">
        <f t="shared" si="1"/>
        <v>4.5757490560675143E-2</v>
      </c>
      <c r="J15" s="237">
        <f t="shared" si="5"/>
        <v>2.1739130434782608E-2</v>
      </c>
      <c r="K15" s="244">
        <f>COUNTIF(Data!$AO$3:$AO$308,A15)</f>
        <v>21</v>
      </c>
      <c r="L15" s="236">
        <v>8.5000000000000006E-2</v>
      </c>
      <c r="M15" s="245">
        <f t="shared" si="2"/>
        <v>9.1703056768558958E-2</v>
      </c>
    </row>
    <row r="16" spans="1:13" ht="75" x14ac:dyDescent="0.25">
      <c r="A16" s="175" t="s">
        <v>540</v>
      </c>
      <c r="B16" s="175">
        <f>SUM(B7:B15)</f>
        <v>230</v>
      </c>
      <c r="H16" s="175">
        <f>SUM(H7:H15)</f>
        <v>230</v>
      </c>
      <c r="M16" s="248" t="s">
        <v>556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C87D8-233D-48EC-B161-30F5FAAE1FB3}">
  <sheetPr>
    <tabColor rgb="FFCC99FF"/>
  </sheetPr>
  <dimension ref="A1:K326"/>
  <sheetViews>
    <sheetView workbookViewId="0">
      <pane ySplit="20" topLeftCell="A21" activePane="bottomLeft" state="frozen"/>
      <selection pane="bottomLeft" activeCell="B6" sqref="B6"/>
    </sheetView>
  </sheetViews>
  <sheetFormatPr defaultRowHeight="15" x14ac:dyDescent="0.25"/>
  <cols>
    <col min="1" max="1" width="33.5703125" style="1" bestFit="1" customWidth="1"/>
    <col min="2" max="2" width="9" style="1" bestFit="1" customWidth="1"/>
    <col min="3" max="3" width="8" style="1" bestFit="1" customWidth="1"/>
    <col min="4" max="4" width="8" style="5" bestFit="1" customWidth="1"/>
    <col min="5" max="5" width="7" style="55" bestFit="1" customWidth="1"/>
    <col min="6" max="7" width="8" style="55" bestFit="1" customWidth="1"/>
    <col min="8" max="8" width="7" style="9" bestFit="1" customWidth="1"/>
    <col min="9" max="10" width="9.140625" style="53"/>
    <col min="11" max="11" width="9.140625" style="9"/>
    <col min="12" max="16384" width="9.140625" style="1"/>
  </cols>
  <sheetData>
    <row r="1" spans="1:2" x14ac:dyDescent="0.25">
      <c r="A1" s="187" t="s">
        <v>322</v>
      </c>
      <c r="B1" s="188">
        <v>10000000</v>
      </c>
    </row>
    <row r="2" spans="1:2" x14ac:dyDescent="0.25">
      <c r="A2" s="189"/>
      <c r="B2" s="190"/>
    </row>
    <row r="3" spans="1:2" x14ac:dyDescent="0.25">
      <c r="A3" s="191" t="s">
        <v>320</v>
      </c>
      <c r="B3" s="192">
        <v>3.65</v>
      </c>
    </row>
    <row r="4" spans="1:2" x14ac:dyDescent="0.25">
      <c r="A4" s="189" t="s">
        <v>46</v>
      </c>
      <c r="B4" s="190">
        <f>B3*B5</f>
        <v>0.36499999999999999</v>
      </c>
    </row>
    <row r="5" spans="1:2" x14ac:dyDescent="0.25">
      <c r="A5" s="189" t="s">
        <v>47</v>
      </c>
      <c r="B5" s="190">
        <f>1/B6</f>
        <v>0.1</v>
      </c>
    </row>
    <row r="6" spans="1:2" x14ac:dyDescent="0.25">
      <c r="A6" s="191" t="s">
        <v>48</v>
      </c>
      <c r="B6" s="192">
        <v>10</v>
      </c>
    </row>
    <row r="7" spans="1:2" x14ac:dyDescent="0.25">
      <c r="A7" s="189" t="s">
        <v>221</v>
      </c>
      <c r="B7" s="190">
        <f>ROUND((1-(1/B3))*100,2)</f>
        <v>72.599999999999994</v>
      </c>
    </row>
    <row r="8" spans="1:2" ht="15.75" thickBot="1" x14ac:dyDescent="0.3">
      <c r="A8" s="193" t="s">
        <v>113</v>
      </c>
      <c r="B8" s="194">
        <v>0.11</v>
      </c>
    </row>
    <row r="9" spans="1:2" ht="15.75" thickBot="1" x14ac:dyDescent="0.3"/>
    <row r="10" spans="1:2" x14ac:dyDescent="0.25">
      <c r="A10" s="186" t="s">
        <v>42</v>
      </c>
      <c r="B10" s="195"/>
    </row>
    <row r="11" spans="1:2" x14ac:dyDescent="0.25">
      <c r="A11" s="196" t="s">
        <v>82</v>
      </c>
      <c r="B11" s="197">
        <f>B1</f>
        <v>10000000</v>
      </c>
    </row>
    <row r="12" spans="1:2" x14ac:dyDescent="0.25">
      <c r="A12" s="196" t="s">
        <v>83</v>
      </c>
      <c r="B12" s="197">
        <v>500</v>
      </c>
    </row>
    <row r="13" spans="1:2" ht="15.75" thickBot="1" x14ac:dyDescent="0.3">
      <c r="A13" s="198" t="s">
        <v>84</v>
      </c>
      <c r="B13" s="199">
        <v>0</v>
      </c>
    </row>
    <row r="14" spans="1:2" ht="15.75" thickBot="1" x14ac:dyDescent="0.3">
      <c r="A14" s="200"/>
      <c r="B14" s="200"/>
    </row>
    <row r="15" spans="1:2" x14ac:dyDescent="0.25">
      <c r="A15" s="120" t="s">
        <v>54</v>
      </c>
      <c r="B15" s="190"/>
    </row>
    <row r="16" spans="1:2" x14ac:dyDescent="0.25">
      <c r="A16" s="189" t="s">
        <v>106</v>
      </c>
      <c r="B16" s="190">
        <f>B4-B5</f>
        <v>0.26500000000000001</v>
      </c>
    </row>
    <row r="17" spans="1:11" x14ac:dyDescent="0.25">
      <c r="A17" s="189" t="s">
        <v>321</v>
      </c>
      <c r="B17" s="190">
        <f>ROUND((1-(B5/B4))*B1,0)</f>
        <v>7260274</v>
      </c>
    </row>
    <row r="18" spans="1:11" ht="15.75" thickBot="1" x14ac:dyDescent="0.3">
      <c r="A18" s="201" t="s">
        <v>108</v>
      </c>
      <c r="B18" s="202">
        <f>ROUND((B17/B12)-1,0)</f>
        <v>14520</v>
      </c>
    </row>
    <row r="20" spans="1:11" s="30" customFormat="1" x14ac:dyDescent="0.25">
      <c r="A20" s="3" t="s">
        <v>3</v>
      </c>
      <c r="B20" s="183" t="s">
        <v>39</v>
      </c>
      <c r="C20" s="183" t="s">
        <v>40</v>
      </c>
      <c r="D20" s="183" t="s">
        <v>41</v>
      </c>
      <c r="E20" s="8" t="s">
        <v>323</v>
      </c>
      <c r="F20" s="184" t="s">
        <v>39</v>
      </c>
      <c r="G20" s="184" t="s">
        <v>40</v>
      </c>
      <c r="H20" s="8" t="s">
        <v>323</v>
      </c>
      <c r="I20" s="185"/>
      <c r="J20" s="185"/>
      <c r="K20" s="76"/>
    </row>
    <row r="21" spans="1:11" x14ac:dyDescent="0.25">
      <c r="A21" s="5">
        <v>1</v>
      </c>
      <c r="B21" s="203">
        <f>B11</f>
        <v>10000000</v>
      </c>
      <c r="C21" s="203">
        <f>B12</f>
        <v>500</v>
      </c>
      <c r="D21" s="203">
        <f>B13</f>
        <v>0</v>
      </c>
      <c r="E21" s="9">
        <f>ROUND(C21*$B$8,0)</f>
        <v>55</v>
      </c>
      <c r="F21" s="53">
        <f>$B$1-G21</f>
        <v>9999500</v>
      </c>
      <c r="G21" s="53">
        <f t="shared" ref="G21:G52" si="0">ROUND($B$17/(1+($B$18*EXP(-1*$B$16*(A21-$A$21)))),0)</f>
        <v>500</v>
      </c>
      <c r="H21" s="9">
        <f>ROUND(G21*$B$8,0)</f>
        <v>55</v>
      </c>
    </row>
    <row r="22" spans="1:11" x14ac:dyDescent="0.25">
      <c r="A22" s="5">
        <v>2</v>
      </c>
      <c r="B22" s="55">
        <f xml:space="preserve"> ROUND(B21 - ((B21 / $B$11)*($B$4*C21)),0)</f>
        <v>9999818</v>
      </c>
      <c r="C22" s="55">
        <f xml:space="preserve"> ROUND(C21 + (B21/$B$11)*($B$4*C21)-(C21*$B$5),0)</f>
        <v>633</v>
      </c>
      <c r="D22" s="55">
        <f xml:space="preserve"> ROUND(D21 + (C21 * $B$5),0)</f>
        <v>50</v>
      </c>
      <c r="E22" s="9">
        <f>ROUND(C22*$B$8,0)</f>
        <v>70</v>
      </c>
      <c r="F22" s="53">
        <f t="shared" ref="F22:F85" si="1">$B$1-G22</f>
        <v>9999348</v>
      </c>
      <c r="G22" s="53">
        <f t="shared" si="0"/>
        <v>652</v>
      </c>
      <c r="H22" s="9">
        <f t="shared" ref="H22:H85" si="2">ROUND(G22*$B$8,0)</f>
        <v>72</v>
      </c>
    </row>
    <row r="23" spans="1:11" x14ac:dyDescent="0.25">
      <c r="A23" s="5">
        <v>3</v>
      </c>
      <c r="B23" s="55">
        <f t="shared" ref="B23:B86" si="3" xml:space="preserve"> ROUND(B22 - ((B22 / $B$11)*($B$4*C22)),0)</f>
        <v>9999587</v>
      </c>
      <c r="C23" s="55">
        <f t="shared" ref="C23:C86" si="4" xml:space="preserve"> ROUND(C22 + (B22/$B$11)*($B$4*C22)-(C22*$B$5),0)</f>
        <v>801</v>
      </c>
      <c r="D23" s="55">
        <f t="shared" ref="D23:D86" si="5" xml:space="preserve"> ROUND(D22 + (C22 * $B$5),0)</f>
        <v>113</v>
      </c>
      <c r="E23" s="9">
        <f t="shared" ref="E23:E86" si="6">ROUND(C23*$B$8,0)</f>
        <v>88</v>
      </c>
      <c r="F23" s="53">
        <f t="shared" si="1"/>
        <v>9999151</v>
      </c>
      <c r="G23" s="53">
        <f t="shared" si="0"/>
        <v>849</v>
      </c>
      <c r="H23" s="9">
        <f t="shared" si="2"/>
        <v>93</v>
      </c>
    </row>
    <row r="24" spans="1:11" x14ac:dyDescent="0.25">
      <c r="A24" s="5">
        <v>4</v>
      </c>
      <c r="B24" s="55">
        <f t="shared" si="3"/>
        <v>9999295</v>
      </c>
      <c r="C24" s="55">
        <f t="shared" si="4"/>
        <v>1013</v>
      </c>
      <c r="D24" s="55">
        <f t="shared" si="5"/>
        <v>193</v>
      </c>
      <c r="E24" s="9">
        <f t="shared" si="6"/>
        <v>111</v>
      </c>
      <c r="F24" s="53">
        <f t="shared" si="1"/>
        <v>9998893</v>
      </c>
      <c r="G24" s="53">
        <f t="shared" si="0"/>
        <v>1107</v>
      </c>
      <c r="H24" s="9">
        <f t="shared" si="2"/>
        <v>122</v>
      </c>
    </row>
    <row r="25" spans="1:11" x14ac:dyDescent="0.25">
      <c r="A25" s="5">
        <v>5</v>
      </c>
      <c r="B25" s="55">
        <f t="shared" si="3"/>
        <v>9998925</v>
      </c>
      <c r="C25" s="55">
        <f t="shared" si="4"/>
        <v>1281</v>
      </c>
      <c r="D25" s="55">
        <f t="shared" si="5"/>
        <v>294</v>
      </c>
      <c r="E25" s="9">
        <f t="shared" si="6"/>
        <v>141</v>
      </c>
      <c r="F25" s="53">
        <f t="shared" si="1"/>
        <v>9998557</v>
      </c>
      <c r="G25" s="53">
        <f t="shared" si="0"/>
        <v>1443</v>
      </c>
      <c r="H25" s="9">
        <f t="shared" si="2"/>
        <v>159</v>
      </c>
    </row>
    <row r="26" spans="1:11" x14ac:dyDescent="0.25">
      <c r="A26" s="5">
        <v>6</v>
      </c>
      <c r="B26" s="55">
        <f t="shared" si="3"/>
        <v>9998457</v>
      </c>
      <c r="C26" s="55">
        <f t="shared" si="4"/>
        <v>1620</v>
      </c>
      <c r="D26" s="55">
        <f t="shared" si="5"/>
        <v>422</v>
      </c>
      <c r="E26" s="9">
        <f t="shared" si="6"/>
        <v>178</v>
      </c>
      <c r="F26" s="53">
        <f t="shared" si="1"/>
        <v>9998119</v>
      </c>
      <c r="G26" s="53">
        <f t="shared" si="0"/>
        <v>1881</v>
      </c>
      <c r="H26" s="9">
        <f t="shared" si="2"/>
        <v>207</v>
      </c>
    </row>
    <row r="27" spans="1:11" x14ac:dyDescent="0.25">
      <c r="A27" s="5">
        <v>7</v>
      </c>
      <c r="B27" s="55">
        <f t="shared" si="3"/>
        <v>9997866</v>
      </c>
      <c r="C27" s="55">
        <f t="shared" si="4"/>
        <v>2049</v>
      </c>
      <c r="D27" s="55">
        <f t="shared" si="5"/>
        <v>584</v>
      </c>
      <c r="E27" s="9">
        <f t="shared" si="6"/>
        <v>225</v>
      </c>
      <c r="F27" s="53">
        <f t="shared" si="1"/>
        <v>9997549</v>
      </c>
      <c r="G27" s="53">
        <f t="shared" si="0"/>
        <v>2451</v>
      </c>
      <c r="H27" s="9">
        <f t="shared" si="2"/>
        <v>270</v>
      </c>
    </row>
    <row r="28" spans="1:11" x14ac:dyDescent="0.25">
      <c r="A28" s="5">
        <v>8</v>
      </c>
      <c r="B28" s="55">
        <f t="shared" si="3"/>
        <v>9997118</v>
      </c>
      <c r="C28" s="55">
        <f t="shared" si="4"/>
        <v>2592</v>
      </c>
      <c r="D28" s="55">
        <f t="shared" si="5"/>
        <v>789</v>
      </c>
      <c r="E28" s="9">
        <f t="shared" si="6"/>
        <v>285</v>
      </c>
      <c r="F28" s="53">
        <f t="shared" si="1"/>
        <v>9996805</v>
      </c>
      <c r="G28" s="53">
        <f t="shared" si="0"/>
        <v>3195</v>
      </c>
      <c r="H28" s="9">
        <f t="shared" si="2"/>
        <v>351</v>
      </c>
    </row>
    <row r="29" spans="1:11" x14ac:dyDescent="0.25">
      <c r="A29" s="5">
        <v>9</v>
      </c>
      <c r="B29" s="55">
        <f t="shared" si="3"/>
        <v>9996172</v>
      </c>
      <c r="C29" s="55">
        <f t="shared" si="4"/>
        <v>3279</v>
      </c>
      <c r="D29" s="55">
        <f t="shared" si="5"/>
        <v>1048</v>
      </c>
      <c r="E29" s="9">
        <f t="shared" si="6"/>
        <v>361</v>
      </c>
      <c r="F29" s="53">
        <f t="shared" si="1"/>
        <v>9995837</v>
      </c>
      <c r="G29" s="53">
        <f t="shared" si="0"/>
        <v>4163</v>
      </c>
      <c r="H29" s="9">
        <f t="shared" si="2"/>
        <v>458</v>
      </c>
    </row>
    <row r="30" spans="1:11" x14ac:dyDescent="0.25">
      <c r="A30" s="5">
        <v>10</v>
      </c>
      <c r="B30" s="55">
        <f t="shared" si="3"/>
        <v>9994976</v>
      </c>
      <c r="C30" s="55">
        <f t="shared" si="4"/>
        <v>4147</v>
      </c>
      <c r="D30" s="55">
        <f t="shared" si="5"/>
        <v>1376</v>
      </c>
      <c r="E30" s="9">
        <f t="shared" si="6"/>
        <v>456</v>
      </c>
      <c r="F30" s="53">
        <f t="shared" si="1"/>
        <v>9994574</v>
      </c>
      <c r="G30" s="53">
        <f t="shared" si="0"/>
        <v>5426</v>
      </c>
      <c r="H30" s="9">
        <f t="shared" si="2"/>
        <v>597</v>
      </c>
    </row>
    <row r="31" spans="1:11" x14ac:dyDescent="0.25">
      <c r="A31" s="5">
        <v>11</v>
      </c>
      <c r="B31" s="55">
        <f t="shared" si="3"/>
        <v>9993463</v>
      </c>
      <c r="C31" s="55">
        <f t="shared" si="4"/>
        <v>5245</v>
      </c>
      <c r="D31" s="55">
        <f t="shared" si="5"/>
        <v>1791</v>
      </c>
      <c r="E31" s="9">
        <f t="shared" si="6"/>
        <v>577</v>
      </c>
      <c r="F31" s="53">
        <f t="shared" si="1"/>
        <v>9992930</v>
      </c>
      <c r="G31" s="53">
        <f t="shared" si="0"/>
        <v>7070</v>
      </c>
      <c r="H31" s="9">
        <f t="shared" si="2"/>
        <v>778</v>
      </c>
    </row>
    <row r="32" spans="1:11" x14ac:dyDescent="0.25">
      <c r="A32" s="5">
        <v>12</v>
      </c>
      <c r="B32" s="55">
        <f t="shared" si="3"/>
        <v>9991550</v>
      </c>
      <c r="C32" s="55">
        <f t="shared" si="4"/>
        <v>6634</v>
      </c>
      <c r="D32" s="55">
        <f t="shared" si="5"/>
        <v>2316</v>
      </c>
      <c r="E32" s="9">
        <f t="shared" si="6"/>
        <v>730</v>
      </c>
      <c r="F32" s="53">
        <f t="shared" si="1"/>
        <v>9990787</v>
      </c>
      <c r="G32" s="53">
        <f t="shared" si="0"/>
        <v>9213</v>
      </c>
      <c r="H32" s="9">
        <f t="shared" si="2"/>
        <v>1013</v>
      </c>
    </row>
    <row r="33" spans="1:8" x14ac:dyDescent="0.25">
      <c r="A33" s="5">
        <v>13</v>
      </c>
      <c r="B33" s="55">
        <f t="shared" si="3"/>
        <v>9989131</v>
      </c>
      <c r="C33" s="55">
        <f t="shared" si="4"/>
        <v>8390</v>
      </c>
      <c r="D33" s="55">
        <f t="shared" si="5"/>
        <v>2979</v>
      </c>
      <c r="E33" s="9">
        <f t="shared" si="6"/>
        <v>923</v>
      </c>
      <c r="F33" s="53">
        <f t="shared" si="1"/>
        <v>9987996</v>
      </c>
      <c r="G33" s="53">
        <f t="shared" si="0"/>
        <v>12004</v>
      </c>
      <c r="H33" s="9">
        <f t="shared" si="2"/>
        <v>1320</v>
      </c>
    </row>
    <row r="34" spans="1:8" x14ac:dyDescent="0.25">
      <c r="A34" s="5">
        <v>14</v>
      </c>
      <c r="B34" s="55">
        <f t="shared" si="3"/>
        <v>9986072</v>
      </c>
      <c r="C34" s="55">
        <f t="shared" si="4"/>
        <v>10610</v>
      </c>
      <c r="D34" s="55">
        <f t="shared" si="5"/>
        <v>3818</v>
      </c>
      <c r="E34" s="9">
        <f t="shared" si="6"/>
        <v>1167</v>
      </c>
      <c r="F34" s="53">
        <f t="shared" si="1"/>
        <v>9984362</v>
      </c>
      <c r="G34" s="53">
        <f t="shared" si="0"/>
        <v>15638</v>
      </c>
      <c r="H34" s="9">
        <f t="shared" si="2"/>
        <v>1720</v>
      </c>
    </row>
    <row r="35" spans="1:8" x14ac:dyDescent="0.25">
      <c r="A35" s="5">
        <v>15</v>
      </c>
      <c r="B35" s="55">
        <f t="shared" si="3"/>
        <v>9982205</v>
      </c>
      <c r="C35" s="55">
        <f t="shared" si="4"/>
        <v>13416</v>
      </c>
      <c r="D35" s="55">
        <f t="shared" si="5"/>
        <v>4879</v>
      </c>
      <c r="E35" s="9">
        <f t="shared" si="6"/>
        <v>1476</v>
      </c>
      <c r="F35" s="53">
        <f t="shared" si="1"/>
        <v>9979630</v>
      </c>
      <c r="G35" s="53">
        <f t="shared" si="0"/>
        <v>20370</v>
      </c>
      <c r="H35" s="9">
        <f t="shared" si="2"/>
        <v>2241</v>
      </c>
    </row>
    <row r="36" spans="1:8" x14ac:dyDescent="0.25">
      <c r="A36" s="5">
        <v>16</v>
      </c>
      <c r="B36" s="55">
        <f t="shared" si="3"/>
        <v>9977317</v>
      </c>
      <c r="C36" s="55">
        <f t="shared" si="4"/>
        <v>16963</v>
      </c>
      <c r="D36" s="55">
        <f t="shared" si="5"/>
        <v>6221</v>
      </c>
      <c r="E36" s="9">
        <f t="shared" si="6"/>
        <v>1866</v>
      </c>
      <c r="F36" s="53">
        <f t="shared" si="1"/>
        <v>9973471</v>
      </c>
      <c r="G36" s="53">
        <f t="shared" si="0"/>
        <v>26529</v>
      </c>
      <c r="H36" s="9">
        <f t="shared" si="2"/>
        <v>2918</v>
      </c>
    </row>
    <row r="37" spans="1:8" x14ac:dyDescent="0.25">
      <c r="A37" s="5">
        <v>17</v>
      </c>
      <c r="B37" s="55">
        <f t="shared" si="3"/>
        <v>9971140</v>
      </c>
      <c r="C37" s="55">
        <f t="shared" si="4"/>
        <v>21444</v>
      </c>
      <c r="D37" s="55">
        <f t="shared" si="5"/>
        <v>7917</v>
      </c>
      <c r="E37" s="9">
        <f t="shared" si="6"/>
        <v>2359</v>
      </c>
      <c r="F37" s="53">
        <f t="shared" si="1"/>
        <v>9965460</v>
      </c>
      <c r="G37" s="53">
        <f t="shared" si="0"/>
        <v>34540</v>
      </c>
      <c r="H37" s="9">
        <f t="shared" si="2"/>
        <v>3799</v>
      </c>
    </row>
    <row r="38" spans="1:8" x14ac:dyDescent="0.25">
      <c r="A38" s="5">
        <v>18</v>
      </c>
      <c r="B38" s="55">
        <f t="shared" si="3"/>
        <v>9963336</v>
      </c>
      <c r="C38" s="55">
        <f t="shared" si="4"/>
        <v>27104</v>
      </c>
      <c r="D38" s="55">
        <f t="shared" si="5"/>
        <v>10061</v>
      </c>
      <c r="E38" s="9">
        <f t="shared" si="6"/>
        <v>2981</v>
      </c>
      <c r="F38" s="53">
        <f t="shared" si="1"/>
        <v>9955044</v>
      </c>
      <c r="G38" s="53">
        <f t="shared" si="0"/>
        <v>44956</v>
      </c>
      <c r="H38" s="9">
        <f t="shared" si="2"/>
        <v>4945</v>
      </c>
    </row>
    <row r="39" spans="1:8" x14ac:dyDescent="0.25">
      <c r="A39" s="5">
        <v>19</v>
      </c>
      <c r="B39" s="55">
        <f t="shared" si="3"/>
        <v>9953479</v>
      </c>
      <c r="C39" s="55">
        <f t="shared" si="4"/>
        <v>34250</v>
      </c>
      <c r="D39" s="55">
        <f t="shared" si="5"/>
        <v>12771</v>
      </c>
      <c r="E39" s="9">
        <f t="shared" si="6"/>
        <v>3768</v>
      </c>
      <c r="F39" s="53">
        <f t="shared" si="1"/>
        <v>9941513</v>
      </c>
      <c r="G39" s="53">
        <f t="shared" si="0"/>
        <v>58487</v>
      </c>
      <c r="H39" s="9">
        <f t="shared" si="2"/>
        <v>6434</v>
      </c>
    </row>
    <row r="40" spans="1:8" x14ac:dyDescent="0.25">
      <c r="A40" s="5">
        <v>20</v>
      </c>
      <c r="B40" s="55">
        <f t="shared" si="3"/>
        <v>9941036</v>
      </c>
      <c r="C40" s="55">
        <f t="shared" si="4"/>
        <v>43268</v>
      </c>
      <c r="D40" s="55">
        <f t="shared" si="5"/>
        <v>16196</v>
      </c>
      <c r="E40" s="9">
        <f t="shared" si="6"/>
        <v>4759</v>
      </c>
      <c r="F40" s="53">
        <f t="shared" si="1"/>
        <v>9923952</v>
      </c>
      <c r="G40" s="53">
        <f t="shared" si="0"/>
        <v>76048</v>
      </c>
      <c r="H40" s="9">
        <f t="shared" si="2"/>
        <v>8365</v>
      </c>
    </row>
    <row r="41" spans="1:8" x14ac:dyDescent="0.25">
      <c r="A41" s="5">
        <v>21</v>
      </c>
      <c r="B41" s="55">
        <f t="shared" si="3"/>
        <v>9925336</v>
      </c>
      <c r="C41" s="55">
        <f t="shared" si="4"/>
        <v>54641</v>
      </c>
      <c r="D41" s="55">
        <f t="shared" si="5"/>
        <v>20523</v>
      </c>
      <c r="E41" s="9">
        <f t="shared" si="6"/>
        <v>6011</v>
      </c>
      <c r="F41" s="53">
        <f t="shared" si="1"/>
        <v>9901191</v>
      </c>
      <c r="G41" s="53">
        <f t="shared" si="0"/>
        <v>98809</v>
      </c>
      <c r="H41" s="9">
        <f t="shared" si="2"/>
        <v>10869</v>
      </c>
    </row>
    <row r="42" spans="1:8" x14ac:dyDescent="0.25">
      <c r="A42" s="5">
        <v>22</v>
      </c>
      <c r="B42" s="55">
        <f t="shared" si="3"/>
        <v>9905541</v>
      </c>
      <c r="C42" s="55">
        <f t="shared" si="4"/>
        <v>68972</v>
      </c>
      <c r="D42" s="55">
        <f t="shared" si="5"/>
        <v>25987</v>
      </c>
      <c r="E42" s="9">
        <f t="shared" si="6"/>
        <v>7587</v>
      </c>
      <c r="F42" s="53">
        <f t="shared" si="1"/>
        <v>9871739</v>
      </c>
      <c r="G42" s="53">
        <f t="shared" si="0"/>
        <v>128261</v>
      </c>
      <c r="H42" s="9">
        <f t="shared" si="2"/>
        <v>14109</v>
      </c>
    </row>
    <row r="43" spans="1:8" x14ac:dyDescent="0.25">
      <c r="A43" s="5">
        <v>23</v>
      </c>
      <c r="B43" s="55">
        <f t="shared" si="3"/>
        <v>9880604</v>
      </c>
      <c r="C43" s="55">
        <f t="shared" si="4"/>
        <v>87012</v>
      </c>
      <c r="D43" s="55">
        <f t="shared" si="5"/>
        <v>32884</v>
      </c>
      <c r="E43" s="9">
        <f t="shared" si="6"/>
        <v>9571</v>
      </c>
      <c r="F43" s="53">
        <f t="shared" si="1"/>
        <v>9833712</v>
      </c>
      <c r="G43" s="53">
        <f t="shared" si="0"/>
        <v>166288</v>
      </c>
      <c r="H43" s="9">
        <f t="shared" si="2"/>
        <v>18292</v>
      </c>
    </row>
    <row r="44" spans="1:8" x14ac:dyDescent="0.25">
      <c r="A44" s="5">
        <v>24</v>
      </c>
      <c r="B44" s="55">
        <f t="shared" si="3"/>
        <v>9849224</v>
      </c>
      <c r="C44" s="55">
        <f t="shared" si="4"/>
        <v>109691</v>
      </c>
      <c r="D44" s="55">
        <f t="shared" si="5"/>
        <v>41585</v>
      </c>
      <c r="E44" s="9">
        <f t="shared" si="6"/>
        <v>12066</v>
      </c>
      <c r="F44" s="53">
        <f t="shared" si="1"/>
        <v>9784751</v>
      </c>
      <c r="G44" s="53">
        <f t="shared" si="0"/>
        <v>215249</v>
      </c>
      <c r="H44" s="9">
        <f t="shared" si="2"/>
        <v>23677</v>
      </c>
    </row>
    <row r="45" spans="1:8" x14ac:dyDescent="0.25">
      <c r="A45" s="5">
        <v>25</v>
      </c>
      <c r="B45" s="55">
        <f t="shared" si="3"/>
        <v>9809790</v>
      </c>
      <c r="C45" s="55">
        <f t="shared" si="4"/>
        <v>138155</v>
      </c>
      <c r="D45" s="55">
        <f t="shared" si="5"/>
        <v>52554</v>
      </c>
      <c r="E45" s="9">
        <f t="shared" si="6"/>
        <v>15197</v>
      </c>
      <c r="F45" s="53">
        <f t="shared" si="1"/>
        <v>9721939</v>
      </c>
      <c r="G45" s="53">
        <f t="shared" si="0"/>
        <v>278061</v>
      </c>
      <c r="H45" s="9">
        <f t="shared" si="2"/>
        <v>30587</v>
      </c>
    </row>
    <row r="46" spans="1:8" x14ac:dyDescent="0.25">
      <c r="A46" s="5">
        <v>26</v>
      </c>
      <c r="B46" s="55">
        <f t="shared" si="3"/>
        <v>9760323</v>
      </c>
      <c r="C46" s="55">
        <f t="shared" si="4"/>
        <v>173807</v>
      </c>
      <c r="D46" s="55">
        <f t="shared" si="5"/>
        <v>66370</v>
      </c>
      <c r="E46" s="9">
        <f t="shared" si="6"/>
        <v>19119</v>
      </c>
      <c r="F46" s="53">
        <f t="shared" si="1"/>
        <v>9641731</v>
      </c>
      <c r="G46" s="53">
        <f t="shared" si="0"/>
        <v>358269</v>
      </c>
      <c r="H46" s="9">
        <f t="shared" si="2"/>
        <v>39410</v>
      </c>
    </row>
    <row r="47" spans="1:8" x14ac:dyDescent="0.25">
      <c r="A47" s="5">
        <v>27</v>
      </c>
      <c r="B47" s="55">
        <f t="shared" si="3"/>
        <v>9698404</v>
      </c>
      <c r="C47" s="55">
        <f t="shared" si="4"/>
        <v>218345</v>
      </c>
      <c r="D47" s="55">
        <f t="shared" si="5"/>
        <v>83751</v>
      </c>
      <c r="E47" s="9">
        <f t="shared" si="6"/>
        <v>24018</v>
      </c>
      <c r="F47" s="53">
        <f t="shared" si="1"/>
        <v>9539910</v>
      </c>
      <c r="G47" s="53">
        <f t="shared" si="0"/>
        <v>460090</v>
      </c>
      <c r="H47" s="9">
        <f t="shared" si="2"/>
        <v>50610</v>
      </c>
    </row>
    <row r="48" spans="1:8" x14ac:dyDescent="0.25">
      <c r="A48" s="5">
        <v>28</v>
      </c>
      <c r="B48" s="55">
        <f t="shared" si="3"/>
        <v>9621112</v>
      </c>
      <c r="C48" s="55">
        <f t="shared" si="4"/>
        <v>273803</v>
      </c>
      <c r="D48" s="55">
        <f t="shared" si="5"/>
        <v>105586</v>
      </c>
      <c r="E48" s="9">
        <f t="shared" si="6"/>
        <v>30118</v>
      </c>
      <c r="F48" s="53">
        <f t="shared" si="1"/>
        <v>9411618</v>
      </c>
      <c r="G48" s="53">
        <f t="shared" si="0"/>
        <v>588382</v>
      </c>
      <c r="H48" s="9">
        <f t="shared" si="2"/>
        <v>64722</v>
      </c>
    </row>
    <row r="49" spans="1:8" x14ac:dyDescent="0.25">
      <c r="A49" s="5">
        <v>29</v>
      </c>
      <c r="B49" s="55">
        <f t="shared" si="3"/>
        <v>9524960</v>
      </c>
      <c r="C49" s="55">
        <f t="shared" si="4"/>
        <v>342574</v>
      </c>
      <c r="D49" s="55">
        <f t="shared" si="5"/>
        <v>132966</v>
      </c>
      <c r="E49" s="9">
        <f t="shared" si="6"/>
        <v>37683</v>
      </c>
      <c r="F49" s="53">
        <f t="shared" si="1"/>
        <v>9251491</v>
      </c>
      <c r="G49" s="53">
        <f t="shared" si="0"/>
        <v>748509</v>
      </c>
      <c r="H49" s="9">
        <f t="shared" si="2"/>
        <v>82336</v>
      </c>
    </row>
    <row r="50" spans="1:8" x14ac:dyDescent="0.25">
      <c r="A50" s="5">
        <v>30</v>
      </c>
      <c r="B50" s="55">
        <f t="shared" si="3"/>
        <v>9405860</v>
      </c>
      <c r="C50" s="55">
        <f t="shared" si="4"/>
        <v>427416</v>
      </c>
      <c r="D50" s="55">
        <f t="shared" si="5"/>
        <v>167223</v>
      </c>
      <c r="E50" s="9">
        <f t="shared" si="6"/>
        <v>47016</v>
      </c>
      <c r="F50" s="53">
        <f t="shared" si="1"/>
        <v>9053964</v>
      </c>
      <c r="G50" s="53">
        <f t="shared" si="0"/>
        <v>946036</v>
      </c>
      <c r="H50" s="9">
        <f t="shared" si="2"/>
        <v>104064</v>
      </c>
    </row>
    <row r="51" spans="1:8" x14ac:dyDescent="0.25">
      <c r="A51" s="5">
        <v>31</v>
      </c>
      <c r="B51" s="55">
        <f t="shared" si="3"/>
        <v>9259122</v>
      </c>
      <c r="C51" s="55">
        <f t="shared" si="4"/>
        <v>531412</v>
      </c>
      <c r="D51" s="55">
        <f t="shared" si="5"/>
        <v>209965</v>
      </c>
      <c r="E51" s="9">
        <f t="shared" si="6"/>
        <v>58455</v>
      </c>
      <c r="F51" s="53">
        <f t="shared" si="1"/>
        <v>8813808</v>
      </c>
      <c r="G51" s="53">
        <f t="shared" si="0"/>
        <v>1186192</v>
      </c>
      <c r="H51" s="9">
        <f t="shared" si="2"/>
        <v>130481</v>
      </c>
    </row>
    <row r="52" spans="1:8" x14ac:dyDescent="0.25">
      <c r="A52" s="5">
        <v>32</v>
      </c>
      <c r="B52" s="55">
        <f t="shared" si="3"/>
        <v>9079527</v>
      </c>
      <c r="C52" s="55">
        <f t="shared" si="4"/>
        <v>657866</v>
      </c>
      <c r="D52" s="55">
        <f t="shared" si="5"/>
        <v>263106</v>
      </c>
      <c r="E52" s="9">
        <f t="shared" si="6"/>
        <v>72365</v>
      </c>
      <c r="F52" s="53">
        <f t="shared" si="1"/>
        <v>8526908</v>
      </c>
      <c r="G52" s="53">
        <f t="shared" si="0"/>
        <v>1473092</v>
      </c>
      <c r="H52" s="9">
        <f t="shared" si="2"/>
        <v>162040</v>
      </c>
    </row>
    <row r="53" spans="1:8" x14ac:dyDescent="0.25">
      <c r="A53" s="5">
        <v>33</v>
      </c>
      <c r="B53" s="55">
        <f t="shared" si="3"/>
        <v>8861508</v>
      </c>
      <c r="C53" s="55">
        <f t="shared" si="4"/>
        <v>810098</v>
      </c>
      <c r="D53" s="55">
        <f t="shared" si="5"/>
        <v>328893</v>
      </c>
      <c r="E53" s="9">
        <f t="shared" si="6"/>
        <v>89111</v>
      </c>
      <c r="F53" s="53">
        <f t="shared" si="1"/>
        <v>8191281</v>
      </c>
      <c r="G53" s="53">
        <f t="shared" ref="G53:G84" si="7">ROUND($B$17/(1+($B$18*EXP(-1*$B$16*(A53-$A$21)))),0)</f>
        <v>1808719</v>
      </c>
      <c r="H53" s="9">
        <f t="shared" si="2"/>
        <v>198959</v>
      </c>
    </row>
    <row r="54" spans="1:8" x14ac:dyDescent="0.25">
      <c r="A54" s="5">
        <v>34</v>
      </c>
      <c r="B54" s="55">
        <f t="shared" si="3"/>
        <v>8599486</v>
      </c>
      <c r="C54" s="55">
        <f t="shared" si="4"/>
        <v>991110</v>
      </c>
      <c r="D54" s="55">
        <f t="shared" si="5"/>
        <v>409903</v>
      </c>
      <c r="E54" s="9">
        <f t="shared" si="6"/>
        <v>109022</v>
      </c>
      <c r="F54" s="53">
        <f t="shared" si="1"/>
        <v>7808147</v>
      </c>
      <c r="G54" s="53">
        <f t="shared" si="7"/>
        <v>2191853</v>
      </c>
      <c r="H54" s="9">
        <f t="shared" si="2"/>
        <v>241104</v>
      </c>
    </row>
    <row r="55" spans="1:8" x14ac:dyDescent="0.25">
      <c r="A55" s="5">
        <v>35</v>
      </c>
      <c r="B55" s="55">
        <f t="shared" si="3"/>
        <v>8288395</v>
      </c>
      <c r="C55" s="55">
        <f t="shared" si="4"/>
        <v>1203090</v>
      </c>
      <c r="D55" s="55">
        <f t="shared" si="5"/>
        <v>509014</v>
      </c>
      <c r="E55" s="9">
        <f t="shared" si="6"/>
        <v>132340</v>
      </c>
      <c r="F55" s="53">
        <f t="shared" si="1"/>
        <v>7382818</v>
      </c>
      <c r="G55" s="53">
        <f t="shared" si="7"/>
        <v>2617182</v>
      </c>
      <c r="H55" s="9">
        <f t="shared" si="2"/>
        <v>287890</v>
      </c>
    </row>
    <row r="56" spans="1:8" x14ac:dyDescent="0.25">
      <c r="A56" s="5">
        <v>36</v>
      </c>
      <c r="B56" s="55">
        <f t="shared" si="3"/>
        <v>7924428</v>
      </c>
      <c r="C56" s="55">
        <f t="shared" si="4"/>
        <v>1446748</v>
      </c>
      <c r="D56" s="55">
        <f t="shared" si="5"/>
        <v>629323</v>
      </c>
      <c r="E56" s="9">
        <f t="shared" si="6"/>
        <v>159142</v>
      </c>
      <c r="F56" s="53">
        <f t="shared" si="1"/>
        <v>6925027</v>
      </c>
      <c r="G56" s="53">
        <f t="shared" si="7"/>
        <v>3074973</v>
      </c>
      <c r="H56" s="9">
        <f t="shared" si="2"/>
        <v>338247</v>
      </c>
    </row>
    <row r="57" spans="1:8" x14ac:dyDescent="0.25">
      <c r="A57" s="5">
        <v>37</v>
      </c>
      <c r="B57" s="55">
        <f t="shared" si="3"/>
        <v>7505968</v>
      </c>
      <c r="C57" s="55">
        <f t="shared" si="4"/>
        <v>1720533</v>
      </c>
      <c r="D57" s="55">
        <f t="shared" si="5"/>
        <v>773998</v>
      </c>
      <c r="E57" s="9">
        <f t="shared" si="6"/>
        <v>189259</v>
      </c>
      <c r="F57" s="53">
        <f t="shared" si="1"/>
        <v>6448411</v>
      </c>
      <c r="G57" s="53">
        <f t="shared" si="7"/>
        <v>3551589</v>
      </c>
      <c r="H57" s="9">
        <f t="shared" si="2"/>
        <v>390675</v>
      </c>
    </row>
    <row r="58" spans="1:8" x14ac:dyDescent="0.25">
      <c r="A58" s="5">
        <v>38</v>
      </c>
      <c r="B58" s="55">
        <f t="shared" si="3"/>
        <v>7034597</v>
      </c>
      <c r="C58" s="55">
        <f t="shared" si="4"/>
        <v>2019850</v>
      </c>
      <c r="D58" s="55">
        <f t="shared" si="5"/>
        <v>946051</v>
      </c>
      <c r="E58" s="9">
        <f t="shared" si="6"/>
        <v>222184</v>
      </c>
      <c r="F58" s="53">
        <f t="shared" si="1"/>
        <v>5969071</v>
      </c>
      <c r="G58" s="53">
        <f t="shared" si="7"/>
        <v>4030929</v>
      </c>
      <c r="H58" s="9">
        <f t="shared" si="2"/>
        <v>443402</v>
      </c>
    </row>
    <row r="59" spans="1:8" x14ac:dyDescent="0.25">
      <c r="A59" s="5">
        <v>39</v>
      </c>
      <c r="B59" s="55">
        <f t="shared" si="3"/>
        <v>6515975</v>
      </c>
      <c r="C59" s="55">
        <f t="shared" si="4"/>
        <v>2336487</v>
      </c>
      <c r="D59" s="55">
        <f t="shared" si="5"/>
        <v>1148036</v>
      </c>
      <c r="E59" s="9">
        <f t="shared" si="6"/>
        <v>257014</v>
      </c>
      <c r="F59" s="53">
        <f t="shared" si="1"/>
        <v>5503473</v>
      </c>
      <c r="G59" s="53">
        <f t="shared" si="7"/>
        <v>4496527</v>
      </c>
      <c r="H59" s="9">
        <f t="shared" si="2"/>
        <v>494618</v>
      </c>
    </row>
    <row r="60" spans="1:8" x14ac:dyDescent="0.25">
      <c r="A60" s="5">
        <v>40</v>
      </c>
      <c r="B60" s="55">
        <f t="shared" si="3"/>
        <v>5960281</v>
      </c>
      <c r="C60" s="55">
        <f t="shared" si="4"/>
        <v>2658532</v>
      </c>
      <c r="D60" s="55">
        <f t="shared" si="5"/>
        <v>1381685</v>
      </c>
      <c r="E60" s="9">
        <f t="shared" si="6"/>
        <v>292439</v>
      </c>
      <c r="F60" s="53">
        <f t="shared" si="1"/>
        <v>5066260</v>
      </c>
      <c r="G60" s="53">
        <f t="shared" si="7"/>
        <v>4933740</v>
      </c>
      <c r="H60" s="9">
        <f t="shared" si="2"/>
        <v>542711</v>
      </c>
    </row>
    <row r="61" spans="1:8" x14ac:dyDescent="0.25">
      <c r="A61" s="5">
        <v>41</v>
      </c>
      <c r="B61" s="55">
        <f t="shared" si="3"/>
        <v>5381917</v>
      </c>
      <c r="C61" s="55">
        <f t="shared" si="4"/>
        <v>2971043</v>
      </c>
      <c r="D61" s="55">
        <f t="shared" si="5"/>
        <v>1647538</v>
      </c>
      <c r="E61" s="9">
        <f t="shared" si="6"/>
        <v>326815</v>
      </c>
      <c r="F61" s="53">
        <f t="shared" si="1"/>
        <v>4668543</v>
      </c>
      <c r="G61" s="53">
        <f t="shared" si="7"/>
        <v>5331457</v>
      </c>
      <c r="H61" s="9">
        <f t="shared" si="2"/>
        <v>586460</v>
      </c>
    </row>
    <row r="62" spans="1:8" x14ac:dyDescent="0.25">
      <c r="A62" s="5">
        <v>42</v>
      </c>
      <c r="B62" s="55">
        <f t="shared" si="3"/>
        <v>4798285</v>
      </c>
      <c r="C62" s="55">
        <f t="shared" si="4"/>
        <v>3257570</v>
      </c>
      <c r="D62" s="55">
        <f t="shared" si="5"/>
        <v>1944642</v>
      </c>
      <c r="E62" s="9">
        <f t="shared" si="6"/>
        <v>358333</v>
      </c>
      <c r="F62" s="53">
        <f t="shared" si="1"/>
        <v>4317078</v>
      </c>
      <c r="G62" s="53">
        <f t="shared" si="7"/>
        <v>5682922</v>
      </c>
      <c r="H62" s="9">
        <f t="shared" si="2"/>
        <v>625121</v>
      </c>
    </row>
    <row r="63" spans="1:8" x14ac:dyDescent="0.25">
      <c r="A63" s="5">
        <v>43</v>
      </c>
      <c r="B63" s="55">
        <f t="shared" si="3"/>
        <v>4227763</v>
      </c>
      <c r="C63" s="55">
        <f t="shared" si="4"/>
        <v>3502335</v>
      </c>
      <c r="D63" s="55">
        <f t="shared" si="5"/>
        <v>2270399</v>
      </c>
      <c r="E63" s="9">
        <f t="shared" si="6"/>
        <v>385257</v>
      </c>
      <c r="F63" s="53">
        <f t="shared" si="1"/>
        <v>4014346</v>
      </c>
      <c r="G63" s="53">
        <f t="shared" si="7"/>
        <v>5985654</v>
      </c>
      <c r="H63" s="9">
        <f t="shared" si="2"/>
        <v>658422</v>
      </c>
    </row>
    <row r="64" spans="1:8" x14ac:dyDescent="0.25">
      <c r="A64" s="5">
        <v>44</v>
      </c>
      <c r="B64" s="55">
        <f t="shared" si="3"/>
        <v>3687306</v>
      </c>
      <c r="C64" s="55">
        <f t="shared" si="4"/>
        <v>3692559</v>
      </c>
      <c r="D64" s="55">
        <f t="shared" si="5"/>
        <v>2620633</v>
      </c>
      <c r="E64" s="9">
        <f t="shared" si="6"/>
        <v>406181</v>
      </c>
      <c r="F64" s="53">
        <f t="shared" si="1"/>
        <v>3759291</v>
      </c>
      <c r="G64" s="53">
        <f t="shared" si="7"/>
        <v>6240709</v>
      </c>
      <c r="H64" s="9">
        <f t="shared" si="2"/>
        <v>686478</v>
      </c>
    </row>
    <row r="65" spans="1:8" x14ac:dyDescent="0.25">
      <c r="A65" s="5">
        <v>45</v>
      </c>
      <c r="B65" s="55">
        <f t="shared" si="3"/>
        <v>3190337</v>
      </c>
      <c r="C65" s="55">
        <f t="shared" si="4"/>
        <v>3820272</v>
      </c>
      <c r="D65" s="55">
        <f t="shared" si="5"/>
        <v>2989889</v>
      </c>
      <c r="E65" s="9">
        <f t="shared" si="6"/>
        <v>420230</v>
      </c>
      <c r="F65" s="53">
        <f t="shared" si="1"/>
        <v>3548378</v>
      </c>
      <c r="G65" s="53">
        <f t="shared" si="7"/>
        <v>6451622</v>
      </c>
      <c r="H65" s="9">
        <f t="shared" si="2"/>
        <v>709678</v>
      </c>
    </row>
    <row r="66" spans="1:8" x14ac:dyDescent="0.25">
      <c r="A66" s="5">
        <v>46</v>
      </c>
      <c r="B66" s="55">
        <f t="shared" si="3"/>
        <v>2745477</v>
      </c>
      <c r="C66" s="55">
        <f t="shared" si="4"/>
        <v>3883105</v>
      </c>
      <c r="D66" s="55">
        <f t="shared" si="5"/>
        <v>3371916</v>
      </c>
      <c r="E66" s="9">
        <f t="shared" si="6"/>
        <v>427142</v>
      </c>
      <c r="F66" s="53">
        <f t="shared" si="1"/>
        <v>3376643</v>
      </c>
      <c r="G66" s="53">
        <f t="shared" si="7"/>
        <v>6623357</v>
      </c>
      <c r="H66" s="9">
        <f t="shared" si="2"/>
        <v>728569</v>
      </c>
    </row>
    <row r="67" spans="1:8" x14ac:dyDescent="0.25">
      <c r="A67" s="5">
        <v>47</v>
      </c>
      <c r="B67" s="55">
        <f t="shared" si="3"/>
        <v>2356351</v>
      </c>
      <c r="C67" s="55">
        <f t="shared" si="4"/>
        <v>3883920</v>
      </c>
      <c r="D67" s="55">
        <f t="shared" si="5"/>
        <v>3760227</v>
      </c>
      <c r="E67" s="9">
        <f t="shared" si="6"/>
        <v>427231</v>
      </c>
      <c r="F67" s="53">
        <f t="shared" si="1"/>
        <v>3238560</v>
      </c>
      <c r="G67" s="53">
        <f t="shared" si="7"/>
        <v>6761440</v>
      </c>
      <c r="H67" s="9">
        <f t="shared" si="2"/>
        <v>743758</v>
      </c>
    </row>
    <row r="68" spans="1:8" x14ac:dyDescent="0.25">
      <c r="A68" s="5">
        <v>48</v>
      </c>
      <c r="B68" s="55">
        <f t="shared" si="3"/>
        <v>2022307</v>
      </c>
      <c r="C68" s="55">
        <f t="shared" si="4"/>
        <v>3829572</v>
      </c>
      <c r="D68" s="55">
        <f t="shared" si="5"/>
        <v>4148619</v>
      </c>
      <c r="E68" s="9">
        <f t="shared" si="6"/>
        <v>421253</v>
      </c>
      <c r="F68" s="53">
        <f t="shared" si="1"/>
        <v>3128655</v>
      </c>
      <c r="G68" s="53">
        <f t="shared" si="7"/>
        <v>6871345</v>
      </c>
      <c r="H68" s="9">
        <f t="shared" si="2"/>
        <v>755848</v>
      </c>
    </row>
    <row r="69" spans="1:8" x14ac:dyDescent="0.25">
      <c r="A69" s="5">
        <v>49</v>
      </c>
      <c r="B69" s="55">
        <f t="shared" si="3"/>
        <v>1739630</v>
      </c>
      <c r="C69" s="55">
        <f t="shared" si="4"/>
        <v>3729292</v>
      </c>
      <c r="D69" s="55">
        <f t="shared" si="5"/>
        <v>4531576</v>
      </c>
      <c r="E69" s="9">
        <f t="shared" si="6"/>
        <v>410222</v>
      </c>
      <c r="F69" s="53">
        <f t="shared" si="1"/>
        <v>3041883</v>
      </c>
      <c r="G69" s="53">
        <f t="shared" si="7"/>
        <v>6958117</v>
      </c>
      <c r="H69" s="9">
        <f t="shared" si="2"/>
        <v>765393</v>
      </c>
    </row>
    <row r="70" spans="1:8" x14ac:dyDescent="0.25">
      <c r="A70" s="5">
        <v>50</v>
      </c>
      <c r="B70" s="55">
        <f t="shared" si="3"/>
        <v>1502833</v>
      </c>
      <c r="C70" s="55">
        <f t="shared" si="4"/>
        <v>3593160</v>
      </c>
      <c r="D70" s="55">
        <f t="shared" si="5"/>
        <v>4904505</v>
      </c>
      <c r="E70" s="9">
        <f t="shared" si="6"/>
        <v>395248</v>
      </c>
      <c r="F70" s="53">
        <f t="shared" si="1"/>
        <v>2973810</v>
      </c>
      <c r="G70" s="53">
        <f t="shared" si="7"/>
        <v>7026190</v>
      </c>
      <c r="H70" s="9">
        <f t="shared" si="2"/>
        <v>772881</v>
      </c>
    </row>
    <row r="71" spans="1:8" x14ac:dyDescent="0.25">
      <c r="A71" s="5">
        <v>51</v>
      </c>
      <c r="B71" s="55">
        <f t="shared" si="3"/>
        <v>1305736</v>
      </c>
      <c r="C71" s="55">
        <f t="shared" si="4"/>
        <v>3430941</v>
      </c>
      <c r="D71" s="55">
        <f t="shared" si="5"/>
        <v>5263821</v>
      </c>
      <c r="E71" s="9">
        <f t="shared" si="6"/>
        <v>377404</v>
      </c>
      <c r="F71" s="53">
        <f t="shared" si="1"/>
        <v>2920675</v>
      </c>
      <c r="G71" s="53">
        <f t="shared" si="7"/>
        <v>7079325</v>
      </c>
      <c r="H71" s="9">
        <f t="shared" si="2"/>
        <v>778726</v>
      </c>
    </row>
    <row r="72" spans="1:8" x14ac:dyDescent="0.25">
      <c r="A72" s="5">
        <v>52</v>
      </c>
      <c r="B72" s="55">
        <f t="shared" si="3"/>
        <v>1142220</v>
      </c>
      <c r="C72" s="55">
        <f t="shared" si="4"/>
        <v>3251363</v>
      </c>
      <c r="D72" s="55">
        <f t="shared" si="5"/>
        <v>5606915</v>
      </c>
      <c r="E72" s="9">
        <f t="shared" si="6"/>
        <v>357650</v>
      </c>
      <c r="F72" s="53">
        <f t="shared" si="1"/>
        <v>2879361</v>
      </c>
      <c r="G72" s="53">
        <f t="shared" si="7"/>
        <v>7120639</v>
      </c>
      <c r="H72" s="9">
        <f t="shared" si="2"/>
        <v>783270</v>
      </c>
    </row>
    <row r="73" spans="1:8" x14ac:dyDescent="0.25">
      <c r="A73" s="5">
        <v>53</v>
      </c>
      <c r="B73" s="55">
        <f t="shared" si="3"/>
        <v>1006667</v>
      </c>
      <c r="C73" s="55">
        <f t="shared" si="4"/>
        <v>3061779</v>
      </c>
      <c r="D73" s="55">
        <f t="shared" si="5"/>
        <v>5932051</v>
      </c>
      <c r="E73" s="9">
        <f t="shared" si="6"/>
        <v>336796</v>
      </c>
      <c r="F73" s="53">
        <f t="shared" si="1"/>
        <v>2847337</v>
      </c>
      <c r="G73" s="53">
        <f t="shared" si="7"/>
        <v>7152663</v>
      </c>
      <c r="H73" s="9">
        <f t="shared" si="2"/>
        <v>786793</v>
      </c>
    </row>
    <row r="74" spans="1:8" x14ac:dyDescent="0.25">
      <c r="A74" s="5">
        <v>54</v>
      </c>
      <c r="B74" s="55">
        <f t="shared" si="3"/>
        <v>894167</v>
      </c>
      <c r="C74" s="55">
        <f t="shared" si="4"/>
        <v>2868101</v>
      </c>
      <c r="D74" s="55">
        <f t="shared" si="5"/>
        <v>6238229</v>
      </c>
      <c r="E74" s="9">
        <f t="shared" si="6"/>
        <v>315491</v>
      </c>
      <c r="F74" s="53">
        <f t="shared" si="1"/>
        <v>2822572</v>
      </c>
      <c r="G74" s="53">
        <f t="shared" si="7"/>
        <v>7177428</v>
      </c>
      <c r="H74" s="9">
        <f t="shared" si="2"/>
        <v>789517</v>
      </c>
    </row>
    <row r="75" spans="1:8" x14ac:dyDescent="0.25">
      <c r="A75" s="5">
        <v>55</v>
      </c>
      <c r="B75" s="55">
        <f t="shared" si="3"/>
        <v>800561</v>
      </c>
      <c r="C75" s="55">
        <f t="shared" si="4"/>
        <v>2674897</v>
      </c>
      <c r="D75" s="55">
        <f t="shared" si="5"/>
        <v>6525039</v>
      </c>
      <c r="E75" s="9">
        <f t="shared" si="6"/>
        <v>294239</v>
      </c>
      <c r="F75" s="53">
        <f t="shared" si="1"/>
        <v>2803455</v>
      </c>
      <c r="G75" s="53">
        <f t="shared" si="7"/>
        <v>7196545</v>
      </c>
      <c r="H75" s="9">
        <f t="shared" si="2"/>
        <v>791620</v>
      </c>
    </row>
    <row r="76" spans="1:8" x14ac:dyDescent="0.25">
      <c r="A76" s="5">
        <v>56</v>
      </c>
      <c r="B76" s="55">
        <f t="shared" si="3"/>
        <v>722399</v>
      </c>
      <c r="C76" s="55">
        <f t="shared" si="4"/>
        <v>2485569</v>
      </c>
      <c r="D76" s="55">
        <f t="shared" si="5"/>
        <v>6792529</v>
      </c>
      <c r="E76" s="9">
        <f t="shared" si="6"/>
        <v>273413</v>
      </c>
      <c r="F76" s="53">
        <f t="shared" si="1"/>
        <v>2788719</v>
      </c>
      <c r="G76" s="53">
        <f t="shared" si="7"/>
        <v>7211281</v>
      </c>
      <c r="H76" s="9">
        <f t="shared" si="2"/>
        <v>793241</v>
      </c>
    </row>
    <row r="77" spans="1:8" x14ac:dyDescent="0.25">
      <c r="A77" s="5">
        <v>57</v>
      </c>
      <c r="B77" s="55">
        <f t="shared" si="3"/>
        <v>656861</v>
      </c>
      <c r="C77" s="55">
        <f t="shared" si="4"/>
        <v>2302550</v>
      </c>
      <c r="D77" s="55">
        <f t="shared" si="5"/>
        <v>7041086</v>
      </c>
      <c r="E77" s="9">
        <f t="shared" si="6"/>
        <v>253281</v>
      </c>
      <c r="F77" s="53">
        <f t="shared" si="1"/>
        <v>2777373</v>
      </c>
      <c r="G77" s="53">
        <f t="shared" si="7"/>
        <v>7222627</v>
      </c>
      <c r="H77" s="9">
        <f t="shared" si="2"/>
        <v>794489</v>
      </c>
    </row>
    <row r="78" spans="1:8" x14ac:dyDescent="0.25">
      <c r="A78" s="5">
        <v>58</v>
      </c>
      <c r="B78" s="55">
        <f t="shared" si="3"/>
        <v>601656</v>
      </c>
      <c r="C78" s="55">
        <f t="shared" si="4"/>
        <v>2127500</v>
      </c>
      <c r="D78" s="55">
        <f t="shared" si="5"/>
        <v>7271341</v>
      </c>
      <c r="E78" s="9">
        <f t="shared" si="6"/>
        <v>234025</v>
      </c>
      <c r="F78" s="53">
        <f t="shared" si="1"/>
        <v>2768644</v>
      </c>
      <c r="G78" s="53">
        <f t="shared" si="7"/>
        <v>7231356</v>
      </c>
      <c r="H78" s="9">
        <f t="shared" si="2"/>
        <v>795449</v>
      </c>
    </row>
    <row r="79" spans="1:8" x14ac:dyDescent="0.25">
      <c r="A79" s="5">
        <v>59</v>
      </c>
      <c r="B79" s="55">
        <f t="shared" si="3"/>
        <v>554935</v>
      </c>
      <c r="C79" s="55">
        <f t="shared" si="4"/>
        <v>1961471</v>
      </c>
      <c r="D79" s="55">
        <f t="shared" si="5"/>
        <v>7484091</v>
      </c>
      <c r="E79" s="9">
        <f t="shared" si="6"/>
        <v>215762</v>
      </c>
      <c r="F79" s="53">
        <f t="shared" si="1"/>
        <v>2761933</v>
      </c>
      <c r="G79" s="53">
        <f t="shared" si="7"/>
        <v>7238067</v>
      </c>
      <c r="H79" s="9">
        <f t="shared" si="2"/>
        <v>796187</v>
      </c>
    </row>
    <row r="80" spans="1:8" x14ac:dyDescent="0.25">
      <c r="A80" s="5">
        <v>60</v>
      </c>
      <c r="B80" s="55">
        <f t="shared" si="3"/>
        <v>515205</v>
      </c>
      <c r="C80" s="55">
        <f t="shared" si="4"/>
        <v>1805054</v>
      </c>
      <c r="D80" s="55">
        <f t="shared" si="5"/>
        <v>7680238</v>
      </c>
      <c r="E80" s="9">
        <f t="shared" si="6"/>
        <v>198556</v>
      </c>
      <c r="F80" s="53">
        <f t="shared" si="1"/>
        <v>2756775</v>
      </c>
      <c r="G80" s="53">
        <f t="shared" si="7"/>
        <v>7243225</v>
      </c>
      <c r="H80" s="9">
        <f t="shared" si="2"/>
        <v>796755</v>
      </c>
    </row>
    <row r="81" spans="1:8" x14ac:dyDescent="0.25">
      <c r="A81" s="5">
        <v>61</v>
      </c>
      <c r="B81" s="55">
        <f t="shared" si="3"/>
        <v>481261</v>
      </c>
      <c r="C81" s="55">
        <f t="shared" si="4"/>
        <v>1658493</v>
      </c>
      <c r="D81" s="55">
        <f t="shared" si="5"/>
        <v>7860743</v>
      </c>
      <c r="E81" s="9">
        <f t="shared" si="6"/>
        <v>182434</v>
      </c>
      <c r="F81" s="53">
        <f t="shared" si="1"/>
        <v>2752813</v>
      </c>
      <c r="G81" s="53">
        <f t="shared" si="7"/>
        <v>7247187</v>
      </c>
      <c r="H81" s="9">
        <f t="shared" si="2"/>
        <v>797191</v>
      </c>
    </row>
    <row r="82" spans="1:8" x14ac:dyDescent="0.25">
      <c r="A82" s="5">
        <v>62</v>
      </c>
      <c r="B82" s="55">
        <f t="shared" si="3"/>
        <v>452128</v>
      </c>
      <c r="C82" s="55">
        <f t="shared" si="4"/>
        <v>1521777</v>
      </c>
      <c r="D82" s="55">
        <f t="shared" si="5"/>
        <v>8026592</v>
      </c>
      <c r="E82" s="9">
        <f t="shared" si="6"/>
        <v>167395</v>
      </c>
      <c r="F82" s="53">
        <f t="shared" si="1"/>
        <v>2749771</v>
      </c>
      <c r="G82" s="53">
        <f t="shared" si="7"/>
        <v>7250229</v>
      </c>
      <c r="H82" s="9">
        <f t="shared" si="2"/>
        <v>797525</v>
      </c>
    </row>
    <row r="83" spans="1:8" x14ac:dyDescent="0.25">
      <c r="A83" s="5">
        <v>63</v>
      </c>
      <c r="B83" s="55">
        <f t="shared" si="3"/>
        <v>427015</v>
      </c>
      <c r="C83" s="55">
        <f t="shared" si="4"/>
        <v>1394713</v>
      </c>
      <c r="D83" s="55">
        <f t="shared" si="5"/>
        <v>8178770</v>
      </c>
      <c r="E83" s="9">
        <f t="shared" si="6"/>
        <v>153418</v>
      </c>
      <c r="F83" s="53">
        <f t="shared" si="1"/>
        <v>2747435</v>
      </c>
      <c r="G83" s="53">
        <f t="shared" si="7"/>
        <v>7252565</v>
      </c>
      <c r="H83" s="9">
        <f t="shared" si="2"/>
        <v>797782</v>
      </c>
    </row>
    <row r="84" spans="1:8" x14ac:dyDescent="0.25">
      <c r="A84" s="5">
        <v>64</v>
      </c>
      <c r="B84" s="55">
        <f t="shared" si="3"/>
        <v>405277</v>
      </c>
      <c r="C84" s="55">
        <f t="shared" si="4"/>
        <v>1276980</v>
      </c>
      <c r="D84" s="55">
        <f t="shared" si="5"/>
        <v>8318241</v>
      </c>
      <c r="E84" s="9">
        <f t="shared" si="6"/>
        <v>140468</v>
      </c>
      <c r="F84" s="53">
        <f t="shared" si="1"/>
        <v>2745642</v>
      </c>
      <c r="G84" s="53">
        <f t="shared" si="7"/>
        <v>7254358</v>
      </c>
      <c r="H84" s="9">
        <f t="shared" si="2"/>
        <v>797979</v>
      </c>
    </row>
    <row r="85" spans="1:8" x14ac:dyDescent="0.25">
      <c r="A85" s="5">
        <v>65</v>
      </c>
      <c r="B85" s="55">
        <f t="shared" si="3"/>
        <v>386387</v>
      </c>
      <c r="C85" s="55">
        <f t="shared" si="4"/>
        <v>1168172</v>
      </c>
      <c r="D85" s="55">
        <f t="shared" si="5"/>
        <v>8445939</v>
      </c>
      <c r="E85" s="9">
        <f t="shared" si="6"/>
        <v>128499</v>
      </c>
      <c r="F85" s="53">
        <f t="shared" si="1"/>
        <v>2744266</v>
      </c>
      <c r="G85" s="53">
        <f t="shared" ref="G85:G116" si="8">ROUND($B$17/(1+($B$18*EXP(-1*$B$16*(A85-$A$21)))),0)</f>
        <v>7255734</v>
      </c>
      <c r="H85" s="9">
        <f t="shared" si="2"/>
        <v>798131</v>
      </c>
    </row>
    <row r="86" spans="1:8" x14ac:dyDescent="0.25">
      <c r="A86" s="5">
        <v>66</v>
      </c>
      <c r="B86" s="55">
        <f t="shared" si="3"/>
        <v>369912</v>
      </c>
      <c r="C86" s="55">
        <f t="shared" si="4"/>
        <v>1067830</v>
      </c>
      <c r="D86" s="55">
        <f t="shared" si="5"/>
        <v>8562756</v>
      </c>
      <c r="E86" s="9">
        <f t="shared" si="6"/>
        <v>117461</v>
      </c>
      <c r="F86" s="53">
        <f t="shared" ref="F86:F149" si="9">$B$1-G86</f>
        <v>2743209</v>
      </c>
      <c r="G86" s="53">
        <f t="shared" si="8"/>
        <v>7256791</v>
      </c>
      <c r="H86" s="9">
        <f t="shared" ref="H86:H149" si="10">ROUND(G86*$B$8,0)</f>
        <v>798247</v>
      </c>
    </row>
    <row r="87" spans="1:8" x14ac:dyDescent="0.25">
      <c r="A87" s="5">
        <v>67</v>
      </c>
      <c r="B87" s="55">
        <f t="shared" ref="B87:B150" si="11" xml:space="preserve"> ROUND(B86 - ((B86 / $B$11)*($B$4*C86)),0)</f>
        <v>355494</v>
      </c>
      <c r="C87" s="55">
        <f t="shared" ref="C87:C150" si="12" xml:space="preserve"> ROUND(C86 + (B86/$B$11)*($B$4*C86)-(C86*$B$5),0)</f>
        <v>975465</v>
      </c>
      <c r="D87" s="55">
        <f t="shared" ref="D87:D150" si="13" xml:space="preserve"> ROUND(D86 + (C86 * $B$5),0)</f>
        <v>8669539</v>
      </c>
      <c r="E87" s="9">
        <f t="shared" ref="E87:E150" si="14">ROUND(C87*$B$8,0)</f>
        <v>107301</v>
      </c>
      <c r="F87" s="53">
        <f t="shared" si="9"/>
        <v>2742399</v>
      </c>
      <c r="G87" s="53">
        <f t="shared" si="8"/>
        <v>7257601</v>
      </c>
      <c r="H87" s="9">
        <f t="shared" si="10"/>
        <v>798336</v>
      </c>
    </row>
    <row r="88" spans="1:8" x14ac:dyDescent="0.25">
      <c r="A88" s="5">
        <v>68</v>
      </c>
      <c r="B88" s="55">
        <f t="shared" si="11"/>
        <v>342837</v>
      </c>
      <c r="C88" s="55">
        <f t="shared" si="12"/>
        <v>890576</v>
      </c>
      <c r="D88" s="55">
        <f t="shared" si="13"/>
        <v>8767086</v>
      </c>
      <c r="E88" s="9">
        <f t="shared" si="14"/>
        <v>97963</v>
      </c>
      <c r="F88" s="53">
        <f t="shared" si="9"/>
        <v>2741777</v>
      </c>
      <c r="G88" s="53">
        <f t="shared" si="8"/>
        <v>7258223</v>
      </c>
      <c r="H88" s="9">
        <f t="shared" si="10"/>
        <v>798405</v>
      </c>
    </row>
    <row r="89" spans="1:8" x14ac:dyDescent="0.25">
      <c r="A89" s="5">
        <v>69</v>
      </c>
      <c r="B89" s="55">
        <f t="shared" si="11"/>
        <v>331693</v>
      </c>
      <c r="C89" s="55">
        <f t="shared" si="12"/>
        <v>812663</v>
      </c>
      <c r="D89" s="55">
        <f t="shared" si="13"/>
        <v>8856144</v>
      </c>
      <c r="E89" s="9">
        <f t="shared" si="14"/>
        <v>89393</v>
      </c>
      <c r="F89" s="53">
        <f t="shared" si="9"/>
        <v>2741299</v>
      </c>
      <c r="G89" s="53">
        <f t="shared" si="8"/>
        <v>7258701</v>
      </c>
      <c r="H89" s="9">
        <f t="shared" si="10"/>
        <v>798457</v>
      </c>
    </row>
    <row r="90" spans="1:8" x14ac:dyDescent="0.25">
      <c r="A90" s="5">
        <v>70</v>
      </c>
      <c r="B90" s="55">
        <f t="shared" si="11"/>
        <v>321854</v>
      </c>
      <c r="C90" s="55">
        <f t="shared" si="12"/>
        <v>741235</v>
      </c>
      <c r="D90" s="55">
        <f t="shared" si="13"/>
        <v>8937410</v>
      </c>
      <c r="E90" s="9">
        <f t="shared" si="14"/>
        <v>81536</v>
      </c>
      <c r="F90" s="53">
        <f t="shared" si="9"/>
        <v>2740933</v>
      </c>
      <c r="G90" s="53">
        <f t="shared" si="8"/>
        <v>7259067</v>
      </c>
      <c r="H90" s="9">
        <f t="shared" si="10"/>
        <v>798497</v>
      </c>
    </row>
    <row r="91" spans="1:8" x14ac:dyDescent="0.25">
      <c r="A91" s="5">
        <v>71</v>
      </c>
      <c r="B91" s="55">
        <f t="shared" si="11"/>
        <v>313146</v>
      </c>
      <c r="C91" s="55">
        <f t="shared" si="12"/>
        <v>675819</v>
      </c>
      <c r="D91" s="55">
        <f t="shared" si="13"/>
        <v>9011534</v>
      </c>
      <c r="E91" s="9">
        <f t="shared" si="14"/>
        <v>74340</v>
      </c>
      <c r="F91" s="53">
        <f t="shared" si="9"/>
        <v>2740652</v>
      </c>
      <c r="G91" s="53">
        <f t="shared" si="8"/>
        <v>7259348</v>
      </c>
      <c r="H91" s="9">
        <f t="shared" si="10"/>
        <v>798528</v>
      </c>
    </row>
    <row r="92" spans="1:8" x14ac:dyDescent="0.25">
      <c r="A92" s="5">
        <v>72</v>
      </c>
      <c r="B92" s="55">
        <f t="shared" si="11"/>
        <v>305422</v>
      </c>
      <c r="C92" s="55">
        <f t="shared" si="12"/>
        <v>615962</v>
      </c>
      <c r="D92" s="55">
        <f t="shared" si="13"/>
        <v>9079116</v>
      </c>
      <c r="E92" s="9">
        <f t="shared" si="14"/>
        <v>67756</v>
      </c>
      <c r="F92" s="53">
        <f t="shared" si="9"/>
        <v>2740437</v>
      </c>
      <c r="G92" s="53">
        <f t="shared" si="8"/>
        <v>7259563</v>
      </c>
      <c r="H92" s="9">
        <f t="shared" si="10"/>
        <v>798552</v>
      </c>
    </row>
    <row r="93" spans="1:8" x14ac:dyDescent="0.25">
      <c r="A93" s="5">
        <v>73</v>
      </c>
      <c r="B93" s="55">
        <f t="shared" si="11"/>
        <v>298555</v>
      </c>
      <c r="C93" s="55">
        <f t="shared" si="12"/>
        <v>561232</v>
      </c>
      <c r="D93" s="55">
        <f t="shared" si="13"/>
        <v>9140712</v>
      </c>
      <c r="E93" s="9">
        <f t="shared" si="14"/>
        <v>61736</v>
      </c>
      <c r="F93" s="53">
        <f t="shared" si="9"/>
        <v>2740271</v>
      </c>
      <c r="G93" s="53">
        <f t="shared" si="8"/>
        <v>7259729</v>
      </c>
      <c r="H93" s="9">
        <f t="shared" si="10"/>
        <v>798570</v>
      </c>
    </row>
    <row r="94" spans="1:8" x14ac:dyDescent="0.25">
      <c r="A94" s="5">
        <v>74</v>
      </c>
      <c r="B94" s="55">
        <f t="shared" si="11"/>
        <v>292439</v>
      </c>
      <c r="C94" s="55">
        <f t="shared" si="12"/>
        <v>511225</v>
      </c>
      <c r="D94" s="55">
        <f t="shared" si="13"/>
        <v>9196835</v>
      </c>
      <c r="E94" s="9">
        <f t="shared" si="14"/>
        <v>56235</v>
      </c>
      <c r="F94" s="53">
        <f t="shared" si="9"/>
        <v>2740144</v>
      </c>
      <c r="G94" s="53">
        <f t="shared" si="8"/>
        <v>7259856</v>
      </c>
      <c r="H94" s="9">
        <f t="shared" si="10"/>
        <v>798584</v>
      </c>
    </row>
    <row r="95" spans="1:8" x14ac:dyDescent="0.25">
      <c r="A95" s="5">
        <v>75</v>
      </c>
      <c r="B95" s="55">
        <f t="shared" si="11"/>
        <v>286982</v>
      </c>
      <c r="C95" s="55">
        <f t="shared" si="12"/>
        <v>465559</v>
      </c>
      <c r="D95" s="55">
        <f t="shared" si="13"/>
        <v>9247958</v>
      </c>
      <c r="E95" s="9">
        <f t="shared" si="14"/>
        <v>51211</v>
      </c>
      <c r="F95" s="53">
        <f t="shared" si="9"/>
        <v>2740047</v>
      </c>
      <c r="G95" s="53">
        <f t="shared" si="8"/>
        <v>7259953</v>
      </c>
      <c r="H95" s="9">
        <f t="shared" si="10"/>
        <v>798595</v>
      </c>
    </row>
    <row r="96" spans="1:8" x14ac:dyDescent="0.25">
      <c r="A96" s="5">
        <v>76</v>
      </c>
      <c r="B96" s="55">
        <f t="shared" si="11"/>
        <v>282105</v>
      </c>
      <c r="C96" s="55">
        <f t="shared" si="12"/>
        <v>423880</v>
      </c>
      <c r="D96" s="55">
        <f t="shared" si="13"/>
        <v>9294514</v>
      </c>
      <c r="E96" s="9">
        <f t="shared" si="14"/>
        <v>46627</v>
      </c>
      <c r="F96" s="53">
        <f t="shared" si="9"/>
        <v>2739972</v>
      </c>
      <c r="G96" s="53">
        <f t="shared" si="8"/>
        <v>7260028</v>
      </c>
      <c r="H96" s="9">
        <f t="shared" si="10"/>
        <v>798603</v>
      </c>
    </row>
    <row r="97" spans="1:8" x14ac:dyDescent="0.25">
      <c r="A97" s="5">
        <v>77</v>
      </c>
      <c r="B97" s="55">
        <f t="shared" si="11"/>
        <v>277740</v>
      </c>
      <c r="C97" s="55">
        <f t="shared" si="12"/>
        <v>385857</v>
      </c>
      <c r="D97" s="55">
        <f t="shared" si="13"/>
        <v>9336902</v>
      </c>
      <c r="E97" s="9">
        <f t="shared" si="14"/>
        <v>42444</v>
      </c>
      <c r="F97" s="53">
        <f t="shared" si="9"/>
        <v>2739915</v>
      </c>
      <c r="G97" s="53">
        <f t="shared" si="8"/>
        <v>7260085</v>
      </c>
      <c r="H97" s="9">
        <f t="shared" si="10"/>
        <v>798609</v>
      </c>
    </row>
    <row r="98" spans="1:8" x14ac:dyDescent="0.25">
      <c r="A98" s="5">
        <v>78</v>
      </c>
      <c r="B98" s="55">
        <f t="shared" si="11"/>
        <v>273828</v>
      </c>
      <c r="C98" s="55">
        <f t="shared" si="12"/>
        <v>351183</v>
      </c>
      <c r="D98" s="55">
        <f t="shared" si="13"/>
        <v>9375488</v>
      </c>
      <c r="E98" s="9">
        <f t="shared" si="14"/>
        <v>38630</v>
      </c>
      <c r="F98" s="53">
        <f t="shared" si="9"/>
        <v>2739871</v>
      </c>
      <c r="G98" s="53">
        <f t="shared" si="8"/>
        <v>7260129</v>
      </c>
      <c r="H98" s="9">
        <f t="shared" si="10"/>
        <v>798614</v>
      </c>
    </row>
    <row r="99" spans="1:8" x14ac:dyDescent="0.25">
      <c r="A99" s="5">
        <v>79</v>
      </c>
      <c r="B99" s="55">
        <f t="shared" si="11"/>
        <v>270318</v>
      </c>
      <c r="C99" s="55">
        <f t="shared" si="12"/>
        <v>319575</v>
      </c>
      <c r="D99" s="55">
        <f t="shared" si="13"/>
        <v>9410606</v>
      </c>
      <c r="E99" s="9">
        <f t="shared" si="14"/>
        <v>35153</v>
      </c>
      <c r="F99" s="53">
        <f t="shared" si="9"/>
        <v>2739837</v>
      </c>
      <c r="G99" s="53">
        <f t="shared" si="8"/>
        <v>7260163</v>
      </c>
      <c r="H99" s="9">
        <f t="shared" si="10"/>
        <v>798618</v>
      </c>
    </row>
    <row r="100" spans="1:8" x14ac:dyDescent="0.25">
      <c r="A100" s="5">
        <v>80</v>
      </c>
      <c r="B100" s="55">
        <f t="shared" si="11"/>
        <v>267165</v>
      </c>
      <c r="C100" s="55">
        <f t="shared" si="12"/>
        <v>290771</v>
      </c>
      <c r="D100" s="55">
        <f t="shared" si="13"/>
        <v>9442564</v>
      </c>
      <c r="E100" s="9">
        <f t="shared" si="14"/>
        <v>31985</v>
      </c>
      <c r="F100" s="53">
        <f t="shared" si="9"/>
        <v>2739811</v>
      </c>
      <c r="G100" s="53">
        <f t="shared" si="8"/>
        <v>7260189</v>
      </c>
      <c r="H100" s="9">
        <f t="shared" si="10"/>
        <v>798621</v>
      </c>
    </row>
    <row r="101" spans="1:8" x14ac:dyDescent="0.25">
      <c r="A101" s="5">
        <v>81</v>
      </c>
      <c r="B101" s="55">
        <f t="shared" si="11"/>
        <v>264330</v>
      </c>
      <c r="C101" s="55">
        <f t="shared" si="12"/>
        <v>264529</v>
      </c>
      <c r="D101" s="55">
        <f t="shared" si="13"/>
        <v>9471641</v>
      </c>
      <c r="E101" s="9">
        <f t="shared" si="14"/>
        <v>29098</v>
      </c>
      <c r="F101" s="53">
        <f t="shared" si="9"/>
        <v>2739791</v>
      </c>
      <c r="G101" s="53">
        <f t="shared" si="8"/>
        <v>7260209</v>
      </c>
      <c r="H101" s="9">
        <f t="shared" si="10"/>
        <v>798623</v>
      </c>
    </row>
    <row r="102" spans="1:8" x14ac:dyDescent="0.25">
      <c r="A102" s="5">
        <v>82</v>
      </c>
      <c r="B102" s="55">
        <f t="shared" si="11"/>
        <v>261778</v>
      </c>
      <c r="C102" s="55">
        <f t="shared" si="12"/>
        <v>240628</v>
      </c>
      <c r="D102" s="55">
        <f t="shared" si="13"/>
        <v>9498094</v>
      </c>
      <c r="E102" s="9">
        <f t="shared" si="14"/>
        <v>26469</v>
      </c>
      <c r="F102" s="53">
        <f t="shared" si="9"/>
        <v>2739776</v>
      </c>
      <c r="G102" s="53">
        <f t="shared" si="8"/>
        <v>7260224</v>
      </c>
      <c r="H102" s="9">
        <f t="shared" si="10"/>
        <v>798625</v>
      </c>
    </row>
    <row r="103" spans="1:8" x14ac:dyDescent="0.25">
      <c r="A103" s="5">
        <v>83</v>
      </c>
      <c r="B103" s="55">
        <f t="shared" si="11"/>
        <v>259479</v>
      </c>
      <c r="C103" s="55">
        <f t="shared" si="12"/>
        <v>218864</v>
      </c>
      <c r="D103" s="55">
        <f t="shared" si="13"/>
        <v>9522157</v>
      </c>
      <c r="E103" s="9">
        <f t="shared" si="14"/>
        <v>24075</v>
      </c>
      <c r="F103" s="53">
        <f t="shared" si="9"/>
        <v>2739765</v>
      </c>
      <c r="G103" s="53">
        <f t="shared" si="8"/>
        <v>7260235</v>
      </c>
      <c r="H103" s="9">
        <f t="shared" si="10"/>
        <v>798626</v>
      </c>
    </row>
    <row r="104" spans="1:8" x14ac:dyDescent="0.25">
      <c r="A104" s="5">
        <v>84</v>
      </c>
      <c r="B104" s="55">
        <f t="shared" si="11"/>
        <v>257406</v>
      </c>
      <c r="C104" s="55">
        <f t="shared" si="12"/>
        <v>199050</v>
      </c>
      <c r="D104" s="55">
        <f t="shared" si="13"/>
        <v>9544043</v>
      </c>
      <c r="E104" s="9">
        <f t="shared" si="14"/>
        <v>21896</v>
      </c>
      <c r="F104" s="53">
        <f t="shared" si="9"/>
        <v>2739756</v>
      </c>
      <c r="G104" s="53">
        <f t="shared" si="8"/>
        <v>7260244</v>
      </c>
      <c r="H104" s="9">
        <f t="shared" si="10"/>
        <v>798627</v>
      </c>
    </row>
    <row r="105" spans="1:8" x14ac:dyDescent="0.25">
      <c r="A105" s="5">
        <v>85</v>
      </c>
      <c r="B105" s="55">
        <f t="shared" si="11"/>
        <v>255536</v>
      </c>
      <c r="C105" s="55">
        <f t="shared" si="12"/>
        <v>181015</v>
      </c>
      <c r="D105" s="55">
        <f t="shared" si="13"/>
        <v>9563948</v>
      </c>
      <c r="E105" s="9">
        <f t="shared" si="14"/>
        <v>19912</v>
      </c>
      <c r="F105" s="53">
        <f t="shared" si="9"/>
        <v>2739749</v>
      </c>
      <c r="G105" s="53">
        <f t="shared" si="8"/>
        <v>7260251</v>
      </c>
      <c r="H105" s="9">
        <f t="shared" si="10"/>
        <v>798628</v>
      </c>
    </row>
    <row r="106" spans="1:8" x14ac:dyDescent="0.25">
      <c r="A106" s="5">
        <v>86</v>
      </c>
      <c r="B106" s="55">
        <f t="shared" si="11"/>
        <v>253848</v>
      </c>
      <c r="C106" s="55">
        <f t="shared" si="12"/>
        <v>164602</v>
      </c>
      <c r="D106" s="55">
        <f t="shared" si="13"/>
        <v>9582050</v>
      </c>
      <c r="E106" s="9">
        <f t="shared" si="14"/>
        <v>18106</v>
      </c>
      <c r="F106" s="53">
        <f t="shared" si="9"/>
        <v>2739743</v>
      </c>
      <c r="G106" s="53">
        <f t="shared" si="8"/>
        <v>7260257</v>
      </c>
      <c r="H106" s="9">
        <f t="shared" si="10"/>
        <v>798628</v>
      </c>
    </row>
    <row r="107" spans="1:8" x14ac:dyDescent="0.25">
      <c r="A107" s="5">
        <v>87</v>
      </c>
      <c r="B107" s="55">
        <f t="shared" si="11"/>
        <v>252323</v>
      </c>
      <c r="C107" s="55">
        <f t="shared" si="12"/>
        <v>149667</v>
      </c>
      <c r="D107" s="55">
        <f t="shared" si="13"/>
        <v>9598510</v>
      </c>
      <c r="E107" s="9">
        <f t="shared" si="14"/>
        <v>16463</v>
      </c>
      <c r="F107" s="53">
        <f t="shared" si="9"/>
        <v>2739739</v>
      </c>
      <c r="G107" s="53">
        <f t="shared" si="8"/>
        <v>7260261</v>
      </c>
      <c r="H107" s="9">
        <f t="shared" si="10"/>
        <v>798629</v>
      </c>
    </row>
    <row r="108" spans="1:8" x14ac:dyDescent="0.25">
      <c r="A108" s="5">
        <v>88</v>
      </c>
      <c r="B108" s="55">
        <f t="shared" si="11"/>
        <v>250945</v>
      </c>
      <c r="C108" s="55">
        <f t="shared" si="12"/>
        <v>136079</v>
      </c>
      <c r="D108" s="55">
        <f t="shared" si="13"/>
        <v>9613477</v>
      </c>
      <c r="E108" s="9">
        <f t="shared" si="14"/>
        <v>14969</v>
      </c>
      <c r="F108" s="53">
        <f t="shared" si="9"/>
        <v>2739736</v>
      </c>
      <c r="G108" s="53">
        <f t="shared" si="8"/>
        <v>7260264</v>
      </c>
      <c r="H108" s="9">
        <f t="shared" si="10"/>
        <v>798629</v>
      </c>
    </row>
    <row r="109" spans="1:8" x14ac:dyDescent="0.25">
      <c r="A109" s="5">
        <v>89</v>
      </c>
      <c r="B109" s="55">
        <f t="shared" si="11"/>
        <v>249699</v>
      </c>
      <c r="C109" s="55">
        <f t="shared" si="12"/>
        <v>123718</v>
      </c>
      <c r="D109" s="55">
        <f t="shared" si="13"/>
        <v>9627085</v>
      </c>
      <c r="E109" s="9">
        <f t="shared" si="14"/>
        <v>13609</v>
      </c>
      <c r="F109" s="53">
        <f t="shared" si="9"/>
        <v>2739734</v>
      </c>
      <c r="G109" s="53">
        <f t="shared" si="8"/>
        <v>7260266</v>
      </c>
      <c r="H109" s="9">
        <f t="shared" si="10"/>
        <v>798629</v>
      </c>
    </row>
    <row r="110" spans="1:8" x14ac:dyDescent="0.25">
      <c r="A110" s="5">
        <v>90</v>
      </c>
      <c r="B110" s="55">
        <f t="shared" si="11"/>
        <v>248571</v>
      </c>
      <c r="C110" s="55">
        <f t="shared" si="12"/>
        <v>112474</v>
      </c>
      <c r="D110" s="55">
        <f t="shared" si="13"/>
        <v>9639457</v>
      </c>
      <c r="E110" s="9">
        <f t="shared" si="14"/>
        <v>12372</v>
      </c>
      <c r="F110" s="53">
        <f t="shared" si="9"/>
        <v>2739732</v>
      </c>
      <c r="G110" s="53">
        <f t="shared" si="8"/>
        <v>7260268</v>
      </c>
      <c r="H110" s="9">
        <f t="shared" si="10"/>
        <v>798629</v>
      </c>
    </row>
    <row r="111" spans="1:8" x14ac:dyDescent="0.25">
      <c r="A111" s="5">
        <v>91</v>
      </c>
      <c r="B111" s="55">
        <f t="shared" si="11"/>
        <v>247551</v>
      </c>
      <c r="C111" s="55">
        <f t="shared" si="12"/>
        <v>102247</v>
      </c>
      <c r="D111" s="55">
        <f t="shared" si="13"/>
        <v>9650704</v>
      </c>
      <c r="E111" s="9">
        <f t="shared" si="14"/>
        <v>11247</v>
      </c>
      <c r="F111" s="53">
        <f t="shared" si="9"/>
        <v>2739731</v>
      </c>
      <c r="G111" s="53">
        <f t="shared" si="8"/>
        <v>7260269</v>
      </c>
      <c r="H111" s="9">
        <f t="shared" si="10"/>
        <v>798630</v>
      </c>
    </row>
    <row r="112" spans="1:8" x14ac:dyDescent="0.25">
      <c r="A112" s="5">
        <v>92</v>
      </c>
      <c r="B112" s="55">
        <f t="shared" si="11"/>
        <v>246627</v>
      </c>
      <c r="C112" s="55">
        <f t="shared" si="12"/>
        <v>92946</v>
      </c>
      <c r="D112" s="55">
        <f t="shared" si="13"/>
        <v>9660929</v>
      </c>
      <c r="E112" s="9">
        <f t="shared" si="14"/>
        <v>10224</v>
      </c>
      <c r="F112" s="53">
        <f t="shared" si="9"/>
        <v>2739730</v>
      </c>
      <c r="G112" s="53">
        <f t="shared" si="8"/>
        <v>7260270</v>
      </c>
      <c r="H112" s="9">
        <f t="shared" si="10"/>
        <v>798630</v>
      </c>
    </row>
    <row r="113" spans="1:8" x14ac:dyDescent="0.25">
      <c r="A113" s="5">
        <v>93</v>
      </c>
      <c r="B113" s="55">
        <f t="shared" si="11"/>
        <v>245790</v>
      </c>
      <c r="C113" s="55">
        <f t="shared" si="12"/>
        <v>84488</v>
      </c>
      <c r="D113" s="55">
        <f t="shared" si="13"/>
        <v>9670224</v>
      </c>
      <c r="E113" s="9">
        <f t="shared" si="14"/>
        <v>9294</v>
      </c>
      <c r="F113" s="53">
        <f t="shared" si="9"/>
        <v>2739729</v>
      </c>
      <c r="G113" s="53">
        <f t="shared" si="8"/>
        <v>7260271</v>
      </c>
      <c r="H113" s="9">
        <f t="shared" si="10"/>
        <v>798630</v>
      </c>
    </row>
    <row r="114" spans="1:8" x14ac:dyDescent="0.25">
      <c r="A114" s="5">
        <v>94</v>
      </c>
      <c r="B114" s="55">
        <f t="shared" si="11"/>
        <v>245032</v>
      </c>
      <c r="C114" s="55">
        <f t="shared" si="12"/>
        <v>76797</v>
      </c>
      <c r="D114" s="55">
        <f t="shared" si="13"/>
        <v>9678673</v>
      </c>
      <c r="E114" s="9">
        <f t="shared" si="14"/>
        <v>8448</v>
      </c>
      <c r="F114" s="53">
        <f t="shared" si="9"/>
        <v>2739728</v>
      </c>
      <c r="G114" s="53">
        <f t="shared" si="8"/>
        <v>7260272</v>
      </c>
      <c r="H114" s="9">
        <f t="shared" si="10"/>
        <v>798630</v>
      </c>
    </row>
    <row r="115" spans="1:8" x14ac:dyDescent="0.25">
      <c r="A115" s="5">
        <v>95</v>
      </c>
      <c r="B115" s="55">
        <f t="shared" si="11"/>
        <v>244345</v>
      </c>
      <c r="C115" s="55">
        <f t="shared" si="12"/>
        <v>69804</v>
      </c>
      <c r="D115" s="55">
        <f t="shared" si="13"/>
        <v>9686353</v>
      </c>
      <c r="E115" s="9">
        <f t="shared" si="14"/>
        <v>7678</v>
      </c>
      <c r="F115" s="53">
        <f t="shared" si="9"/>
        <v>2739728</v>
      </c>
      <c r="G115" s="53">
        <f t="shared" si="8"/>
        <v>7260272</v>
      </c>
      <c r="H115" s="9">
        <f t="shared" si="10"/>
        <v>798630</v>
      </c>
    </row>
    <row r="116" spans="1:8" x14ac:dyDescent="0.25">
      <c r="A116" s="5">
        <v>96</v>
      </c>
      <c r="B116" s="55">
        <f t="shared" si="11"/>
        <v>243722</v>
      </c>
      <c r="C116" s="55">
        <f t="shared" si="12"/>
        <v>63446</v>
      </c>
      <c r="D116" s="55">
        <f t="shared" si="13"/>
        <v>9693333</v>
      </c>
      <c r="E116" s="9">
        <f t="shared" si="14"/>
        <v>6979</v>
      </c>
      <c r="F116" s="53">
        <f t="shared" si="9"/>
        <v>2739727</v>
      </c>
      <c r="G116" s="53">
        <f t="shared" si="8"/>
        <v>7260273</v>
      </c>
      <c r="H116" s="9">
        <f t="shared" si="10"/>
        <v>798630</v>
      </c>
    </row>
    <row r="117" spans="1:8" x14ac:dyDescent="0.25">
      <c r="A117" s="5">
        <v>97</v>
      </c>
      <c r="B117" s="55">
        <f t="shared" si="11"/>
        <v>243158</v>
      </c>
      <c r="C117" s="55">
        <f t="shared" si="12"/>
        <v>57666</v>
      </c>
      <c r="D117" s="55">
        <f t="shared" si="13"/>
        <v>9699678</v>
      </c>
      <c r="E117" s="9">
        <f t="shared" si="14"/>
        <v>6343</v>
      </c>
      <c r="F117" s="53">
        <f t="shared" si="9"/>
        <v>2739727</v>
      </c>
      <c r="G117" s="53">
        <f t="shared" ref="G117:G148" si="15">ROUND($B$17/(1+($B$18*EXP(-1*$B$16*(A117-$A$21)))),0)</f>
        <v>7260273</v>
      </c>
      <c r="H117" s="9">
        <f t="shared" si="10"/>
        <v>798630</v>
      </c>
    </row>
    <row r="118" spans="1:8" x14ac:dyDescent="0.25">
      <c r="A118" s="5">
        <v>98</v>
      </c>
      <c r="B118" s="55">
        <f t="shared" si="11"/>
        <v>242646</v>
      </c>
      <c r="C118" s="55">
        <f t="shared" si="12"/>
        <v>52411</v>
      </c>
      <c r="D118" s="55">
        <f t="shared" si="13"/>
        <v>9705445</v>
      </c>
      <c r="E118" s="9">
        <f t="shared" si="14"/>
        <v>5765</v>
      </c>
      <c r="F118" s="53">
        <f t="shared" si="9"/>
        <v>2739727</v>
      </c>
      <c r="G118" s="53">
        <f t="shared" si="15"/>
        <v>7260273</v>
      </c>
      <c r="H118" s="9">
        <f t="shared" si="10"/>
        <v>798630</v>
      </c>
    </row>
    <row r="119" spans="1:8" x14ac:dyDescent="0.25">
      <c r="A119" s="5">
        <v>99</v>
      </c>
      <c r="B119" s="55">
        <f t="shared" si="11"/>
        <v>242182</v>
      </c>
      <c r="C119" s="55">
        <f t="shared" si="12"/>
        <v>47634</v>
      </c>
      <c r="D119" s="55">
        <f t="shared" si="13"/>
        <v>9710686</v>
      </c>
      <c r="E119" s="9">
        <f t="shared" si="14"/>
        <v>5240</v>
      </c>
      <c r="F119" s="53">
        <f t="shared" si="9"/>
        <v>2739727</v>
      </c>
      <c r="G119" s="53">
        <f t="shared" si="15"/>
        <v>7260273</v>
      </c>
      <c r="H119" s="9">
        <f t="shared" si="10"/>
        <v>798630</v>
      </c>
    </row>
    <row r="120" spans="1:8" x14ac:dyDescent="0.25">
      <c r="A120" s="5">
        <v>100</v>
      </c>
      <c r="B120" s="55">
        <f t="shared" si="11"/>
        <v>241761</v>
      </c>
      <c r="C120" s="55">
        <f t="shared" si="12"/>
        <v>43292</v>
      </c>
      <c r="D120" s="55">
        <f t="shared" si="13"/>
        <v>9715449</v>
      </c>
      <c r="E120" s="9">
        <f t="shared" si="14"/>
        <v>4762</v>
      </c>
      <c r="F120" s="53">
        <f t="shared" si="9"/>
        <v>2739726</v>
      </c>
      <c r="G120" s="53">
        <f t="shared" si="15"/>
        <v>7260274</v>
      </c>
      <c r="H120" s="9">
        <f t="shared" si="10"/>
        <v>798630</v>
      </c>
    </row>
    <row r="121" spans="1:8" x14ac:dyDescent="0.25">
      <c r="A121" s="5">
        <v>101</v>
      </c>
      <c r="B121" s="55">
        <f t="shared" si="11"/>
        <v>241379</v>
      </c>
      <c r="C121" s="55">
        <f t="shared" si="12"/>
        <v>39345</v>
      </c>
      <c r="D121" s="55">
        <f t="shared" si="13"/>
        <v>9719778</v>
      </c>
      <c r="E121" s="9">
        <f t="shared" si="14"/>
        <v>4328</v>
      </c>
      <c r="F121" s="53">
        <f t="shared" si="9"/>
        <v>2739726</v>
      </c>
      <c r="G121" s="53">
        <f t="shared" si="15"/>
        <v>7260274</v>
      </c>
      <c r="H121" s="9">
        <f t="shared" si="10"/>
        <v>798630</v>
      </c>
    </row>
    <row r="122" spans="1:8" x14ac:dyDescent="0.25">
      <c r="A122" s="5">
        <v>102</v>
      </c>
      <c r="B122" s="55">
        <f t="shared" si="11"/>
        <v>241032</v>
      </c>
      <c r="C122" s="55">
        <f t="shared" si="12"/>
        <v>35757</v>
      </c>
      <c r="D122" s="55">
        <f t="shared" si="13"/>
        <v>9723713</v>
      </c>
      <c r="E122" s="9">
        <f t="shared" si="14"/>
        <v>3933</v>
      </c>
      <c r="F122" s="53">
        <f t="shared" si="9"/>
        <v>2739726</v>
      </c>
      <c r="G122" s="53">
        <f t="shared" si="15"/>
        <v>7260274</v>
      </c>
      <c r="H122" s="9">
        <f t="shared" si="10"/>
        <v>798630</v>
      </c>
    </row>
    <row r="123" spans="1:8" x14ac:dyDescent="0.25">
      <c r="A123" s="5">
        <v>103</v>
      </c>
      <c r="B123" s="55">
        <f t="shared" si="11"/>
        <v>240717</v>
      </c>
      <c r="C123" s="55">
        <f t="shared" si="12"/>
        <v>32496</v>
      </c>
      <c r="D123" s="55">
        <f t="shared" si="13"/>
        <v>9727289</v>
      </c>
      <c r="E123" s="9">
        <f t="shared" si="14"/>
        <v>3575</v>
      </c>
      <c r="F123" s="53">
        <f t="shared" si="9"/>
        <v>2739726</v>
      </c>
      <c r="G123" s="53">
        <f t="shared" si="15"/>
        <v>7260274</v>
      </c>
      <c r="H123" s="9">
        <f t="shared" si="10"/>
        <v>798630</v>
      </c>
    </row>
    <row r="124" spans="1:8" x14ac:dyDescent="0.25">
      <c r="A124" s="5">
        <v>104</v>
      </c>
      <c r="B124" s="55">
        <f t="shared" si="11"/>
        <v>240431</v>
      </c>
      <c r="C124" s="55">
        <f t="shared" si="12"/>
        <v>29532</v>
      </c>
      <c r="D124" s="55">
        <f t="shared" si="13"/>
        <v>9730539</v>
      </c>
      <c r="E124" s="9">
        <f t="shared" si="14"/>
        <v>3249</v>
      </c>
      <c r="F124" s="53">
        <f t="shared" si="9"/>
        <v>2739726</v>
      </c>
      <c r="G124" s="53">
        <f t="shared" si="15"/>
        <v>7260274</v>
      </c>
      <c r="H124" s="9">
        <f t="shared" si="10"/>
        <v>798630</v>
      </c>
    </row>
    <row r="125" spans="1:8" x14ac:dyDescent="0.25">
      <c r="A125" s="5">
        <v>105</v>
      </c>
      <c r="B125" s="55">
        <f t="shared" si="11"/>
        <v>240172</v>
      </c>
      <c r="C125" s="55">
        <f t="shared" si="12"/>
        <v>26838</v>
      </c>
      <c r="D125" s="55">
        <f t="shared" si="13"/>
        <v>9733492</v>
      </c>
      <c r="E125" s="9">
        <f t="shared" si="14"/>
        <v>2952</v>
      </c>
      <c r="F125" s="53">
        <f t="shared" si="9"/>
        <v>2739726</v>
      </c>
      <c r="G125" s="53">
        <f t="shared" si="15"/>
        <v>7260274</v>
      </c>
      <c r="H125" s="9">
        <f t="shared" si="10"/>
        <v>798630</v>
      </c>
    </row>
    <row r="126" spans="1:8" x14ac:dyDescent="0.25">
      <c r="A126" s="5">
        <v>106</v>
      </c>
      <c r="B126" s="55">
        <f t="shared" si="11"/>
        <v>239937</v>
      </c>
      <c r="C126" s="55">
        <f t="shared" si="12"/>
        <v>24389</v>
      </c>
      <c r="D126" s="55">
        <f t="shared" si="13"/>
        <v>9736176</v>
      </c>
      <c r="E126" s="9">
        <f t="shared" si="14"/>
        <v>2683</v>
      </c>
      <c r="F126" s="53">
        <f t="shared" si="9"/>
        <v>2739726</v>
      </c>
      <c r="G126" s="53">
        <f t="shared" si="15"/>
        <v>7260274</v>
      </c>
      <c r="H126" s="9">
        <f t="shared" si="10"/>
        <v>798630</v>
      </c>
    </row>
    <row r="127" spans="1:8" x14ac:dyDescent="0.25">
      <c r="A127" s="5">
        <v>107</v>
      </c>
      <c r="B127" s="55">
        <f t="shared" si="11"/>
        <v>239723</v>
      </c>
      <c r="C127" s="55">
        <f t="shared" si="12"/>
        <v>22164</v>
      </c>
      <c r="D127" s="55">
        <f t="shared" si="13"/>
        <v>9738615</v>
      </c>
      <c r="E127" s="9">
        <f t="shared" si="14"/>
        <v>2438</v>
      </c>
      <c r="F127" s="53">
        <f t="shared" si="9"/>
        <v>2739726</v>
      </c>
      <c r="G127" s="53">
        <f t="shared" si="15"/>
        <v>7260274</v>
      </c>
      <c r="H127" s="9">
        <f t="shared" si="10"/>
        <v>798630</v>
      </c>
    </row>
    <row r="128" spans="1:8" x14ac:dyDescent="0.25">
      <c r="A128" s="5">
        <v>108</v>
      </c>
      <c r="B128" s="55">
        <f t="shared" si="11"/>
        <v>239529</v>
      </c>
      <c r="C128" s="55">
        <f t="shared" si="12"/>
        <v>20142</v>
      </c>
      <c r="D128" s="55">
        <f t="shared" si="13"/>
        <v>9740831</v>
      </c>
      <c r="E128" s="9">
        <f t="shared" si="14"/>
        <v>2216</v>
      </c>
      <c r="F128" s="53">
        <f t="shared" si="9"/>
        <v>2739726</v>
      </c>
      <c r="G128" s="53">
        <f t="shared" si="15"/>
        <v>7260274</v>
      </c>
      <c r="H128" s="9">
        <f t="shared" si="10"/>
        <v>798630</v>
      </c>
    </row>
    <row r="129" spans="1:8" x14ac:dyDescent="0.25">
      <c r="A129" s="5">
        <v>109</v>
      </c>
      <c r="B129" s="55">
        <f t="shared" si="11"/>
        <v>239353</v>
      </c>
      <c r="C129" s="55">
        <f t="shared" si="12"/>
        <v>18304</v>
      </c>
      <c r="D129" s="55">
        <f t="shared" si="13"/>
        <v>9742845</v>
      </c>
      <c r="E129" s="9">
        <f t="shared" si="14"/>
        <v>2013</v>
      </c>
      <c r="F129" s="53">
        <f t="shared" si="9"/>
        <v>2739726</v>
      </c>
      <c r="G129" s="53">
        <f t="shared" si="15"/>
        <v>7260274</v>
      </c>
      <c r="H129" s="9">
        <f t="shared" si="10"/>
        <v>798630</v>
      </c>
    </row>
    <row r="130" spans="1:8" x14ac:dyDescent="0.25">
      <c r="A130" s="5">
        <v>110</v>
      </c>
      <c r="B130" s="55">
        <f t="shared" si="11"/>
        <v>239193</v>
      </c>
      <c r="C130" s="55">
        <f t="shared" si="12"/>
        <v>16634</v>
      </c>
      <c r="D130" s="55">
        <f t="shared" si="13"/>
        <v>9744675</v>
      </c>
      <c r="E130" s="9">
        <f t="shared" si="14"/>
        <v>1830</v>
      </c>
      <c r="F130" s="53">
        <f t="shared" si="9"/>
        <v>2739726</v>
      </c>
      <c r="G130" s="53">
        <f t="shared" si="15"/>
        <v>7260274</v>
      </c>
      <c r="H130" s="9">
        <f t="shared" si="10"/>
        <v>798630</v>
      </c>
    </row>
    <row r="131" spans="1:8" x14ac:dyDescent="0.25">
      <c r="A131" s="5">
        <v>111</v>
      </c>
      <c r="B131" s="55">
        <f t="shared" si="11"/>
        <v>239048</v>
      </c>
      <c r="C131" s="55">
        <f t="shared" si="12"/>
        <v>15116</v>
      </c>
      <c r="D131" s="55">
        <f t="shared" si="13"/>
        <v>9746338</v>
      </c>
      <c r="E131" s="9">
        <f t="shared" si="14"/>
        <v>1663</v>
      </c>
      <c r="F131" s="53">
        <f t="shared" si="9"/>
        <v>2739726</v>
      </c>
      <c r="G131" s="53">
        <f t="shared" si="15"/>
        <v>7260274</v>
      </c>
      <c r="H131" s="9">
        <f t="shared" si="10"/>
        <v>798630</v>
      </c>
    </row>
    <row r="132" spans="1:8" x14ac:dyDescent="0.25">
      <c r="A132" s="5">
        <v>112</v>
      </c>
      <c r="B132" s="55">
        <f t="shared" si="11"/>
        <v>238916</v>
      </c>
      <c r="C132" s="55">
        <f t="shared" si="12"/>
        <v>13736</v>
      </c>
      <c r="D132" s="55">
        <f t="shared" si="13"/>
        <v>9747850</v>
      </c>
      <c r="E132" s="9">
        <f t="shared" si="14"/>
        <v>1511</v>
      </c>
      <c r="F132" s="53">
        <f t="shared" si="9"/>
        <v>2739726</v>
      </c>
      <c r="G132" s="53">
        <f t="shared" si="15"/>
        <v>7260274</v>
      </c>
      <c r="H132" s="9">
        <f t="shared" si="10"/>
        <v>798630</v>
      </c>
    </row>
    <row r="133" spans="1:8" x14ac:dyDescent="0.25">
      <c r="A133" s="5">
        <v>113</v>
      </c>
      <c r="B133" s="55">
        <f t="shared" si="11"/>
        <v>238796</v>
      </c>
      <c r="C133" s="55">
        <f t="shared" si="12"/>
        <v>12482</v>
      </c>
      <c r="D133" s="55">
        <f t="shared" si="13"/>
        <v>9749224</v>
      </c>
      <c r="E133" s="9">
        <f t="shared" si="14"/>
        <v>1373</v>
      </c>
      <c r="F133" s="53">
        <f t="shared" si="9"/>
        <v>2739726</v>
      </c>
      <c r="G133" s="53">
        <f t="shared" si="15"/>
        <v>7260274</v>
      </c>
      <c r="H133" s="9">
        <f t="shared" si="10"/>
        <v>798630</v>
      </c>
    </row>
    <row r="134" spans="1:8" x14ac:dyDescent="0.25">
      <c r="A134" s="5">
        <v>114</v>
      </c>
      <c r="B134" s="55">
        <f t="shared" si="11"/>
        <v>238687</v>
      </c>
      <c r="C134" s="55">
        <f t="shared" si="12"/>
        <v>11343</v>
      </c>
      <c r="D134" s="55">
        <f t="shared" si="13"/>
        <v>9750472</v>
      </c>
      <c r="E134" s="9">
        <f t="shared" si="14"/>
        <v>1248</v>
      </c>
      <c r="F134" s="53">
        <f t="shared" si="9"/>
        <v>2739726</v>
      </c>
      <c r="G134" s="53">
        <f t="shared" si="15"/>
        <v>7260274</v>
      </c>
      <c r="H134" s="9">
        <f t="shared" si="10"/>
        <v>798630</v>
      </c>
    </row>
    <row r="135" spans="1:8" x14ac:dyDescent="0.25">
      <c r="A135" s="5">
        <v>115</v>
      </c>
      <c r="B135" s="55">
        <f t="shared" si="11"/>
        <v>238588</v>
      </c>
      <c r="C135" s="55">
        <f t="shared" si="12"/>
        <v>10308</v>
      </c>
      <c r="D135" s="55">
        <f t="shared" si="13"/>
        <v>9751606</v>
      </c>
      <c r="E135" s="9">
        <f t="shared" si="14"/>
        <v>1134</v>
      </c>
      <c r="F135" s="53">
        <f t="shared" si="9"/>
        <v>2739726</v>
      </c>
      <c r="G135" s="53">
        <f t="shared" si="15"/>
        <v>7260274</v>
      </c>
      <c r="H135" s="9">
        <f t="shared" si="10"/>
        <v>798630</v>
      </c>
    </row>
    <row r="136" spans="1:8" x14ac:dyDescent="0.25">
      <c r="A136" s="5">
        <v>116</v>
      </c>
      <c r="B136" s="55">
        <f t="shared" si="11"/>
        <v>238498</v>
      </c>
      <c r="C136" s="55">
        <f t="shared" si="12"/>
        <v>9367</v>
      </c>
      <c r="D136" s="55">
        <f t="shared" si="13"/>
        <v>9752637</v>
      </c>
      <c r="E136" s="9">
        <f t="shared" si="14"/>
        <v>1030</v>
      </c>
      <c r="F136" s="53">
        <f t="shared" si="9"/>
        <v>2739726</v>
      </c>
      <c r="G136" s="53">
        <f t="shared" si="15"/>
        <v>7260274</v>
      </c>
      <c r="H136" s="9">
        <f t="shared" si="10"/>
        <v>798630</v>
      </c>
    </row>
    <row r="137" spans="1:8" x14ac:dyDescent="0.25">
      <c r="A137" s="5">
        <v>117</v>
      </c>
      <c r="B137" s="55">
        <f t="shared" si="11"/>
        <v>238416</v>
      </c>
      <c r="C137" s="55">
        <f t="shared" si="12"/>
        <v>8512</v>
      </c>
      <c r="D137" s="55">
        <f t="shared" si="13"/>
        <v>9753574</v>
      </c>
      <c r="E137" s="9">
        <f t="shared" si="14"/>
        <v>936</v>
      </c>
      <c r="F137" s="53">
        <f t="shared" si="9"/>
        <v>2739726</v>
      </c>
      <c r="G137" s="53">
        <f t="shared" si="15"/>
        <v>7260274</v>
      </c>
      <c r="H137" s="9">
        <f t="shared" si="10"/>
        <v>798630</v>
      </c>
    </row>
    <row r="138" spans="1:8" x14ac:dyDescent="0.25">
      <c r="A138" s="5">
        <v>118</v>
      </c>
      <c r="B138" s="55">
        <f t="shared" si="11"/>
        <v>238342</v>
      </c>
      <c r="C138" s="55">
        <f t="shared" si="12"/>
        <v>7735</v>
      </c>
      <c r="D138" s="55">
        <f t="shared" si="13"/>
        <v>9754425</v>
      </c>
      <c r="E138" s="9">
        <f t="shared" si="14"/>
        <v>851</v>
      </c>
      <c r="F138" s="53">
        <f t="shared" si="9"/>
        <v>2739726</v>
      </c>
      <c r="G138" s="53">
        <f t="shared" si="15"/>
        <v>7260274</v>
      </c>
      <c r="H138" s="9">
        <f t="shared" si="10"/>
        <v>798630</v>
      </c>
    </row>
    <row r="139" spans="1:8" x14ac:dyDescent="0.25">
      <c r="A139" s="5">
        <v>119</v>
      </c>
      <c r="B139" s="55">
        <f t="shared" si="11"/>
        <v>238275</v>
      </c>
      <c r="C139" s="55">
        <f t="shared" si="12"/>
        <v>7029</v>
      </c>
      <c r="D139" s="55">
        <f t="shared" si="13"/>
        <v>9755199</v>
      </c>
      <c r="E139" s="9">
        <f t="shared" si="14"/>
        <v>773</v>
      </c>
      <c r="F139" s="53">
        <f t="shared" si="9"/>
        <v>2739726</v>
      </c>
      <c r="G139" s="53">
        <f t="shared" si="15"/>
        <v>7260274</v>
      </c>
      <c r="H139" s="9">
        <f t="shared" si="10"/>
        <v>798630</v>
      </c>
    </row>
    <row r="140" spans="1:8" x14ac:dyDescent="0.25">
      <c r="A140" s="5">
        <v>120</v>
      </c>
      <c r="B140" s="55">
        <f t="shared" si="11"/>
        <v>238214</v>
      </c>
      <c r="C140" s="55">
        <f t="shared" si="12"/>
        <v>6387</v>
      </c>
      <c r="D140" s="55">
        <f t="shared" si="13"/>
        <v>9755902</v>
      </c>
      <c r="E140" s="9">
        <f t="shared" si="14"/>
        <v>703</v>
      </c>
      <c r="F140" s="53">
        <f t="shared" si="9"/>
        <v>2739726</v>
      </c>
      <c r="G140" s="53">
        <f t="shared" si="15"/>
        <v>7260274</v>
      </c>
      <c r="H140" s="9">
        <f t="shared" si="10"/>
        <v>798630</v>
      </c>
    </row>
    <row r="141" spans="1:8" x14ac:dyDescent="0.25">
      <c r="A141" s="5">
        <v>121</v>
      </c>
      <c r="B141" s="55">
        <f t="shared" si="11"/>
        <v>238158</v>
      </c>
      <c r="C141" s="55">
        <f t="shared" si="12"/>
        <v>5804</v>
      </c>
      <c r="D141" s="55">
        <f t="shared" si="13"/>
        <v>9756541</v>
      </c>
      <c r="E141" s="9">
        <f t="shared" si="14"/>
        <v>638</v>
      </c>
      <c r="F141" s="53">
        <f t="shared" si="9"/>
        <v>2739726</v>
      </c>
      <c r="G141" s="53">
        <f t="shared" si="15"/>
        <v>7260274</v>
      </c>
      <c r="H141" s="9">
        <f t="shared" si="10"/>
        <v>798630</v>
      </c>
    </row>
    <row r="142" spans="1:8" x14ac:dyDescent="0.25">
      <c r="A142" s="5">
        <v>122</v>
      </c>
      <c r="B142" s="55">
        <f t="shared" si="11"/>
        <v>238108</v>
      </c>
      <c r="C142" s="55">
        <f t="shared" si="12"/>
        <v>5274</v>
      </c>
      <c r="D142" s="55">
        <f t="shared" si="13"/>
        <v>9757121</v>
      </c>
      <c r="E142" s="9">
        <f t="shared" si="14"/>
        <v>580</v>
      </c>
      <c r="F142" s="53">
        <f t="shared" si="9"/>
        <v>2739726</v>
      </c>
      <c r="G142" s="53">
        <f t="shared" si="15"/>
        <v>7260274</v>
      </c>
      <c r="H142" s="9">
        <f t="shared" si="10"/>
        <v>798630</v>
      </c>
    </row>
    <row r="143" spans="1:8" x14ac:dyDescent="0.25">
      <c r="A143" s="5">
        <v>123</v>
      </c>
      <c r="B143" s="55">
        <f t="shared" si="11"/>
        <v>238062</v>
      </c>
      <c r="C143" s="55">
        <f t="shared" si="12"/>
        <v>4792</v>
      </c>
      <c r="D143" s="55">
        <f t="shared" si="13"/>
        <v>9757648</v>
      </c>
      <c r="E143" s="9">
        <f t="shared" si="14"/>
        <v>527</v>
      </c>
      <c r="F143" s="53">
        <f t="shared" si="9"/>
        <v>2739726</v>
      </c>
      <c r="G143" s="53">
        <f t="shared" si="15"/>
        <v>7260274</v>
      </c>
      <c r="H143" s="9">
        <f t="shared" si="10"/>
        <v>798630</v>
      </c>
    </row>
    <row r="144" spans="1:8" x14ac:dyDescent="0.25">
      <c r="A144" s="5">
        <v>124</v>
      </c>
      <c r="B144" s="55">
        <f t="shared" si="11"/>
        <v>238020</v>
      </c>
      <c r="C144" s="55">
        <f t="shared" si="12"/>
        <v>4354</v>
      </c>
      <c r="D144" s="55">
        <f t="shared" si="13"/>
        <v>9758127</v>
      </c>
      <c r="E144" s="9">
        <f t="shared" si="14"/>
        <v>479</v>
      </c>
      <c r="F144" s="53">
        <f t="shared" si="9"/>
        <v>2739726</v>
      </c>
      <c r="G144" s="53">
        <f t="shared" si="15"/>
        <v>7260274</v>
      </c>
      <c r="H144" s="9">
        <f t="shared" si="10"/>
        <v>798630</v>
      </c>
    </row>
    <row r="145" spans="1:8" x14ac:dyDescent="0.25">
      <c r="A145" s="5">
        <v>125</v>
      </c>
      <c r="B145" s="55">
        <f t="shared" si="11"/>
        <v>237982</v>
      </c>
      <c r="C145" s="55">
        <f t="shared" si="12"/>
        <v>3956</v>
      </c>
      <c r="D145" s="55">
        <f t="shared" si="13"/>
        <v>9758562</v>
      </c>
      <c r="E145" s="9">
        <f t="shared" si="14"/>
        <v>435</v>
      </c>
      <c r="F145" s="53">
        <f t="shared" si="9"/>
        <v>2739726</v>
      </c>
      <c r="G145" s="53">
        <f t="shared" si="15"/>
        <v>7260274</v>
      </c>
      <c r="H145" s="9">
        <f t="shared" si="10"/>
        <v>798630</v>
      </c>
    </row>
    <row r="146" spans="1:8" x14ac:dyDescent="0.25">
      <c r="A146" s="5">
        <v>126</v>
      </c>
      <c r="B146" s="55">
        <f t="shared" si="11"/>
        <v>237948</v>
      </c>
      <c r="C146" s="55">
        <f t="shared" si="12"/>
        <v>3595</v>
      </c>
      <c r="D146" s="55">
        <f t="shared" si="13"/>
        <v>9758958</v>
      </c>
      <c r="E146" s="9">
        <f t="shared" si="14"/>
        <v>395</v>
      </c>
      <c r="F146" s="53">
        <f t="shared" si="9"/>
        <v>2739726</v>
      </c>
      <c r="G146" s="53">
        <f t="shared" si="15"/>
        <v>7260274</v>
      </c>
      <c r="H146" s="9">
        <f t="shared" si="10"/>
        <v>798630</v>
      </c>
    </row>
    <row r="147" spans="1:8" x14ac:dyDescent="0.25">
      <c r="A147" s="5">
        <v>127</v>
      </c>
      <c r="B147" s="55">
        <f t="shared" si="11"/>
        <v>237917</v>
      </c>
      <c r="C147" s="55">
        <f t="shared" si="12"/>
        <v>3267</v>
      </c>
      <c r="D147" s="55">
        <f t="shared" si="13"/>
        <v>9759318</v>
      </c>
      <c r="E147" s="9">
        <f t="shared" si="14"/>
        <v>359</v>
      </c>
      <c r="F147" s="53">
        <f t="shared" si="9"/>
        <v>2739726</v>
      </c>
      <c r="G147" s="53">
        <f t="shared" si="15"/>
        <v>7260274</v>
      </c>
      <c r="H147" s="9">
        <f t="shared" si="10"/>
        <v>798630</v>
      </c>
    </row>
    <row r="148" spans="1:8" x14ac:dyDescent="0.25">
      <c r="A148" s="5">
        <v>128</v>
      </c>
      <c r="B148" s="55">
        <f t="shared" si="11"/>
        <v>237889</v>
      </c>
      <c r="C148" s="55">
        <f t="shared" si="12"/>
        <v>2969</v>
      </c>
      <c r="D148" s="55">
        <f t="shared" si="13"/>
        <v>9759645</v>
      </c>
      <c r="E148" s="9">
        <f t="shared" si="14"/>
        <v>327</v>
      </c>
      <c r="F148" s="53">
        <f t="shared" si="9"/>
        <v>2739726</v>
      </c>
      <c r="G148" s="53">
        <f t="shared" si="15"/>
        <v>7260274</v>
      </c>
      <c r="H148" s="9">
        <f t="shared" si="10"/>
        <v>798630</v>
      </c>
    </row>
    <row r="149" spans="1:8" x14ac:dyDescent="0.25">
      <c r="A149" s="5">
        <v>129</v>
      </c>
      <c r="B149" s="55">
        <f t="shared" si="11"/>
        <v>237863</v>
      </c>
      <c r="C149" s="55">
        <f t="shared" si="12"/>
        <v>2698</v>
      </c>
      <c r="D149" s="55">
        <f t="shared" si="13"/>
        <v>9759942</v>
      </c>
      <c r="E149" s="9">
        <f t="shared" si="14"/>
        <v>297</v>
      </c>
      <c r="F149" s="53">
        <f t="shared" si="9"/>
        <v>2739726</v>
      </c>
      <c r="G149" s="53">
        <f t="shared" ref="G149:G180" si="16">ROUND($B$17/(1+($B$18*EXP(-1*$B$16*(A149-$A$21)))),0)</f>
        <v>7260274</v>
      </c>
      <c r="H149" s="9">
        <f t="shared" si="10"/>
        <v>798630</v>
      </c>
    </row>
    <row r="150" spans="1:8" x14ac:dyDescent="0.25">
      <c r="A150" s="5">
        <v>130</v>
      </c>
      <c r="B150" s="55">
        <f t="shared" si="11"/>
        <v>237840</v>
      </c>
      <c r="C150" s="55">
        <f t="shared" si="12"/>
        <v>2452</v>
      </c>
      <c r="D150" s="55">
        <f t="shared" si="13"/>
        <v>9760212</v>
      </c>
      <c r="E150" s="9">
        <f t="shared" si="14"/>
        <v>270</v>
      </c>
      <c r="F150" s="53">
        <f t="shared" ref="F150:F204" si="17">$B$1-G150</f>
        <v>2739726</v>
      </c>
      <c r="G150" s="53">
        <f t="shared" si="16"/>
        <v>7260274</v>
      </c>
      <c r="H150" s="9">
        <f t="shared" ref="H150:H204" si="18">ROUND(G150*$B$8,0)</f>
        <v>798630</v>
      </c>
    </row>
    <row r="151" spans="1:8" x14ac:dyDescent="0.25">
      <c r="A151" s="5">
        <v>131</v>
      </c>
      <c r="B151" s="55">
        <f t="shared" ref="B151:B204" si="19" xml:space="preserve"> ROUND(B150 - ((B150 / $B$11)*($B$4*C150)),0)</f>
        <v>237819</v>
      </c>
      <c r="C151" s="55">
        <f t="shared" ref="C151:C204" si="20" xml:space="preserve"> ROUND(C150 + (B150/$B$11)*($B$4*C150)-(C150*$B$5),0)</f>
        <v>2228</v>
      </c>
      <c r="D151" s="55">
        <f t="shared" ref="D151:D204" si="21" xml:space="preserve"> ROUND(D150 + (C150 * $B$5),0)</f>
        <v>9760457</v>
      </c>
      <c r="E151" s="9">
        <f t="shared" ref="E151:E204" si="22">ROUND(C151*$B$8,0)</f>
        <v>245</v>
      </c>
      <c r="F151" s="53">
        <f t="shared" si="17"/>
        <v>2739726</v>
      </c>
      <c r="G151" s="53">
        <f t="shared" si="16"/>
        <v>7260274</v>
      </c>
      <c r="H151" s="9">
        <f t="shared" si="18"/>
        <v>798630</v>
      </c>
    </row>
    <row r="152" spans="1:8" x14ac:dyDescent="0.25">
      <c r="A152" s="5">
        <v>132</v>
      </c>
      <c r="B152" s="55">
        <f t="shared" si="19"/>
        <v>237800</v>
      </c>
      <c r="C152" s="55">
        <f t="shared" si="20"/>
        <v>2025</v>
      </c>
      <c r="D152" s="55">
        <f t="shared" si="21"/>
        <v>9760680</v>
      </c>
      <c r="E152" s="9">
        <f t="shared" si="22"/>
        <v>223</v>
      </c>
      <c r="F152" s="53">
        <f t="shared" si="17"/>
        <v>2739726</v>
      </c>
      <c r="G152" s="53">
        <f t="shared" si="16"/>
        <v>7260274</v>
      </c>
      <c r="H152" s="9">
        <f t="shared" si="18"/>
        <v>798630</v>
      </c>
    </row>
    <row r="153" spans="1:8" x14ac:dyDescent="0.25">
      <c r="A153" s="5">
        <v>133</v>
      </c>
      <c r="B153" s="55">
        <f t="shared" si="19"/>
        <v>237782</v>
      </c>
      <c r="C153" s="55">
        <f t="shared" si="20"/>
        <v>1840</v>
      </c>
      <c r="D153" s="55">
        <f t="shared" si="21"/>
        <v>9760883</v>
      </c>
      <c r="E153" s="9">
        <f t="shared" si="22"/>
        <v>202</v>
      </c>
      <c r="F153" s="53">
        <f t="shared" si="17"/>
        <v>2739726</v>
      </c>
      <c r="G153" s="53">
        <f t="shared" si="16"/>
        <v>7260274</v>
      </c>
      <c r="H153" s="9">
        <f t="shared" si="18"/>
        <v>798630</v>
      </c>
    </row>
    <row r="154" spans="1:8" x14ac:dyDescent="0.25">
      <c r="A154" s="5">
        <v>134</v>
      </c>
      <c r="B154" s="55">
        <f t="shared" si="19"/>
        <v>237766</v>
      </c>
      <c r="C154" s="55">
        <f t="shared" si="20"/>
        <v>1672</v>
      </c>
      <c r="D154" s="55">
        <f t="shared" si="21"/>
        <v>9761067</v>
      </c>
      <c r="E154" s="9">
        <f t="shared" si="22"/>
        <v>184</v>
      </c>
      <c r="F154" s="53">
        <f t="shared" si="17"/>
        <v>2739726</v>
      </c>
      <c r="G154" s="53">
        <f t="shared" si="16"/>
        <v>7260274</v>
      </c>
      <c r="H154" s="9">
        <f t="shared" si="18"/>
        <v>798630</v>
      </c>
    </row>
    <row r="155" spans="1:8" x14ac:dyDescent="0.25">
      <c r="A155" s="5">
        <v>135</v>
      </c>
      <c r="B155" s="55">
        <f t="shared" si="19"/>
        <v>237751</v>
      </c>
      <c r="C155" s="55">
        <f t="shared" si="20"/>
        <v>1519</v>
      </c>
      <c r="D155" s="55">
        <f t="shared" si="21"/>
        <v>9761234</v>
      </c>
      <c r="E155" s="9">
        <f t="shared" si="22"/>
        <v>167</v>
      </c>
      <c r="F155" s="53">
        <f t="shared" si="17"/>
        <v>2739726</v>
      </c>
      <c r="G155" s="53">
        <f t="shared" si="16"/>
        <v>7260274</v>
      </c>
      <c r="H155" s="9">
        <f t="shared" si="18"/>
        <v>798630</v>
      </c>
    </row>
    <row r="156" spans="1:8" x14ac:dyDescent="0.25">
      <c r="A156" s="5">
        <v>136</v>
      </c>
      <c r="B156" s="55">
        <f t="shared" si="19"/>
        <v>237738</v>
      </c>
      <c r="C156" s="55">
        <f t="shared" si="20"/>
        <v>1380</v>
      </c>
      <c r="D156" s="55">
        <f t="shared" si="21"/>
        <v>9761386</v>
      </c>
      <c r="E156" s="9">
        <f t="shared" si="22"/>
        <v>152</v>
      </c>
      <c r="F156" s="53">
        <f t="shared" si="17"/>
        <v>2739726</v>
      </c>
      <c r="G156" s="53">
        <f t="shared" si="16"/>
        <v>7260274</v>
      </c>
      <c r="H156" s="9">
        <f t="shared" si="18"/>
        <v>798630</v>
      </c>
    </row>
    <row r="157" spans="1:8" x14ac:dyDescent="0.25">
      <c r="A157" s="5">
        <v>137</v>
      </c>
      <c r="B157" s="55">
        <f t="shared" si="19"/>
        <v>237726</v>
      </c>
      <c r="C157" s="55">
        <f t="shared" si="20"/>
        <v>1254</v>
      </c>
      <c r="D157" s="55">
        <f t="shared" si="21"/>
        <v>9761524</v>
      </c>
      <c r="E157" s="9">
        <f t="shared" si="22"/>
        <v>138</v>
      </c>
      <c r="F157" s="53">
        <f t="shared" si="17"/>
        <v>2739726</v>
      </c>
      <c r="G157" s="53">
        <f t="shared" si="16"/>
        <v>7260274</v>
      </c>
      <c r="H157" s="9">
        <f t="shared" si="18"/>
        <v>798630</v>
      </c>
    </row>
    <row r="158" spans="1:8" x14ac:dyDescent="0.25">
      <c r="A158" s="5">
        <v>138</v>
      </c>
      <c r="B158" s="55">
        <f t="shared" si="19"/>
        <v>237715</v>
      </c>
      <c r="C158" s="55">
        <f t="shared" si="20"/>
        <v>1139</v>
      </c>
      <c r="D158" s="55">
        <f t="shared" si="21"/>
        <v>9761649</v>
      </c>
      <c r="E158" s="9">
        <f t="shared" si="22"/>
        <v>125</v>
      </c>
      <c r="F158" s="53">
        <f t="shared" si="17"/>
        <v>2739726</v>
      </c>
      <c r="G158" s="53">
        <f t="shared" si="16"/>
        <v>7260274</v>
      </c>
      <c r="H158" s="9">
        <f t="shared" si="18"/>
        <v>798630</v>
      </c>
    </row>
    <row r="159" spans="1:8" x14ac:dyDescent="0.25">
      <c r="A159" s="5">
        <v>139</v>
      </c>
      <c r="B159" s="55">
        <f t="shared" si="19"/>
        <v>237705</v>
      </c>
      <c r="C159" s="55">
        <f t="shared" si="20"/>
        <v>1035</v>
      </c>
      <c r="D159" s="55">
        <f t="shared" si="21"/>
        <v>9761763</v>
      </c>
      <c r="E159" s="9">
        <f t="shared" si="22"/>
        <v>114</v>
      </c>
      <c r="F159" s="53">
        <f t="shared" si="17"/>
        <v>2739726</v>
      </c>
      <c r="G159" s="53">
        <f t="shared" si="16"/>
        <v>7260274</v>
      </c>
      <c r="H159" s="9">
        <f t="shared" si="18"/>
        <v>798630</v>
      </c>
    </row>
    <row r="160" spans="1:8" x14ac:dyDescent="0.25">
      <c r="A160" s="5">
        <v>140</v>
      </c>
      <c r="B160" s="55">
        <f t="shared" si="19"/>
        <v>237696</v>
      </c>
      <c r="C160" s="55">
        <f t="shared" si="20"/>
        <v>940</v>
      </c>
      <c r="D160" s="55">
        <f t="shared" si="21"/>
        <v>9761867</v>
      </c>
      <c r="E160" s="9">
        <f t="shared" si="22"/>
        <v>103</v>
      </c>
      <c r="F160" s="53">
        <f t="shared" si="17"/>
        <v>2739726</v>
      </c>
      <c r="G160" s="53">
        <f t="shared" si="16"/>
        <v>7260274</v>
      </c>
      <c r="H160" s="9">
        <f t="shared" si="18"/>
        <v>798630</v>
      </c>
    </row>
    <row r="161" spans="1:8" x14ac:dyDescent="0.25">
      <c r="A161" s="5">
        <v>141</v>
      </c>
      <c r="B161" s="55">
        <f t="shared" si="19"/>
        <v>237688</v>
      </c>
      <c r="C161" s="55">
        <f t="shared" si="20"/>
        <v>854</v>
      </c>
      <c r="D161" s="55">
        <f t="shared" si="21"/>
        <v>9761961</v>
      </c>
      <c r="E161" s="9">
        <f t="shared" si="22"/>
        <v>94</v>
      </c>
      <c r="F161" s="53">
        <f t="shared" si="17"/>
        <v>2739726</v>
      </c>
      <c r="G161" s="53">
        <f t="shared" si="16"/>
        <v>7260274</v>
      </c>
      <c r="H161" s="9">
        <f t="shared" si="18"/>
        <v>798630</v>
      </c>
    </row>
    <row r="162" spans="1:8" x14ac:dyDescent="0.25">
      <c r="A162" s="5">
        <v>142</v>
      </c>
      <c r="B162" s="55">
        <f t="shared" si="19"/>
        <v>237681</v>
      </c>
      <c r="C162" s="55">
        <f t="shared" si="20"/>
        <v>776</v>
      </c>
      <c r="D162" s="55">
        <f t="shared" si="21"/>
        <v>9762046</v>
      </c>
      <c r="E162" s="9">
        <f t="shared" si="22"/>
        <v>85</v>
      </c>
      <c r="F162" s="53">
        <f t="shared" si="17"/>
        <v>2739726</v>
      </c>
      <c r="G162" s="53">
        <f t="shared" si="16"/>
        <v>7260274</v>
      </c>
      <c r="H162" s="9">
        <f t="shared" si="18"/>
        <v>798630</v>
      </c>
    </row>
    <row r="163" spans="1:8" x14ac:dyDescent="0.25">
      <c r="A163" s="5">
        <v>143</v>
      </c>
      <c r="B163" s="55">
        <f t="shared" si="19"/>
        <v>237674</v>
      </c>
      <c r="C163" s="55">
        <f t="shared" si="20"/>
        <v>705</v>
      </c>
      <c r="D163" s="55">
        <f t="shared" si="21"/>
        <v>9762124</v>
      </c>
      <c r="E163" s="9">
        <f t="shared" si="22"/>
        <v>78</v>
      </c>
      <c r="F163" s="53">
        <f t="shared" si="17"/>
        <v>2739726</v>
      </c>
      <c r="G163" s="53">
        <f t="shared" si="16"/>
        <v>7260274</v>
      </c>
      <c r="H163" s="9">
        <f t="shared" si="18"/>
        <v>798630</v>
      </c>
    </row>
    <row r="164" spans="1:8" x14ac:dyDescent="0.25">
      <c r="A164" s="5">
        <v>144</v>
      </c>
      <c r="B164" s="55">
        <f t="shared" si="19"/>
        <v>237668</v>
      </c>
      <c r="C164" s="55">
        <f t="shared" si="20"/>
        <v>641</v>
      </c>
      <c r="D164" s="55">
        <f t="shared" si="21"/>
        <v>9762195</v>
      </c>
      <c r="E164" s="9">
        <f t="shared" si="22"/>
        <v>71</v>
      </c>
      <c r="F164" s="53">
        <f t="shared" si="17"/>
        <v>2739726</v>
      </c>
      <c r="G164" s="53">
        <f t="shared" si="16"/>
        <v>7260274</v>
      </c>
      <c r="H164" s="9">
        <f t="shared" si="18"/>
        <v>798630</v>
      </c>
    </row>
    <row r="165" spans="1:8" x14ac:dyDescent="0.25">
      <c r="A165" s="5">
        <v>145</v>
      </c>
      <c r="B165" s="55">
        <f t="shared" si="19"/>
        <v>237662</v>
      </c>
      <c r="C165" s="55">
        <f t="shared" si="20"/>
        <v>582</v>
      </c>
      <c r="D165" s="55">
        <f t="shared" si="21"/>
        <v>9762259</v>
      </c>
      <c r="E165" s="9">
        <f t="shared" si="22"/>
        <v>64</v>
      </c>
      <c r="F165" s="53">
        <f t="shared" si="17"/>
        <v>2739726</v>
      </c>
      <c r="G165" s="53">
        <f t="shared" si="16"/>
        <v>7260274</v>
      </c>
      <c r="H165" s="9">
        <f t="shared" si="18"/>
        <v>798630</v>
      </c>
    </row>
    <row r="166" spans="1:8" x14ac:dyDescent="0.25">
      <c r="A166" s="5">
        <v>146</v>
      </c>
      <c r="B166" s="55">
        <f t="shared" si="19"/>
        <v>237657</v>
      </c>
      <c r="C166" s="55">
        <f t="shared" si="20"/>
        <v>529</v>
      </c>
      <c r="D166" s="55">
        <f t="shared" si="21"/>
        <v>9762317</v>
      </c>
      <c r="E166" s="9">
        <f t="shared" si="22"/>
        <v>58</v>
      </c>
      <c r="F166" s="53">
        <f t="shared" si="17"/>
        <v>2739726</v>
      </c>
      <c r="G166" s="53">
        <f t="shared" si="16"/>
        <v>7260274</v>
      </c>
      <c r="H166" s="9">
        <f t="shared" si="18"/>
        <v>798630</v>
      </c>
    </row>
    <row r="167" spans="1:8" x14ac:dyDescent="0.25">
      <c r="A167" s="5">
        <v>147</v>
      </c>
      <c r="B167" s="55">
        <f t="shared" si="19"/>
        <v>237652</v>
      </c>
      <c r="C167" s="55">
        <f t="shared" si="20"/>
        <v>481</v>
      </c>
      <c r="D167" s="55">
        <f t="shared" si="21"/>
        <v>9762370</v>
      </c>
      <c r="E167" s="9">
        <f t="shared" si="22"/>
        <v>53</v>
      </c>
      <c r="F167" s="53">
        <f t="shared" si="17"/>
        <v>2739726</v>
      </c>
      <c r="G167" s="53">
        <f t="shared" si="16"/>
        <v>7260274</v>
      </c>
      <c r="H167" s="9">
        <f t="shared" si="18"/>
        <v>798630</v>
      </c>
    </row>
    <row r="168" spans="1:8" x14ac:dyDescent="0.25">
      <c r="A168" s="5">
        <v>148</v>
      </c>
      <c r="B168" s="55">
        <f t="shared" si="19"/>
        <v>237648</v>
      </c>
      <c r="C168" s="55">
        <f t="shared" si="20"/>
        <v>437</v>
      </c>
      <c r="D168" s="55">
        <f t="shared" si="21"/>
        <v>9762418</v>
      </c>
      <c r="E168" s="9">
        <f t="shared" si="22"/>
        <v>48</v>
      </c>
      <c r="F168" s="53">
        <f t="shared" si="17"/>
        <v>2739726</v>
      </c>
      <c r="G168" s="53">
        <f t="shared" si="16"/>
        <v>7260274</v>
      </c>
      <c r="H168" s="9">
        <f t="shared" si="18"/>
        <v>798630</v>
      </c>
    </row>
    <row r="169" spans="1:8" x14ac:dyDescent="0.25">
      <c r="A169" s="5">
        <v>149</v>
      </c>
      <c r="B169" s="55">
        <f t="shared" si="19"/>
        <v>237644</v>
      </c>
      <c r="C169" s="55">
        <f t="shared" si="20"/>
        <v>397</v>
      </c>
      <c r="D169" s="55">
        <f t="shared" si="21"/>
        <v>9762462</v>
      </c>
      <c r="E169" s="9">
        <f t="shared" si="22"/>
        <v>44</v>
      </c>
      <c r="F169" s="53">
        <f t="shared" si="17"/>
        <v>2739726</v>
      </c>
      <c r="G169" s="53">
        <f t="shared" si="16"/>
        <v>7260274</v>
      </c>
      <c r="H169" s="9">
        <f t="shared" si="18"/>
        <v>798630</v>
      </c>
    </row>
    <row r="170" spans="1:8" x14ac:dyDescent="0.25">
      <c r="A170" s="5">
        <v>150</v>
      </c>
      <c r="B170" s="55">
        <f t="shared" si="19"/>
        <v>237641</v>
      </c>
      <c r="C170" s="55">
        <f t="shared" si="20"/>
        <v>361</v>
      </c>
      <c r="D170" s="55">
        <f t="shared" si="21"/>
        <v>9762502</v>
      </c>
      <c r="E170" s="9">
        <f t="shared" si="22"/>
        <v>40</v>
      </c>
      <c r="F170" s="53">
        <f t="shared" si="17"/>
        <v>2739726</v>
      </c>
      <c r="G170" s="53">
        <f t="shared" si="16"/>
        <v>7260274</v>
      </c>
      <c r="H170" s="9">
        <f t="shared" si="18"/>
        <v>798630</v>
      </c>
    </row>
    <row r="171" spans="1:8" x14ac:dyDescent="0.25">
      <c r="A171" s="5">
        <v>151</v>
      </c>
      <c r="B171" s="55">
        <f t="shared" si="19"/>
        <v>237638</v>
      </c>
      <c r="C171" s="55">
        <f t="shared" si="20"/>
        <v>328</v>
      </c>
      <c r="D171" s="55">
        <f t="shared" si="21"/>
        <v>9762538</v>
      </c>
      <c r="E171" s="9">
        <f t="shared" si="22"/>
        <v>36</v>
      </c>
      <c r="F171" s="53">
        <f t="shared" si="17"/>
        <v>2739726</v>
      </c>
      <c r="G171" s="53">
        <f t="shared" si="16"/>
        <v>7260274</v>
      </c>
      <c r="H171" s="9">
        <f t="shared" si="18"/>
        <v>798630</v>
      </c>
    </row>
    <row r="172" spans="1:8" x14ac:dyDescent="0.25">
      <c r="A172" s="5">
        <v>152</v>
      </c>
      <c r="B172" s="55">
        <f t="shared" si="19"/>
        <v>237635</v>
      </c>
      <c r="C172" s="55">
        <f t="shared" si="20"/>
        <v>298</v>
      </c>
      <c r="D172" s="55">
        <f t="shared" si="21"/>
        <v>9762571</v>
      </c>
      <c r="E172" s="9">
        <f t="shared" si="22"/>
        <v>33</v>
      </c>
      <c r="F172" s="53">
        <f t="shared" si="17"/>
        <v>2739726</v>
      </c>
      <c r="G172" s="53">
        <f t="shared" si="16"/>
        <v>7260274</v>
      </c>
      <c r="H172" s="9">
        <f t="shared" si="18"/>
        <v>798630</v>
      </c>
    </row>
    <row r="173" spans="1:8" x14ac:dyDescent="0.25">
      <c r="A173" s="5">
        <v>153</v>
      </c>
      <c r="B173" s="55">
        <f t="shared" si="19"/>
        <v>237632</v>
      </c>
      <c r="C173" s="55">
        <f t="shared" si="20"/>
        <v>271</v>
      </c>
      <c r="D173" s="55">
        <f t="shared" si="21"/>
        <v>9762601</v>
      </c>
      <c r="E173" s="9">
        <f t="shared" si="22"/>
        <v>30</v>
      </c>
      <c r="F173" s="53">
        <f t="shared" si="17"/>
        <v>2739726</v>
      </c>
      <c r="G173" s="53">
        <f t="shared" si="16"/>
        <v>7260274</v>
      </c>
      <c r="H173" s="9">
        <f t="shared" si="18"/>
        <v>798630</v>
      </c>
    </row>
    <row r="174" spans="1:8" x14ac:dyDescent="0.25">
      <c r="A174" s="5">
        <v>154</v>
      </c>
      <c r="B174" s="55">
        <f t="shared" si="19"/>
        <v>237630</v>
      </c>
      <c r="C174" s="55">
        <f t="shared" si="20"/>
        <v>246</v>
      </c>
      <c r="D174" s="55">
        <f t="shared" si="21"/>
        <v>9762628</v>
      </c>
      <c r="E174" s="9">
        <f t="shared" si="22"/>
        <v>27</v>
      </c>
      <c r="F174" s="53">
        <f t="shared" si="17"/>
        <v>2739726</v>
      </c>
      <c r="G174" s="53">
        <f t="shared" si="16"/>
        <v>7260274</v>
      </c>
      <c r="H174" s="9">
        <f t="shared" si="18"/>
        <v>798630</v>
      </c>
    </row>
    <row r="175" spans="1:8" x14ac:dyDescent="0.25">
      <c r="A175" s="5">
        <v>155</v>
      </c>
      <c r="B175" s="55">
        <f t="shared" si="19"/>
        <v>237628</v>
      </c>
      <c r="C175" s="55">
        <f t="shared" si="20"/>
        <v>224</v>
      </c>
      <c r="D175" s="55">
        <f t="shared" si="21"/>
        <v>9762653</v>
      </c>
      <c r="E175" s="9">
        <f t="shared" si="22"/>
        <v>25</v>
      </c>
      <c r="F175" s="53">
        <f t="shared" si="17"/>
        <v>2739726</v>
      </c>
      <c r="G175" s="53">
        <f t="shared" si="16"/>
        <v>7260274</v>
      </c>
      <c r="H175" s="9">
        <f t="shared" si="18"/>
        <v>798630</v>
      </c>
    </row>
    <row r="176" spans="1:8" x14ac:dyDescent="0.25">
      <c r="A176" s="5">
        <v>156</v>
      </c>
      <c r="B176" s="55">
        <f t="shared" si="19"/>
        <v>237626</v>
      </c>
      <c r="C176" s="55">
        <f t="shared" si="20"/>
        <v>204</v>
      </c>
      <c r="D176" s="55">
        <f t="shared" si="21"/>
        <v>9762675</v>
      </c>
      <c r="E176" s="9">
        <f t="shared" si="22"/>
        <v>22</v>
      </c>
      <c r="F176" s="53">
        <f t="shared" si="17"/>
        <v>2739726</v>
      </c>
      <c r="G176" s="53">
        <f t="shared" si="16"/>
        <v>7260274</v>
      </c>
      <c r="H176" s="9">
        <f t="shared" si="18"/>
        <v>798630</v>
      </c>
    </row>
    <row r="177" spans="1:8" x14ac:dyDescent="0.25">
      <c r="A177" s="5">
        <v>157</v>
      </c>
      <c r="B177" s="55">
        <f t="shared" si="19"/>
        <v>237624</v>
      </c>
      <c r="C177" s="55">
        <f t="shared" si="20"/>
        <v>185</v>
      </c>
      <c r="D177" s="55">
        <f t="shared" si="21"/>
        <v>9762695</v>
      </c>
      <c r="E177" s="9">
        <f t="shared" si="22"/>
        <v>20</v>
      </c>
      <c r="F177" s="53">
        <f t="shared" si="17"/>
        <v>2739726</v>
      </c>
      <c r="G177" s="53">
        <f t="shared" si="16"/>
        <v>7260274</v>
      </c>
      <c r="H177" s="9">
        <f t="shared" si="18"/>
        <v>798630</v>
      </c>
    </row>
    <row r="178" spans="1:8" x14ac:dyDescent="0.25">
      <c r="A178" s="5">
        <v>158</v>
      </c>
      <c r="B178" s="55">
        <f t="shared" si="19"/>
        <v>237622</v>
      </c>
      <c r="C178" s="55">
        <f t="shared" si="20"/>
        <v>168</v>
      </c>
      <c r="D178" s="55">
        <f t="shared" si="21"/>
        <v>9762714</v>
      </c>
      <c r="E178" s="9">
        <f t="shared" si="22"/>
        <v>18</v>
      </c>
      <c r="F178" s="53">
        <f t="shared" si="17"/>
        <v>2739726</v>
      </c>
      <c r="G178" s="53">
        <f t="shared" si="16"/>
        <v>7260274</v>
      </c>
      <c r="H178" s="9">
        <f t="shared" si="18"/>
        <v>798630</v>
      </c>
    </row>
    <row r="179" spans="1:8" x14ac:dyDescent="0.25">
      <c r="A179" s="5">
        <v>159</v>
      </c>
      <c r="B179" s="55">
        <f t="shared" si="19"/>
        <v>237621</v>
      </c>
      <c r="C179" s="55">
        <f t="shared" si="20"/>
        <v>153</v>
      </c>
      <c r="D179" s="55">
        <f t="shared" si="21"/>
        <v>9762731</v>
      </c>
      <c r="E179" s="9">
        <f t="shared" si="22"/>
        <v>17</v>
      </c>
      <c r="F179" s="53">
        <f t="shared" si="17"/>
        <v>2739726</v>
      </c>
      <c r="G179" s="53">
        <f t="shared" si="16"/>
        <v>7260274</v>
      </c>
      <c r="H179" s="9">
        <f t="shared" si="18"/>
        <v>798630</v>
      </c>
    </row>
    <row r="180" spans="1:8" x14ac:dyDescent="0.25">
      <c r="A180" s="5">
        <v>160</v>
      </c>
      <c r="B180" s="55">
        <f t="shared" si="19"/>
        <v>237620</v>
      </c>
      <c r="C180" s="55">
        <f t="shared" si="20"/>
        <v>139</v>
      </c>
      <c r="D180" s="55">
        <f t="shared" si="21"/>
        <v>9762746</v>
      </c>
      <c r="E180" s="9">
        <f t="shared" si="22"/>
        <v>15</v>
      </c>
      <c r="F180" s="53">
        <f t="shared" si="17"/>
        <v>2739726</v>
      </c>
      <c r="G180" s="53">
        <f t="shared" si="16"/>
        <v>7260274</v>
      </c>
      <c r="H180" s="9">
        <f t="shared" si="18"/>
        <v>798630</v>
      </c>
    </row>
    <row r="181" spans="1:8" x14ac:dyDescent="0.25">
      <c r="A181" s="5">
        <v>161</v>
      </c>
      <c r="B181" s="55">
        <f t="shared" si="19"/>
        <v>237619</v>
      </c>
      <c r="C181" s="55">
        <f t="shared" si="20"/>
        <v>126</v>
      </c>
      <c r="D181" s="55">
        <f t="shared" si="21"/>
        <v>9762760</v>
      </c>
      <c r="E181" s="9">
        <f t="shared" si="22"/>
        <v>14</v>
      </c>
      <c r="F181" s="53">
        <f t="shared" si="17"/>
        <v>2739726</v>
      </c>
      <c r="G181" s="53">
        <f t="shared" ref="G181:G204" si="23">ROUND($B$17/(1+($B$18*EXP(-1*$B$16*(A181-$A$21)))),0)</f>
        <v>7260274</v>
      </c>
      <c r="H181" s="9">
        <f t="shared" si="18"/>
        <v>798630</v>
      </c>
    </row>
    <row r="182" spans="1:8" x14ac:dyDescent="0.25">
      <c r="A182" s="5">
        <v>162</v>
      </c>
      <c r="B182" s="55">
        <f t="shared" si="19"/>
        <v>237618</v>
      </c>
      <c r="C182" s="55">
        <f t="shared" si="20"/>
        <v>114</v>
      </c>
      <c r="D182" s="55">
        <f t="shared" si="21"/>
        <v>9762773</v>
      </c>
      <c r="E182" s="9">
        <f t="shared" si="22"/>
        <v>13</v>
      </c>
      <c r="F182" s="53">
        <f t="shared" si="17"/>
        <v>2739726</v>
      </c>
      <c r="G182" s="53">
        <f t="shared" si="23"/>
        <v>7260274</v>
      </c>
      <c r="H182" s="9">
        <f t="shared" si="18"/>
        <v>798630</v>
      </c>
    </row>
    <row r="183" spans="1:8" x14ac:dyDescent="0.25">
      <c r="A183" s="5">
        <v>163</v>
      </c>
      <c r="B183" s="55">
        <f t="shared" si="19"/>
        <v>237617</v>
      </c>
      <c r="C183" s="55">
        <f t="shared" si="20"/>
        <v>104</v>
      </c>
      <c r="D183" s="55">
        <f t="shared" si="21"/>
        <v>9762784</v>
      </c>
      <c r="E183" s="9">
        <f t="shared" si="22"/>
        <v>11</v>
      </c>
      <c r="F183" s="53">
        <f t="shared" si="17"/>
        <v>2739726</v>
      </c>
      <c r="G183" s="53">
        <f t="shared" si="23"/>
        <v>7260274</v>
      </c>
      <c r="H183" s="9">
        <f t="shared" si="18"/>
        <v>798630</v>
      </c>
    </row>
    <row r="184" spans="1:8" x14ac:dyDescent="0.25">
      <c r="A184" s="5">
        <v>164</v>
      </c>
      <c r="B184" s="55">
        <f t="shared" si="19"/>
        <v>237616</v>
      </c>
      <c r="C184" s="55">
        <f t="shared" si="20"/>
        <v>95</v>
      </c>
      <c r="D184" s="55">
        <f t="shared" si="21"/>
        <v>9762794</v>
      </c>
      <c r="E184" s="9">
        <f t="shared" si="22"/>
        <v>10</v>
      </c>
      <c r="F184" s="53">
        <f t="shared" si="17"/>
        <v>2739726</v>
      </c>
      <c r="G184" s="53">
        <f t="shared" si="23"/>
        <v>7260274</v>
      </c>
      <c r="H184" s="9">
        <f t="shared" si="18"/>
        <v>798630</v>
      </c>
    </row>
    <row r="185" spans="1:8" x14ac:dyDescent="0.25">
      <c r="A185" s="5">
        <v>165</v>
      </c>
      <c r="B185" s="55">
        <f t="shared" si="19"/>
        <v>237615</v>
      </c>
      <c r="C185" s="55">
        <f t="shared" si="20"/>
        <v>86</v>
      </c>
      <c r="D185" s="55">
        <f t="shared" si="21"/>
        <v>9762804</v>
      </c>
      <c r="E185" s="9">
        <f t="shared" si="22"/>
        <v>9</v>
      </c>
      <c r="F185" s="53">
        <f t="shared" si="17"/>
        <v>2739726</v>
      </c>
      <c r="G185" s="53">
        <f t="shared" si="23"/>
        <v>7260274</v>
      </c>
      <c r="H185" s="9">
        <f t="shared" si="18"/>
        <v>798630</v>
      </c>
    </row>
    <row r="186" spans="1:8" x14ac:dyDescent="0.25">
      <c r="A186" s="5">
        <v>166</v>
      </c>
      <c r="B186" s="55">
        <f t="shared" si="19"/>
        <v>237614</v>
      </c>
      <c r="C186" s="55">
        <f t="shared" si="20"/>
        <v>78</v>
      </c>
      <c r="D186" s="55">
        <f t="shared" si="21"/>
        <v>9762813</v>
      </c>
      <c r="E186" s="9">
        <f t="shared" si="22"/>
        <v>9</v>
      </c>
      <c r="F186" s="53">
        <f t="shared" si="17"/>
        <v>2739726</v>
      </c>
      <c r="G186" s="53">
        <f t="shared" si="23"/>
        <v>7260274</v>
      </c>
      <c r="H186" s="9">
        <f t="shared" si="18"/>
        <v>798630</v>
      </c>
    </row>
    <row r="187" spans="1:8" x14ac:dyDescent="0.25">
      <c r="A187" s="5">
        <v>167</v>
      </c>
      <c r="B187" s="55">
        <f t="shared" si="19"/>
        <v>237613</v>
      </c>
      <c r="C187" s="55">
        <f t="shared" si="20"/>
        <v>71</v>
      </c>
      <c r="D187" s="55">
        <f t="shared" si="21"/>
        <v>9762821</v>
      </c>
      <c r="E187" s="9">
        <f t="shared" si="22"/>
        <v>8</v>
      </c>
      <c r="F187" s="53">
        <f t="shared" si="17"/>
        <v>2739726</v>
      </c>
      <c r="G187" s="53">
        <f t="shared" si="23"/>
        <v>7260274</v>
      </c>
      <c r="H187" s="9">
        <f t="shared" si="18"/>
        <v>798630</v>
      </c>
    </row>
    <row r="188" spans="1:8" x14ac:dyDescent="0.25">
      <c r="A188" s="5">
        <v>168</v>
      </c>
      <c r="B188" s="55">
        <f t="shared" si="19"/>
        <v>237612</v>
      </c>
      <c r="C188" s="55">
        <f t="shared" si="20"/>
        <v>65</v>
      </c>
      <c r="D188" s="55">
        <f t="shared" si="21"/>
        <v>9762828</v>
      </c>
      <c r="E188" s="9">
        <f t="shared" si="22"/>
        <v>7</v>
      </c>
      <c r="F188" s="53">
        <f t="shared" si="17"/>
        <v>2739726</v>
      </c>
      <c r="G188" s="53">
        <f t="shared" si="23"/>
        <v>7260274</v>
      </c>
      <c r="H188" s="9">
        <f t="shared" si="18"/>
        <v>798630</v>
      </c>
    </row>
    <row r="189" spans="1:8" x14ac:dyDescent="0.25">
      <c r="A189" s="5">
        <v>169</v>
      </c>
      <c r="B189" s="55">
        <f t="shared" si="19"/>
        <v>237611</v>
      </c>
      <c r="C189" s="55">
        <f t="shared" si="20"/>
        <v>59</v>
      </c>
      <c r="D189" s="55">
        <f t="shared" si="21"/>
        <v>9762835</v>
      </c>
      <c r="E189" s="9">
        <f t="shared" si="22"/>
        <v>6</v>
      </c>
      <c r="F189" s="53">
        <f t="shared" si="17"/>
        <v>2739726</v>
      </c>
      <c r="G189" s="53">
        <f t="shared" si="23"/>
        <v>7260274</v>
      </c>
      <c r="H189" s="9">
        <f t="shared" si="18"/>
        <v>798630</v>
      </c>
    </row>
    <row r="190" spans="1:8" x14ac:dyDescent="0.25">
      <c r="A190" s="5">
        <v>170</v>
      </c>
      <c r="B190" s="55">
        <f t="shared" si="19"/>
        <v>237610</v>
      </c>
      <c r="C190" s="55">
        <f t="shared" si="20"/>
        <v>54</v>
      </c>
      <c r="D190" s="55">
        <f t="shared" si="21"/>
        <v>9762841</v>
      </c>
      <c r="E190" s="9">
        <f t="shared" si="22"/>
        <v>6</v>
      </c>
      <c r="F190" s="53">
        <f t="shared" si="17"/>
        <v>2739726</v>
      </c>
      <c r="G190" s="53">
        <f t="shared" si="23"/>
        <v>7260274</v>
      </c>
      <c r="H190" s="9">
        <f t="shared" si="18"/>
        <v>798630</v>
      </c>
    </row>
    <row r="191" spans="1:8" x14ac:dyDescent="0.25">
      <c r="A191" s="5">
        <v>171</v>
      </c>
      <c r="B191" s="55">
        <f t="shared" si="19"/>
        <v>237610</v>
      </c>
      <c r="C191" s="55">
        <f t="shared" si="20"/>
        <v>49</v>
      </c>
      <c r="D191" s="55">
        <f t="shared" si="21"/>
        <v>9762846</v>
      </c>
      <c r="E191" s="9">
        <f t="shared" si="22"/>
        <v>5</v>
      </c>
      <c r="F191" s="53">
        <f t="shared" si="17"/>
        <v>2739726</v>
      </c>
      <c r="G191" s="53">
        <f t="shared" si="23"/>
        <v>7260274</v>
      </c>
      <c r="H191" s="9">
        <f t="shared" si="18"/>
        <v>798630</v>
      </c>
    </row>
    <row r="192" spans="1:8" x14ac:dyDescent="0.25">
      <c r="A192" s="5">
        <v>172</v>
      </c>
      <c r="B192" s="55">
        <f t="shared" si="19"/>
        <v>237610</v>
      </c>
      <c r="C192" s="55">
        <f t="shared" si="20"/>
        <v>45</v>
      </c>
      <c r="D192" s="55">
        <f t="shared" si="21"/>
        <v>9762851</v>
      </c>
      <c r="E192" s="9">
        <f t="shared" si="22"/>
        <v>5</v>
      </c>
      <c r="F192" s="53">
        <f t="shared" si="17"/>
        <v>2739726</v>
      </c>
      <c r="G192" s="53">
        <f t="shared" si="23"/>
        <v>7260274</v>
      </c>
      <c r="H192" s="9">
        <f t="shared" si="18"/>
        <v>798630</v>
      </c>
    </row>
    <row r="193" spans="1:8" x14ac:dyDescent="0.25">
      <c r="A193" s="5">
        <v>173</v>
      </c>
      <c r="B193" s="55">
        <f t="shared" si="19"/>
        <v>237610</v>
      </c>
      <c r="C193" s="55">
        <f t="shared" si="20"/>
        <v>41</v>
      </c>
      <c r="D193" s="55">
        <f t="shared" si="21"/>
        <v>9762856</v>
      </c>
      <c r="E193" s="9">
        <f t="shared" si="22"/>
        <v>5</v>
      </c>
      <c r="F193" s="53">
        <f t="shared" si="17"/>
        <v>2739726</v>
      </c>
      <c r="G193" s="53">
        <f t="shared" si="23"/>
        <v>7260274</v>
      </c>
      <c r="H193" s="9">
        <f t="shared" si="18"/>
        <v>798630</v>
      </c>
    </row>
    <row r="194" spans="1:8" x14ac:dyDescent="0.25">
      <c r="A194" s="5">
        <v>174</v>
      </c>
      <c r="B194" s="55">
        <f t="shared" si="19"/>
        <v>237610</v>
      </c>
      <c r="C194" s="55">
        <f t="shared" si="20"/>
        <v>37</v>
      </c>
      <c r="D194" s="55">
        <f t="shared" si="21"/>
        <v>9762860</v>
      </c>
      <c r="E194" s="9">
        <f t="shared" si="22"/>
        <v>4</v>
      </c>
      <c r="F194" s="53">
        <f t="shared" si="17"/>
        <v>2739726</v>
      </c>
      <c r="G194" s="53">
        <f t="shared" si="23"/>
        <v>7260274</v>
      </c>
      <c r="H194" s="9">
        <f t="shared" si="18"/>
        <v>798630</v>
      </c>
    </row>
    <row r="195" spans="1:8" x14ac:dyDescent="0.25">
      <c r="A195" s="5">
        <v>175</v>
      </c>
      <c r="B195" s="55">
        <f t="shared" si="19"/>
        <v>237610</v>
      </c>
      <c r="C195" s="55">
        <f t="shared" si="20"/>
        <v>34</v>
      </c>
      <c r="D195" s="55">
        <f t="shared" si="21"/>
        <v>9762864</v>
      </c>
      <c r="E195" s="9">
        <f t="shared" si="22"/>
        <v>4</v>
      </c>
      <c r="F195" s="53">
        <f t="shared" si="17"/>
        <v>2739726</v>
      </c>
      <c r="G195" s="53">
        <f t="shared" si="23"/>
        <v>7260274</v>
      </c>
      <c r="H195" s="9">
        <f t="shared" si="18"/>
        <v>798630</v>
      </c>
    </row>
    <row r="196" spans="1:8" x14ac:dyDescent="0.25">
      <c r="A196" s="5">
        <v>176</v>
      </c>
      <c r="B196" s="55">
        <f t="shared" si="19"/>
        <v>237610</v>
      </c>
      <c r="C196" s="55">
        <f t="shared" si="20"/>
        <v>31</v>
      </c>
      <c r="D196" s="55">
        <f t="shared" si="21"/>
        <v>9762867</v>
      </c>
      <c r="E196" s="9">
        <f t="shared" si="22"/>
        <v>3</v>
      </c>
      <c r="F196" s="53">
        <f t="shared" si="17"/>
        <v>2739726</v>
      </c>
      <c r="G196" s="53">
        <f t="shared" si="23"/>
        <v>7260274</v>
      </c>
      <c r="H196" s="9">
        <f t="shared" si="18"/>
        <v>798630</v>
      </c>
    </row>
    <row r="197" spans="1:8" x14ac:dyDescent="0.25">
      <c r="A197" s="5">
        <v>177</v>
      </c>
      <c r="B197" s="55">
        <f t="shared" si="19"/>
        <v>237610</v>
      </c>
      <c r="C197" s="55">
        <f t="shared" si="20"/>
        <v>28</v>
      </c>
      <c r="D197" s="55">
        <f t="shared" si="21"/>
        <v>9762870</v>
      </c>
      <c r="E197" s="9">
        <f t="shared" si="22"/>
        <v>3</v>
      </c>
      <c r="F197" s="53">
        <f t="shared" si="17"/>
        <v>2739726</v>
      </c>
      <c r="G197" s="53">
        <f t="shared" si="23"/>
        <v>7260274</v>
      </c>
      <c r="H197" s="9">
        <f t="shared" si="18"/>
        <v>798630</v>
      </c>
    </row>
    <row r="198" spans="1:8" x14ac:dyDescent="0.25">
      <c r="A198" s="5">
        <v>178</v>
      </c>
      <c r="B198" s="55">
        <f t="shared" si="19"/>
        <v>237610</v>
      </c>
      <c r="C198" s="55">
        <f t="shared" si="20"/>
        <v>25</v>
      </c>
      <c r="D198" s="55">
        <f t="shared" si="21"/>
        <v>9762873</v>
      </c>
      <c r="E198" s="9">
        <f t="shared" si="22"/>
        <v>3</v>
      </c>
      <c r="F198" s="53">
        <f t="shared" si="17"/>
        <v>2739726</v>
      </c>
      <c r="G198" s="53">
        <f t="shared" si="23"/>
        <v>7260274</v>
      </c>
      <c r="H198" s="9">
        <f t="shared" si="18"/>
        <v>798630</v>
      </c>
    </row>
    <row r="199" spans="1:8" x14ac:dyDescent="0.25">
      <c r="A199" s="5">
        <v>179</v>
      </c>
      <c r="B199" s="55">
        <f t="shared" si="19"/>
        <v>237610</v>
      </c>
      <c r="C199" s="55">
        <f t="shared" si="20"/>
        <v>23</v>
      </c>
      <c r="D199" s="55">
        <f t="shared" si="21"/>
        <v>9762876</v>
      </c>
      <c r="E199" s="9">
        <f t="shared" si="22"/>
        <v>3</v>
      </c>
      <c r="F199" s="53">
        <f t="shared" si="17"/>
        <v>2739726</v>
      </c>
      <c r="G199" s="53">
        <f t="shared" si="23"/>
        <v>7260274</v>
      </c>
      <c r="H199" s="9">
        <f t="shared" si="18"/>
        <v>798630</v>
      </c>
    </row>
    <row r="200" spans="1:8" x14ac:dyDescent="0.25">
      <c r="A200" s="5">
        <v>180</v>
      </c>
      <c r="B200" s="55">
        <f t="shared" si="19"/>
        <v>237610</v>
      </c>
      <c r="C200" s="55">
        <f t="shared" si="20"/>
        <v>21</v>
      </c>
      <c r="D200" s="55">
        <f t="shared" si="21"/>
        <v>9762878</v>
      </c>
      <c r="E200" s="9">
        <f t="shared" si="22"/>
        <v>2</v>
      </c>
      <c r="F200" s="53">
        <f t="shared" si="17"/>
        <v>2739726</v>
      </c>
      <c r="G200" s="53">
        <f t="shared" si="23"/>
        <v>7260274</v>
      </c>
      <c r="H200" s="9">
        <f t="shared" si="18"/>
        <v>798630</v>
      </c>
    </row>
    <row r="201" spans="1:8" x14ac:dyDescent="0.25">
      <c r="A201" s="5">
        <v>181</v>
      </c>
      <c r="B201" s="55">
        <f t="shared" si="19"/>
        <v>237610</v>
      </c>
      <c r="C201" s="55">
        <f t="shared" si="20"/>
        <v>19</v>
      </c>
      <c r="D201" s="55">
        <f t="shared" si="21"/>
        <v>9762880</v>
      </c>
      <c r="E201" s="9">
        <f t="shared" si="22"/>
        <v>2</v>
      </c>
      <c r="F201" s="53">
        <f t="shared" si="17"/>
        <v>2739726</v>
      </c>
      <c r="G201" s="53">
        <f t="shared" si="23"/>
        <v>7260274</v>
      </c>
      <c r="H201" s="9">
        <f t="shared" si="18"/>
        <v>798630</v>
      </c>
    </row>
    <row r="202" spans="1:8" x14ac:dyDescent="0.25">
      <c r="A202" s="5">
        <v>182</v>
      </c>
      <c r="B202" s="55">
        <f t="shared" si="19"/>
        <v>237610</v>
      </c>
      <c r="C202" s="55">
        <f t="shared" si="20"/>
        <v>17</v>
      </c>
      <c r="D202" s="55">
        <f t="shared" si="21"/>
        <v>9762882</v>
      </c>
      <c r="E202" s="9">
        <f t="shared" si="22"/>
        <v>2</v>
      </c>
      <c r="F202" s="53">
        <f t="shared" si="17"/>
        <v>2739726</v>
      </c>
      <c r="G202" s="53">
        <f t="shared" si="23"/>
        <v>7260274</v>
      </c>
      <c r="H202" s="9">
        <f t="shared" si="18"/>
        <v>798630</v>
      </c>
    </row>
    <row r="203" spans="1:8" x14ac:dyDescent="0.25">
      <c r="A203" s="5">
        <v>183</v>
      </c>
      <c r="B203" s="55">
        <f t="shared" si="19"/>
        <v>237610</v>
      </c>
      <c r="C203" s="55">
        <f t="shared" si="20"/>
        <v>15</v>
      </c>
      <c r="D203" s="55">
        <f t="shared" si="21"/>
        <v>9762884</v>
      </c>
      <c r="E203" s="9">
        <f t="shared" si="22"/>
        <v>2</v>
      </c>
      <c r="F203" s="53">
        <f t="shared" si="17"/>
        <v>2739726</v>
      </c>
      <c r="G203" s="53">
        <f t="shared" si="23"/>
        <v>7260274</v>
      </c>
      <c r="H203" s="9">
        <f t="shared" si="18"/>
        <v>798630</v>
      </c>
    </row>
    <row r="204" spans="1:8" x14ac:dyDescent="0.25">
      <c r="A204" s="5">
        <v>184</v>
      </c>
      <c r="B204" s="55">
        <f t="shared" si="19"/>
        <v>237610</v>
      </c>
      <c r="C204" s="55">
        <f t="shared" si="20"/>
        <v>14</v>
      </c>
      <c r="D204" s="55">
        <f t="shared" si="21"/>
        <v>9762886</v>
      </c>
      <c r="E204" s="9">
        <f t="shared" si="22"/>
        <v>2</v>
      </c>
      <c r="F204" s="53">
        <f t="shared" si="17"/>
        <v>2739726</v>
      </c>
      <c r="G204" s="53">
        <f t="shared" si="23"/>
        <v>7260274</v>
      </c>
      <c r="H204" s="9">
        <f t="shared" si="18"/>
        <v>798630</v>
      </c>
    </row>
    <row r="205" spans="1:8" x14ac:dyDescent="0.25">
      <c r="A205" s="5">
        <v>185</v>
      </c>
      <c r="B205" s="55">
        <f t="shared" ref="B205:B268" si="24" xml:space="preserve"> ROUND(B204 - ((B204 / $B$11)*($B$4*C204)),0)</f>
        <v>237610</v>
      </c>
      <c r="C205" s="55">
        <f t="shared" ref="C205:C268" si="25" xml:space="preserve"> ROUND(C204 + (B204/$B$11)*($B$4*C204)-(C204*$B$5),0)</f>
        <v>13</v>
      </c>
      <c r="D205" s="55">
        <f t="shared" ref="D205:D268" si="26" xml:space="preserve"> ROUND(D204 + (C204 * $B$5),0)</f>
        <v>9762887</v>
      </c>
      <c r="E205" s="9">
        <f t="shared" ref="E205:E268" si="27">ROUND(C205*$B$8,0)</f>
        <v>1</v>
      </c>
      <c r="F205" s="53">
        <f t="shared" ref="F205:F268" si="28">$B$1-G205</f>
        <v>2739726</v>
      </c>
      <c r="G205" s="53">
        <f t="shared" ref="G205:G268" si="29">ROUND($B$17/(1+($B$18*EXP(-1*$B$16*(A205-$A$21)))),0)</f>
        <v>7260274</v>
      </c>
      <c r="H205" s="9">
        <f t="shared" ref="H205:H268" si="30">ROUND(G205*$B$8,0)</f>
        <v>798630</v>
      </c>
    </row>
    <row r="206" spans="1:8" x14ac:dyDescent="0.25">
      <c r="A206" s="5">
        <v>186</v>
      </c>
      <c r="B206" s="55">
        <f t="shared" si="24"/>
        <v>237610</v>
      </c>
      <c r="C206" s="55">
        <f t="shared" si="25"/>
        <v>12</v>
      </c>
      <c r="D206" s="55">
        <f t="shared" si="26"/>
        <v>9762888</v>
      </c>
      <c r="E206" s="9">
        <f t="shared" si="27"/>
        <v>1</v>
      </c>
      <c r="F206" s="53">
        <f t="shared" si="28"/>
        <v>2739726</v>
      </c>
      <c r="G206" s="53">
        <f t="shared" si="29"/>
        <v>7260274</v>
      </c>
      <c r="H206" s="9">
        <f t="shared" si="30"/>
        <v>798630</v>
      </c>
    </row>
    <row r="207" spans="1:8" x14ac:dyDescent="0.25">
      <c r="A207" s="5">
        <v>187</v>
      </c>
      <c r="B207" s="55">
        <f t="shared" si="24"/>
        <v>237610</v>
      </c>
      <c r="C207" s="55">
        <f t="shared" si="25"/>
        <v>11</v>
      </c>
      <c r="D207" s="55">
        <f t="shared" si="26"/>
        <v>9762889</v>
      </c>
      <c r="E207" s="9">
        <f t="shared" si="27"/>
        <v>1</v>
      </c>
      <c r="F207" s="53">
        <f t="shared" si="28"/>
        <v>2739726</v>
      </c>
      <c r="G207" s="53">
        <f t="shared" si="29"/>
        <v>7260274</v>
      </c>
      <c r="H207" s="9">
        <f t="shared" si="30"/>
        <v>798630</v>
      </c>
    </row>
    <row r="208" spans="1:8" x14ac:dyDescent="0.25">
      <c r="A208" s="5">
        <v>188</v>
      </c>
      <c r="B208" s="55">
        <f t="shared" si="24"/>
        <v>237610</v>
      </c>
      <c r="C208" s="55">
        <f t="shared" si="25"/>
        <v>10</v>
      </c>
      <c r="D208" s="55">
        <f t="shared" si="26"/>
        <v>9762890</v>
      </c>
      <c r="E208" s="9">
        <f t="shared" si="27"/>
        <v>1</v>
      </c>
      <c r="F208" s="53">
        <f t="shared" si="28"/>
        <v>2739726</v>
      </c>
      <c r="G208" s="53">
        <f t="shared" si="29"/>
        <v>7260274</v>
      </c>
      <c r="H208" s="9">
        <f t="shared" si="30"/>
        <v>798630</v>
      </c>
    </row>
    <row r="209" spans="1:8" x14ac:dyDescent="0.25">
      <c r="A209" s="5">
        <v>189</v>
      </c>
      <c r="B209" s="55">
        <f t="shared" si="24"/>
        <v>237610</v>
      </c>
      <c r="C209" s="55">
        <f t="shared" si="25"/>
        <v>9</v>
      </c>
      <c r="D209" s="55">
        <f t="shared" si="26"/>
        <v>9762891</v>
      </c>
      <c r="E209" s="9">
        <f t="shared" si="27"/>
        <v>1</v>
      </c>
      <c r="F209" s="53">
        <f t="shared" si="28"/>
        <v>2739726</v>
      </c>
      <c r="G209" s="53">
        <f t="shared" si="29"/>
        <v>7260274</v>
      </c>
      <c r="H209" s="9">
        <f t="shared" si="30"/>
        <v>798630</v>
      </c>
    </row>
    <row r="210" spans="1:8" x14ac:dyDescent="0.25">
      <c r="A210" s="5">
        <v>190</v>
      </c>
      <c r="B210" s="55">
        <f t="shared" si="24"/>
        <v>237610</v>
      </c>
      <c r="C210" s="55">
        <f t="shared" si="25"/>
        <v>8</v>
      </c>
      <c r="D210" s="55">
        <f t="shared" si="26"/>
        <v>9762892</v>
      </c>
      <c r="E210" s="9">
        <f t="shared" si="27"/>
        <v>1</v>
      </c>
      <c r="F210" s="53">
        <f t="shared" si="28"/>
        <v>2739726</v>
      </c>
      <c r="G210" s="53">
        <f t="shared" si="29"/>
        <v>7260274</v>
      </c>
      <c r="H210" s="9">
        <f t="shared" si="30"/>
        <v>798630</v>
      </c>
    </row>
    <row r="211" spans="1:8" x14ac:dyDescent="0.25">
      <c r="A211" s="5">
        <v>191</v>
      </c>
      <c r="B211" s="55">
        <f t="shared" si="24"/>
        <v>237610</v>
      </c>
      <c r="C211" s="55">
        <f t="shared" si="25"/>
        <v>7</v>
      </c>
      <c r="D211" s="55">
        <f t="shared" si="26"/>
        <v>9762893</v>
      </c>
      <c r="E211" s="9">
        <f t="shared" si="27"/>
        <v>1</v>
      </c>
      <c r="F211" s="53">
        <f t="shared" si="28"/>
        <v>2739726</v>
      </c>
      <c r="G211" s="53">
        <f t="shared" si="29"/>
        <v>7260274</v>
      </c>
      <c r="H211" s="9">
        <f t="shared" si="30"/>
        <v>798630</v>
      </c>
    </row>
    <row r="212" spans="1:8" x14ac:dyDescent="0.25">
      <c r="A212" s="5">
        <v>192</v>
      </c>
      <c r="B212" s="55">
        <f t="shared" si="24"/>
        <v>237610</v>
      </c>
      <c r="C212" s="55">
        <f t="shared" si="25"/>
        <v>6</v>
      </c>
      <c r="D212" s="55">
        <f t="shared" si="26"/>
        <v>9762894</v>
      </c>
      <c r="E212" s="9">
        <f t="shared" si="27"/>
        <v>1</v>
      </c>
      <c r="F212" s="53">
        <f t="shared" si="28"/>
        <v>2739726</v>
      </c>
      <c r="G212" s="53">
        <f t="shared" si="29"/>
        <v>7260274</v>
      </c>
      <c r="H212" s="9">
        <f t="shared" si="30"/>
        <v>798630</v>
      </c>
    </row>
    <row r="213" spans="1:8" x14ac:dyDescent="0.25">
      <c r="A213" s="5">
        <v>193</v>
      </c>
      <c r="B213" s="55">
        <f t="shared" si="24"/>
        <v>237610</v>
      </c>
      <c r="C213" s="55">
        <f t="shared" si="25"/>
        <v>5</v>
      </c>
      <c r="D213" s="55">
        <f t="shared" si="26"/>
        <v>9762895</v>
      </c>
      <c r="E213" s="9">
        <f t="shared" si="27"/>
        <v>1</v>
      </c>
      <c r="F213" s="53">
        <f t="shared" si="28"/>
        <v>2739726</v>
      </c>
      <c r="G213" s="53">
        <f t="shared" si="29"/>
        <v>7260274</v>
      </c>
      <c r="H213" s="9">
        <f t="shared" si="30"/>
        <v>798630</v>
      </c>
    </row>
    <row r="214" spans="1:8" x14ac:dyDescent="0.25">
      <c r="A214" s="5">
        <v>194</v>
      </c>
      <c r="B214" s="55">
        <f t="shared" si="24"/>
        <v>237610</v>
      </c>
      <c r="C214" s="55">
        <f t="shared" si="25"/>
        <v>5</v>
      </c>
      <c r="D214" s="55">
        <f t="shared" si="26"/>
        <v>9762896</v>
      </c>
      <c r="E214" s="9">
        <f t="shared" si="27"/>
        <v>1</v>
      </c>
      <c r="F214" s="53">
        <f t="shared" si="28"/>
        <v>2739726</v>
      </c>
      <c r="G214" s="53">
        <f t="shared" si="29"/>
        <v>7260274</v>
      </c>
      <c r="H214" s="9">
        <f t="shared" si="30"/>
        <v>798630</v>
      </c>
    </row>
    <row r="215" spans="1:8" x14ac:dyDescent="0.25">
      <c r="A215" s="5">
        <v>195</v>
      </c>
      <c r="B215" s="55">
        <f t="shared" si="24"/>
        <v>237610</v>
      </c>
      <c r="C215" s="55">
        <f t="shared" si="25"/>
        <v>5</v>
      </c>
      <c r="D215" s="55">
        <f t="shared" si="26"/>
        <v>9762897</v>
      </c>
      <c r="E215" s="9">
        <f t="shared" si="27"/>
        <v>1</v>
      </c>
      <c r="F215" s="53">
        <f t="shared" si="28"/>
        <v>2739726</v>
      </c>
      <c r="G215" s="53">
        <f t="shared" si="29"/>
        <v>7260274</v>
      </c>
      <c r="H215" s="9">
        <f t="shared" si="30"/>
        <v>798630</v>
      </c>
    </row>
    <row r="216" spans="1:8" x14ac:dyDescent="0.25">
      <c r="A216" s="5">
        <v>196</v>
      </c>
      <c r="B216" s="55">
        <f t="shared" si="24"/>
        <v>237610</v>
      </c>
      <c r="C216" s="55">
        <f t="shared" si="25"/>
        <v>5</v>
      </c>
      <c r="D216" s="55">
        <f t="shared" si="26"/>
        <v>9762898</v>
      </c>
      <c r="E216" s="9">
        <f t="shared" si="27"/>
        <v>1</v>
      </c>
      <c r="F216" s="53">
        <f t="shared" si="28"/>
        <v>2739726</v>
      </c>
      <c r="G216" s="53">
        <f t="shared" si="29"/>
        <v>7260274</v>
      </c>
      <c r="H216" s="9">
        <f t="shared" si="30"/>
        <v>798630</v>
      </c>
    </row>
    <row r="217" spans="1:8" x14ac:dyDescent="0.25">
      <c r="A217" s="5">
        <v>197</v>
      </c>
      <c r="B217" s="55">
        <f t="shared" si="24"/>
        <v>237610</v>
      </c>
      <c r="C217" s="55">
        <f t="shared" si="25"/>
        <v>5</v>
      </c>
      <c r="D217" s="55">
        <f t="shared" si="26"/>
        <v>9762899</v>
      </c>
      <c r="E217" s="9">
        <f t="shared" si="27"/>
        <v>1</v>
      </c>
      <c r="F217" s="53">
        <f t="shared" si="28"/>
        <v>2739726</v>
      </c>
      <c r="G217" s="53">
        <f t="shared" si="29"/>
        <v>7260274</v>
      </c>
      <c r="H217" s="9">
        <f t="shared" si="30"/>
        <v>798630</v>
      </c>
    </row>
    <row r="218" spans="1:8" x14ac:dyDescent="0.25">
      <c r="A218" s="5">
        <v>198</v>
      </c>
      <c r="B218" s="55">
        <f t="shared" si="24"/>
        <v>237610</v>
      </c>
      <c r="C218" s="55">
        <f t="shared" si="25"/>
        <v>5</v>
      </c>
      <c r="D218" s="55">
        <f t="shared" si="26"/>
        <v>9762900</v>
      </c>
      <c r="E218" s="9">
        <f t="shared" si="27"/>
        <v>1</v>
      </c>
      <c r="F218" s="53">
        <f t="shared" si="28"/>
        <v>2739726</v>
      </c>
      <c r="G218" s="53">
        <f t="shared" si="29"/>
        <v>7260274</v>
      </c>
      <c r="H218" s="9">
        <f t="shared" si="30"/>
        <v>798630</v>
      </c>
    </row>
    <row r="219" spans="1:8" x14ac:dyDescent="0.25">
      <c r="A219" s="5">
        <v>199</v>
      </c>
      <c r="B219" s="55">
        <f t="shared" si="24"/>
        <v>237610</v>
      </c>
      <c r="C219" s="55">
        <f t="shared" si="25"/>
        <v>5</v>
      </c>
      <c r="D219" s="55">
        <f t="shared" si="26"/>
        <v>9762901</v>
      </c>
      <c r="E219" s="9">
        <f t="shared" si="27"/>
        <v>1</v>
      </c>
      <c r="F219" s="53">
        <f t="shared" si="28"/>
        <v>2739726</v>
      </c>
      <c r="G219" s="53">
        <f t="shared" si="29"/>
        <v>7260274</v>
      </c>
      <c r="H219" s="9">
        <f t="shared" si="30"/>
        <v>798630</v>
      </c>
    </row>
    <row r="220" spans="1:8" x14ac:dyDescent="0.25">
      <c r="A220" s="5">
        <v>200</v>
      </c>
      <c r="B220" s="55">
        <f t="shared" si="24"/>
        <v>237610</v>
      </c>
      <c r="C220" s="55">
        <f t="shared" si="25"/>
        <v>5</v>
      </c>
      <c r="D220" s="55">
        <f t="shared" si="26"/>
        <v>9762902</v>
      </c>
      <c r="E220" s="9">
        <f t="shared" si="27"/>
        <v>1</v>
      </c>
      <c r="F220" s="53">
        <f t="shared" si="28"/>
        <v>2739726</v>
      </c>
      <c r="G220" s="53">
        <f t="shared" si="29"/>
        <v>7260274</v>
      </c>
      <c r="H220" s="9">
        <f t="shared" si="30"/>
        <v>798630</v>
      </c>
    </row>
    <row r="221" spans="1:8" x14ac:dyDescent="0.25">
      <c r="A221" s="5">
        <v>201</v>
      </c>
      <c r="B221" s="55">
        <f t="shared" si="24"/>
        <v>237610</v>
      </c>
      <c r="C221" s="55">
        <f t="shared" si="25"/>
        <v>5</v>
      </c>
      <c r="D221" s="55">
        <f t="shared" si="26"/>
        <v>9762903</v>
      </c>
      <c r="E221" s="9">
        <f t="shared" si="27"/>
        <v>1</v>
      </c>
      <c r="F221" s="53">
        <f t="shared" si="28"/>
        <v>2739726</v>
      </c>
      <c r="G221" s="53">
        <f t="shared" si="29"/>
        <v>7260274</v>
      </c>
      <c r="H221" s="9">
        <f t="shared" si="30"/>
        <v>798630</v>
      </c>
    </row>
    <row r="222" spans="1:8" x14ac:dyDescent="0.25">
      <c r="A222" s="5">
        <v>202</v>
      </c>
      <c r="B222" s="55">
        <f t="shared" si="24"/>
        <v>237610</v>
      </c>
      <c r="C222" s="55">
        <f t="shared" si="25"/>
        <v>5</v>
      </c>
      <c r="D222" s="55">
        <f t="shared" si="26"/>
        <v>9762904</v>
      </c>
      <c r="E222" s="9">
        <f t="shared" si="27"/>
        <v>1</v>
      </c>
      <c r="F222" s="53">
        <f t="shared" si="28"/>
        <v>2739726</v>
      </c>
      <c r="G222" s="53">
        <f t="shared" si="29"/>
        <v>7260274</v>
      </c>
      <c r="H222" s="9">
        <f t="shared" si="30"/>
        <v>798630</v>
      </c>
    </row>
    <row r="223" spans="1:8" x14ac:dyDescent="0.25">
      <c r="A223" s="5">
        <v>203</v>
      </c>
      <c r="B223" s="55">
        <f t="shared" si="24"/>
        <v>237610</v>
      </c>
      <c r="C223" s="55">
        <f t="shared" si="25"/>
        <v>5</v>
      </c>
      <c r="D223" s="55">
        <f t="shared" si="26"/>
        <v>9762905</v>
      </c>
      <c r="E223" s="9">
        <f t="shared" si="27"/>
        <v>1</v>
      </c>
      <c r="F223" s="53">
        <f t="shared" si="28"/>
        <v>2739726</v>
      </c>
      <c r="G223" s="53">
        <f t="shared" si="29"/>
        <v>7260274</v>
      </c>
      <c r="H223" s="9">
        <f t="shared" si="30"/>
        <v>798630</v>
      </c>
    </row>
    <row r="224" spans="1:8" x14ac:dyDescent="0.25">
      <c r="A224" s="5">
        <v>204</v>
      </c>
      <c r="B224" s="55">
        <f t="shared" si="24"/>
        <v>237610</v>
      </c>
      <c r="C224" s="55">
        <f t="shared" si="25"/>
        <v>5</v>
      </c>
      <c r="D224" s="55">
        <f t="shared" si="26"/>
        <v>9762906</v>
      </c>
      <c r="E224" s="9">
        <f t="shared" si="27"/>
        <v>1</v>
      </c>
      <c r="F224" s="53">
        <f t="shared" si="28"/>
        <v>2739726</v>
      </c>
      <c r="G224" s="53">
        <f t="shared" si="29"/>
        <v>7260274</v>
      </c>
      <c r="H224" s="9">
        <f t="shared" si="30"/>
        <v>798630</v>
      </c>
    </row>
    <row r="225" spans="1:8" x14ac:dyDescent="0.25">
      <c r="A225" s="5">
        <v>205</v>
      </c>
      <c r="B225" s="55">
        <f t="shared" si="24"/>
        <v>237610</v>
      </c>
      <c r="C225" s="55">
        <f t="shared" si="25"/>
        <v>5</v>
      </c>
      <c r="D225" s="55">
        <f t="shared" si="26"/>
        <v>9762907</v>
      </c>
      <c r="E225" s="9">
        <f t="shared" si="27"/>
        <v>1</v>
      </c>
      <c r="F225" s="53">
        <f t="shared" si="28"/>
        <v>2739726</v>
      </c>
      <c r="G225" s="53">
        <f t="shared" si="29"/>
        <v>7260274</v>
      </c>
      <c r="H225" s="9">
        <f t="shared" si="30"/>
        <v>798630</v>
      </c>
    </row>
    <row r="226" spans="1:8" x14ac:dyDescent="0.25">
      <c r="A226" s="5">
        <v>206</v>
      </c>
      <c r="B226" s="55">
        <f t="shared" si="24"/>
        <v>237610</v>
      </c>
      <c r="C226" s="55">
        <f t="shared" si="25"/>
        <v>5</v>
      </c>
      <c r="D226" s="55">
        <f t="shared" si="26"/>
        <v>9762908</v>
      </c>
      <c r="E226" s="9">
        <f t="shared" si="27"/>
        <v>1</v>
      </c>
      <c r="F226" s="53">
        <f t="shared" si="28"/>
        <v>2739726</v>
      </c>
      <c r="G226" s="53">
        <f t="shared" si="29"/>
        <v>7260274</v>
      </c>
      <c r="H226" s="9">
        <f t="shared" si="30"/>
        <v>798630</v>
      </c>
    </row>
    <row r="227" spans="1:8" x14ac:dyDescent="0.25">
      <c r="A227" s="5">
        <v>207</v>
      </c>
      <c r="B227" s="55">
        <f t="shared" si="24"/>
        <v>237610</v>
      </c>
      <c r="C227" s="55">
        <f t="shared" si="25"/>
        <v>5</v>
      </c>
      <c r="D227" s="55">
        <f t="shared" si="26"/>
        <v>9762909</v>
      </c>
      <c r="E227" s="9">
        <f t="shared" si="27"/>
        <v>1</v>
      </c>
      <c r="F227" s="53">
        <f t="shared" si="28"/>
        <v>2739726</v>
      </c>
      <c r="G227" s="53">
        <f t="shared" si="29"/>
        <v>7260274</v>
      </c>
      <c r="H227" s="9">
        <f t="shared" si="30"/>
        <v>798630</v>
      </c>
    </row>
    <row r="228" spans="1:8" x14ac:dyDescent="0.25">
      <c r="A228" s="5">
        <v>208</v>
      </c>
      <c r="B228" s="55">
        <f t="shared" si="24"/>
        <v>237610</v>
      </c>
      <c r="C228" s="55">
        <f t="shared" si="25"/>
        <v>5</v>
      </c>
      <c r="D228" s="55">
        <f t="shared" si="26"/>
        <v>9762910</v>
      </c>
      <c r="E228" s="9">
        <f t="shared" si="27"/>
        <v>1</v>
      </c>
      <c r="F228" s="53">
        <f t="shared" si="28"/>
        <v>2739726</v>
      </c>
      <c r="G228" s="53">
        <f t="shared" si="29"/>
        <v>7260274</v>
      </c>
      <c r="H228" s="9">
        <f t="shared" si="30"/>
        <v>798630</v>
      </c>
    </row>
    <row r="229" spans="1:8" x14ac:dyDescent="0.25">
      <c r="A229" s="5">
        <v>209</v>
      </c>
      <c r="B229" s="55">
        <f t="shared" si="24"/>
        <v>237610</v>
      </c>
      <c r="C229" s="55">
        <f t="shared" si="25"/>
        <v>5</v>
      </c>
      <c r="D229" s="55">
        <f t="shared" si="26"/>
        <v>9762911</v>
      </c>
      <c r="E229" s="9">
        <f t="shared" si="27"/>
        <v>1</v>
      </c>
      <c r="F229" s="53">
        <f t="shared" si="28"/>
        <v>2739726</v>
      </c>
      <c r="G229" s="53">
        <f t="shared" si="29"/>
        <v>7260274</v>
      </c>
      <c r="H229" s="9">
        <f t="shared" si="30"/>
        <v>798630</v>
      </c>
    </row>
    <row r="230" spans="1:8" x14ac:dyDescent="0.25">
      <c r="A230" s="5">
        <v>210</v>
      </c>
      <c r="B230" s="55">
        <f t="shared" si="24"/>
        <v>237610</v>
      </c>
      <c r="C230" s="55">
        <f t="shared" si="25"/>
        <v>5</v>
      </c>
      <c r="D230" s="55">
        <f t="shared" si="26"/>
        <v>9762912</v>
      </c>
      <c r="E230" s="9">
        <f t="shared" si="27"/>
        <v>1</v>
      </c>
      <c r="F230" s="53">
        <f t="shared" si="28"/>
        <v>2739726</v>
      </c>
      <c r="G230" s="53">
        <f t="shared" si="29"/>
        <v>7260274</v>
      </c>
      <c r="H230" s="9">
        <f t="shared" si="30"/>
        <v>798630</v>
      </c>
    </row>
    <row r="231" spans="1:8" x14ac:dyDescent="0.25">
      <c r="A231" s="5">
        <v>211</v>
      </c>
      <c r="B231" s="55">
        <f t="shared" si="24"/>
        <v>237610</v>
      </c>
      <c r="C231" s="55">
        <f t="shared" si="25"/>
        <v>5</v>
      </c>
      <c r="D231" s="55">
        <f t="shared" si="26"/>
        <v>9762913</v>
      </c>
      <c r="E231" s="9">
        <f t="shared" si="27"/>
        <v>1</v>
      </c>
      <c r="F231" s="53">
        <f t="shared" si="28"/>
        <v>2739726</v>
      </c>
      <c r="G231" s="53">
        <f t="shared" si="29"/>
        <v>7260274</v>
      </c>
      <c r="H231" s="9">
        <f t="shared" si="30"/>
        <v>798630</v>
      </c>
    </row>
    <row r="232" spans="1:8" x14ac:dyDescent="0.25">
      <c r="A232" s="5">
        <v>212</v>
      </c>
      <c r="B232" s="55">
        <f t="shared" si="24"/>
        <v>237610</v>
      </c>
      <c r="C232" s="55">
        <f t="shared" si="25"/>
        <v>5</v>
      </c>
      <c r="D232" s="55">
        <f t="shared" si="26"/>
        <v>9762914</v>
      </c>
      <c r="E232" s="9">
        <f t="shared" si="27"/>
        <v>1</v>
      </c>
      <c r="F232" s="53">
        <f t="shared" si="28"/>
        <v>2739726</v>
      </c>
      <c r="G232" s="53">
        <f t="shared" si="29"/>
        <v>7260274</v>
      </c>
      <c r="H232" s="9">
        <f t="shared" si="30"/>
        <v>798630</v>
      </c>
    </row>
    <row r="233" spans="1:8" x14ac:dyDescent="0.25">
      <c r="A233" s="5">
        <v>213</v>
      </c>
      <c r="B233" s="55">
        <f t="shared" si="24"/>
        <v>237610</v>
      </c>
      <c r="C233" s="55">
        <f t="shared" si="25"/>
        <v>5</v>
      </c>
      <c r="D233" s="55">
        <f t="shared" si="26"/>
        <v>9762915</v>
      </c>
      <c r="E233" s="9">
        <f t="shared" si="27"/>
        <v>1</v>
      </c>
      <c r="F233" s="53">
        <f t="shared" si="28"/>
        <v>2739726</v>
      </c>
      <c r="G233" s="53">
        <f t="shared" si="29"/>
        <v>7260274</v>
      </c>
      <c r="H233" s="9">
        <f t="shared" si="30"/>
        <v>798630</v>
      </c>
    </row>
    <row r="234" spans="1:8" x14ac:dyDescent="0.25">
      <c r="A234" s="5">
        <v>214</v>
      </c>
      <c r="B234" s="55">
        <f t="shared" si="24"/>
        <v>237610</v>
      </c>
      <c r="C234" s="55">
        <f t="shared" si="25"/>
        <v>5</v>
      </c>
      <c r="D234" s="55">
        <f t="shared" si="26"/>
        <v>9762916</v>
      </c>
      <c r="E234" s="9">
        <f t="shared" si="27"/>
        <v>1</v>
      </c>
      <c r="F234" s="53">
        <f t="shared" si="28"/>
        <v>2739726</v>
      </c>
      <c r="G234" s="53">
        <f t="shared" si="29"/>
        <v>7260274</v>
      </c>
      <c r="H234" s="9">
        <f t="shared" si="30"/>
        <v>798630</v>
      </c>
    </row>
    <row r="235" spans="1:8" x14ac:dyDescent="0.25">
      <c r="A235" s="5">
        <v>215</v>
      </c>
      <c r="B235" s="55">
        <f t="shared" si="24"/>
        <v>237610</v>
      </c>
      <c r="C235" s="55">
        <f t="shared" si="25"/>
        <v>5</v>
      </c>
      <c r="D235" s="55">
        <f t="shared" si="26"/>
        <v>9762917</v>
      </c>
      <c r="E235" s="9">
        <f t="shared" si="27"/>
        <v>1</v>
      </c>
      <c r="F235" s="53">
        <f t="shared" si="28"/>
        <v>2739726</v>
      </c>
      <c r="G235" s="53">
        <f t="shared" si="29"/>
        <v>7260274</v>
      </c>
      <c r="H235" s="9">
        <f t="shared" si="30"/>
        <v>798630</v>
      </c>
    </row>
    <row r="236" spans="1:8" x14ac:dyDescent="0.25">
      <c r="A236" s="5">
        <v>216</v>
      </c>
      <c r="B236" s="55">
        <f t="shared" si="24"/>
        <v>237610</v>
      </c>
      <c r="C236" s="55">
        <f t="shared" si="25"/>
        <v>5</v>
      </c>
      <c r="D236" s="55">
        <f t="shared" si="26"/>
        <v>9762918</v>
      </c>
      <c r="E236" s="9">
        <f t="shared" si="27"/>
        <v>1</v>
      </c>
      <c r="F236" s="53">
        <f t="shared" si="28"/>
        <v>2739726</v>
      </c>
      <c r="G236" s="53">
        <f t="shared" si="29"/>
        <v>7260274</v>
      </c>
      <c r="H236" s="9">
        <f t="shared" si="30"/>
        <v>798630</v>
      </c>
    </row>
    <row r="237" spans="1:8" x14ac:dyDescent="0.25">
      <c r="A237" s="5">
        <v>217</v>
      </c>
      <c r="B237" s="55">
        <f t="shared" si="24"/>
        <v>237610</v>
      </c>
      <c r="C237" s="55">
        <f t="shared" si="25"/>
        <v>5</v>
      </c>
      <c r="D237" s="55">
        <f t="shared" si="26"/>
        <v>9762919</v>
      </c>
      <c r="E237" s="9">
        <f t="shared" si="27"/>
        <v>1</v>
      </c>
      <c r="F237" s="53">
        <f t="shared" si="28"/>
        <v>2739726</v>
      </c>
      <c r="G237" s="53">
        <f t="shared" si="29"/>
        <v>7260274</v>
      </c>
      <c r="H237" s="9">
        <f t="shared" si="30"/>
        <v>798630</v>
      </c>
    </row>
    <row r="238" spans="1:8" x14ac:dyDescent="0.25">
      <c r="A238" s="5">
        <v>218</v>
      </c>
      <c r="B238" s="55">
        <f t="shared" si="24"/>
        <v>237610</v>
      </c>
      <c r="C238" s="55">
        <f t="shared" si="25"/>
        <v>5</v>
      </c>
      <c r="D238" s="55">
        <f t="shared" si="26"/>
        <v>9762920</v>
      </c>
      <c r="E238" s="9">
        <f t="shared" si="27"/>
        <v>1</v>
      </c>
      <c r="F238" s="53">
        <f t="shared" si="28"/>
        <v>2739726</v>
      </c>
      <c r="G238" s="53">
        <f t="shared" si="29"/>
        <v>7260274</v>
      </c>
      <c r="H238" s="9">
        <f t="shared" si="30"/>
        <v>798630</v>
      </c>
    </row>
    <row r="239" spans="1:8" x14ac:dyDescent="0.25">
      <c r="A239" s="5">
        <v>219</v>
      </c>
      <c r="B239" s="55">
        <f t="shared" si="24"/>
        <v>237610</v>
      </c>
      <c r="C239" s="55">
        <f t="shared" si="25"/>
        <v>5</v>
      </c>
      <c r="D239" s="55">
        <f t="shared" si="26"/>
        <v>9762921</v>
      </c>
      <c r="E239" s="9">
        <f t="shared" si="27"/>
        <v>1</v>
      </c>
      <c r="F239" s="53">
        <f t="shared" si="28"/>
        <v>2739726</v>
      </c>
      <c r="G239" s="53">
        <f t="shared" si="29"/>
        <v>7260274</v>
      </c>
      <c r="H239" s="9">
        <f t="shared" si="30"/>
        <v>798630</v>
      </c>
    </row>
    <row r="240" spans="1:8" x14ac:dyDescent="0.25">
      <c r="A240" s="5">
        <v>220</v>
      </c>
      <c r="B240" s="55">
        <f t="shared" si="24"/>
        <v>237610</v>
      </c>
      <c r="C240" s="55">
        <f t="shared" si="25"/>
        <v>5</v>
      </c>
      <c r="D240" s="55">
        <f t="shared" si="26"/>
        <v>9762922</v>
      </c>
      <c r="E240" s="9">
        <f t="shared" si="27"/>
        <v>1</v>
      </c>
      <c r="F240" s="53">
        <f t="shared" si="28"/>
        <v>2739726</v>
      </c>
      <c r="G240" s="53">
        <f t="shared" si="29"/>
        <v>7260274</v>
      </c>
      <c r="H240" s="9">
        <f t="shared" si="30"/>
        <v>798630</v>
      </c>
    </row>
    <row r="241" spans="1:8" x14ac:dyDescent="0.25">
      <c r="A241" s="5">
        <v>221</v>
      </c>
      <c r="B241" s="55">
        <f t="shared" si="24"/>
        <v>237610</v>
      </c>
      <c r="C241" s="55">
        <f t="shared" si="25"/>
        <v>5</v>
      </c>
      <c r="D241" s="55">
        <f t="shared" si="26"/>
        <v>9762923</v>
      </c>
      <c r="E241" s="9">
        <f t="shared" si="27"/>
        <v>1</v>
      </c>
      <c r="F241" s="53">
        <f t="shared" si="28"/>
        <v>2739726</v>
      </c>
      <c r="G241" s="53">
        <f t="shared" si="29"/>
        <v>7260274</v>
      </c>
      <c r="H241" s="9">
        <f t="shared" si="30"/>
        <v>798630</v>
      </c>
    </row>
    <row r="242" spans="1:8" x14ac:dyDescent="0.25">
      <c r="A242" s="5">
        <v>222</v>
      </c>
      <c r="B242" s="55">
        <f t="shared" si="24"/>
        <v>237610</v>
      </c>
      <c r="C242" s="55">
        <f t="shared" si="25"/>
        <v>5</v>
      </c>
      <c r="D242" s="55">
        <f t="shared" si="26"/>
        <v>9762924</v>
      </c>
      <c r="E242" s="9">
        <f t="shared" si="27"/>
        <v>1</v>
      </c>
      <c r="F242" s="53">
        <f t="shared" si="28"/>
        <v>2739726</v>
      </c>
      <c r="G242" s="53">
        <f t="shared" si="29"/>
        <v>7260274</v>
      </c>
      <c r="H242" s="9">
        <f t="shared" si="30"/>
        <v>798630</v>
      </c>
    </row>
    <row r="243" spans="1:8" x14ac:dyDescent="0.25">
      <c r="A243" s="5">
        <v>223</v>
      </c>
      <c r="B243" s="55">
        <f t="shared" si="24"/>
        <v>237610</v>
      </c>
      <c r="C243" s="55">
        <f t="shared" si="25"/>
        <v>5</v>
      </c>
      <c r="D243" s="55">
        <f t="shared" si="26"/>
        <v>9762925</v>
      </c>
      <c r="E243" s="9">
        <f t="shared" si="27"/>
        <v>1</v>
      </c>
      <c r="F243" s="53">
        <f t="shared" si="28"/>
        <v>2739726</v>
      </c>
      <c r="G243" s="53">
        <f t="shared" si="29"/>
        <v>7260274</v>
      </c>
      <c r="H243" s="9">
        <f t="shared" si="30"/>
        <v>798630</v>
      </c>
    </row>
    <row r="244" spans="1:8" x14ac:dyDescent="0.25">
      <c r="A244" s="5">
        <v>224</v>
      </c>
      <c r="B244" s="55">
        <f t="shared" si="24"/>
        <v>237610</v>
      </c>
      <c r="C244" s="55">
        <f t="shared" si="25"/>
        <v>5</v>
      </c>
      <c r="D244" s="55">
        <f t="shared" si="26"/>
        <v>9762926</v>
      </c>
      <c r="E244" s="9">
        <f t="shared" si="27"/>
        <v>1</v>
      </c>
      <c r="F244" s="53">
        <f t="shared" si="28"/>
        <v>2739726</v>
      </c>
      <c r="G244" s="53">
        <f t="shared" si="29"/>
        <v>7260274</v>
      </c>
      <c r="H244" s="9">
        <f t="shared" si="30"/>
        <v>798630</v>
      </c>
    </row>
    <row r="245" spans="1:8" x14ac:dyDescent="0.25">
      <c r="A245" s="5">
        <v>225</v>
      </c>
      <c r="B245" s="55">
        <f t="shared" si="24"/>
        <v>237610</v>
      </c>
      <c r="C245" s="55">
        <f t="shared" si="25"/>
        <v>5</v>
      </c>
      <c r="D245" s="55">
        <f t="shared" si="26"/>
        <v>9762927</v>
      </c>
      <c r="E245" s="9">
        <f t="shared" si="27"/>
        <v>1</v>
      </c>
      <c r="F245" s="53">
        <f t="shared" si="28"/>
        <v>2739726</v>
      </c>
      <c r="G245" s="53">
        <f t="shared" si="29"/>
        <v>7260274</v>
      </c>
      <c r="H245" s="9">
        <f t="shared" si="30"/>
        <v>798630</v>
      </c>
    </row>
    <row r="246" spans="1:8" x14ac:dyDescent="0.25">
      <c r="A246" s="5">
        <v>226</v>
      </c>
      <c r="B246" s="55">
        <f t="shared" si="24"/>
        <v>237610</v>
      </c>
      <c r="C246" s="55">
        <f t="shared" si="25"/>
        <v>5</v>
      </c>
      <c r="D246" s="55">
        <f t="shared" si="26"/>
        <v>9762928</v>
      </c>
      <c r="E246" s="9">
        <f t="shared" si="27"/>
        <v>1</v>
      </c>
      <c r="F246" s="53">
        <f t="shared" si="28"/>
        <v>2739726</v>
      </c>
      <c r="G246" s="53">
        <f t="shared" si="29"/>
        <v>7260274</v>
      </c>
      <c r="H246" s="9">
        <f t="shared" si="30"/>
        <v>798630</v>
      </c>
    </row>
    <row r="247" spans="1:8" x14ac:dyDescent="0.25">
      <c r="A247" s="5">
        <v>227</v>
      </c>
      <c r="B247" s="55">
        <f t="shared" si="24"/>
        <v>237610</v>
      </c>
      <c r="C247" s="55">
        <f t="shared" si="25"/>
        <v>5</v>
      </c>
      <c r="D247" s="55">
        <f t="shared" si="26"/>
        <v>9762929</v>
      </c>
      <c r="E247" s="9">
        <f t="shared" si="27"/>
        <v>1</v>
      </c>
      <c r="F247" s="53">
        <f t="shared" si="28"/>
        <v>2739726</v>
      </c>
      <c r="G247" s="53">
        <f t="shared" si="29"/>
        <v>7260274</v>
      </c>
      <c r="H247" s="9">
        <f t="shared" si="30"/>
        <v>798630</v>
      </c>
    </row>
    <row r="248" spans="1:8" x14ac:dyDescent="0.25">
      <c r="A248" s="5">
        <v>228</v>
      </c>
      <c r="B248" s="55">
        <f t="shared" si="24"/>
        <v>237610</v>
      </c>
      <c r="C248" s="55">
        <f t="shared" si="25"/>
        <v>5</v>
      </c>
      <c r="D248" s="55">
        <f t="shared" si="26"/>
        <v>9762930</v>
      </c>
      <c r="E248" s="9">
        <f t="shared" si="27"/>
        <v>1</v>
      </c>
      <c r="F248" s="53">
        <f t="shared" si="28"/>
        <v>2739726</v>
      </c>
      <c r="G248" s="53">
        <f t="shared" si="29"/>
        <v>7260274</v>
      </c>
      <c r="H248" s="9">
        <f t="shared" si="30"/>
        <v>798630</v>
      </c>
    </row>
    <row r="249" spans="1:8" x14ac:dyDescent="0.25">
      <c r="A249" s="5">
        <v>229</v>
      </c>
      <c r="B249" s="55">
        <f t="shared" si="24"/>
        <v>237610</v>
      </c>
      <c r="C249" s="55">
        <f t="shared" si="25"/>
        <v>5</v>
      </c>
      <c r="D249" s="55">
        <f t="shared" si="26"/>
        <v>9762931</v>
      </c>
      <c r="E249" s="9">
        <f t="shared" si="27"/>
        <v>1</v>
      </c>
      <c r="F249" s="53">
        <f t="shared" si="28"/>
        <v>2739726</v>
      </c>
      <c r="G249" s="53">
        <f t="shared" si="29"/>
        <v>7260274</v>
      </c>
      <c r="H249" s="9">
        <f t="shared" si="30"/>
        <v>798630</v>
      </c>
    </row>
    <row r="250" spans="1:8" x14ac:dyDescent="0.25">
      <c r="A250" s="5">
        <v>230</v>
      </c>
      <c r="B250" s="55">
        <f t="shared" si="24"/>
        <v>237610</v>
      </c>
      <c r="C250" s="55">
        <f t="shared" si="25"/>
        <v>5</v>
      </c>
      <c r="D250" s="55">
        <f t="shared" si="26"/>
        <v>9762932</v>
      </c>
      <c r="E250" s="9">
        <f t="shared" si="27"/>
        <v>1</v>
      </c>
      <c r="F250" s="53">
        <f t="shared" si="28"/>
        <v>2739726</v>
      </c>
      <c r="G250" s="53">
        <f t="shared" si="29"/>
        <v>7260274</v>
      </c>
      <c r="H250" s="9">
        <f t="shared" si="30"/>
        <v>798630</v>
      </c>
    </row>
    <row r="251" spans="1:8" x14ac:dyDescent="0.25">
      <c r="A251" s="5">
        <v>231</v>
      </c>
      <c r="B251" s="55">
        <f t="shared" si="24"/>
        <v>237610</v>
      </c>
      <c r="C251" s="55">
        <f t="shared" si="25"/>
        <v>5</v>
      </c>
      <c r="D251" s="55">
        <f t="shared" si="26"/>
        <v>9762933</v>
      </c>
      <c r="E251" s="9">
        <f t="shared" si="27"/>
        <v>1</v>
      </c>
      <c r="F251" s="53">
        <f t="shared" si="28"/>
        <v>2739726</v>
      </c>
      <c r="G251" s="53">
        <f t="shared" si="29"/>
        <v>7260274</v>
      </c>
      <c r="H251" s="9">
        <f t="shared" si="30"/>
        <v>798630</v>
      </c>
    </row>
    <row r="252" spans="1:8" x14ac:dyDescent="0.25">
      <c r="A252" s="5">
        <v>232</v>
      </c>
      <c r="B252" s="55">
        <f t="shared" si="24"/>
        <v>237610</v>
      </c>
      <c r="C252" s="55">
        <f t="shared" si="25"/>
        <v>5</v>
      </c>
      <c r="D252" s="55">
        <f t="shared" si="26"/>
        <v>9762934</v>
      </c>
      <c r="E252" s="9">
        <f t="shared" si="27"/>
        <v>1</v>
      </c>
      <c r="F252" s="53">
        <f t="shared" si="28"/>
        <v>2739726</v>
      </c>
      <c r="G252" s="53">
        <f t="shared" si="29"/>
        <v>7260274</v>
      </c>
      <c r="H252" s="9">
        <f t="shared" si="30"/>
        <v>798630</v>
      </c>
    </row>
    <row r="253" spans="1:8" x14ac:dyDescent="0.25">
      <c r="A253" s="5">
        <v>233</v>
      </c>
      <c r="B253" s="55">
        <f t="shared" si="24"/>
        <v>237610</v>
      </c>
      <c r="C253" s="55">
        <f t="shared" si="25"/>
        <v>5</v>
      </c>
      <c r="D253" s="55">
        <f t="shared" si="26"/>
        <v>9762935</v>
      </c>
      <c r="E253" s="9">
        <f t="shared" si="27"/>
        <v>1</v>
      </c>
      <c r="F253" s="53">
        <f t="shared" si="28"/>
        <v>2739726</v>
      </c>
      <c r="G253" s="53">
        <f t="shared" si="29"/>
        <v>7260274</v>
      </c>
      <c r="H253" s="9">
        <f t="shared" si="30"/>
        <v>798630</v>
      </c>
    </row>
    <row r="254" spans="1:8" x14ac:dyDescent="0.25">
      <c r="A254" s="5">
        <v>234</v>
      </c>
      <c r="B254" s="55">
        <f t="shared" si="24"/>
        <v>237610</v>
      </c>
      <c r="C254" s="55">
        <f t="shared" si="25"/>
        <v>5</v>
      </c>
      <c r="D254" s="55">
        <f t="shared" si="26"/>
        <v>9762936</v>
      </c>
      <c r="E254" s="9">
        <f t="shared" si="27"/>
        <v>1</v>
      </c>
      <c r="F254" s="53">
        <f t="shared" si="28"/>
        <v>2739726</v>
      </c>
      <c r="G254" s="53">
        <f t="shared" si="29"/>
        <v>7260274</v>
      </c>
      <c r="H254" s="9">
        <f t="shared" si="30"/>
        <v>798630</v>
      </c>
    </row>
    <row r="255" spans="1:8" x14ac:dyDescent="0.25">
      <c r="A255" s="5">
        <v>235</v>
      </c>
      <c r="B255" s="55">
        <f t="shared" si="24"/>
        <v>237610</v>
      </c>
      <c r="C255" s="55">
        <f t="shared" si="25"/>
        <v>5</v>
      </c>
      <c r="D255" s="55">
        <f t="shared" si="26"/>
        <v>9762937</v>
      </c>
      <c r="E255" s="9">
        <f t="shared" si="27"/>
        <v>1</v>
      </c>
      <c r="F255" s="53">
        <f t="shared" si="28"/>
        <v>2739726</v>
      </c>
      <c r="G255" s="53">
        <f t="shared" si="29"/>
        <v>7260274</v>
      </c>
      <c r="H255" s="9">
        <f t="shared" si="30"/>
        <v>798630</v>
      </c>
    </row>
    <row r="256" spans="1:8" x14ac:dyDescent="0.25">
      <c r="A256" s="5">
        <v>236</v>
      </c>
      <c r="B256" s="55">
        <f t="shared" si="24"/>
        <v>237610</v>
      </c>
      <c r="C256" s="55">
        <f t="shared" si="25"/>
        <v>5</v>
      </c>
      <c r="D256" s="55">
        <f t="shared" si="26"/>
        <v>9762938</v>
      </c>
      <c r="E256" s="9">
        <f t="shared" si="27"/>
        <v>1</v>
      </c>
      <c r="F256" s="53">
        <f t="shared" si="28"/>
        <v>2739726</v>
      </c>
      <c r="G256" s="53">
        <f t="shared" si="29"/>
        <v>7260274</v>
      </c>
      <c r="H256" s="9">
        <f t="shared" si="30"/>
        <v>798630</v>
      </c>
    </row>
    <row r="257" spans="1:8" x14ac:dyDescent="0.25">
      <c r="A257" s="5">
        <v>237</v>
      </c>
      <c r="B257" s="55">
        <f t="shared" si="24"/>
        <v>237610</v>
      </c>
      <c r="C257" s="55">
        <f t="shared" si="25"/>
        <v>5</v>
      </c>
      <c r="D257" s="55">
        <f t="shared" si="26"/>
        <v>9762939</v>
      </c>
      <c r="E257" s="9">
        <f t="shared" si="27"/>
        <v>1</v>
      </c>
      <c r="F257" s="53">
        <f t="shared" si="28"/>
        <v>2739726</v>
      </c>
      <c r="G257" s="53">
        <f t="shared" si="29"/>
        <v>7260274</v>
      </c>
      <c r="H257" s="9">
        <f t="shared" si="30"/>
        <v>798630</v>
      </c>
    </row>
    <row r="258" spans="1:8" x14ac:dyDescent="0.25">
      <c r="A258" s="5">
        <v>238</v>
      </c>
      <c r="B258" s="55">
        <f t="shared" si="24"/>
        <v>237610</v>
      </c>
      <c r="C258" s="55">
        <f t="shared" si="25"/>
        <v>5</v>
      </c>
      <c r="D258" s="55">
        <f t="shared" si="26"/>
        <v>9762940</v>
      </c>
      <c r="E258" s="9">
        <f t="shared" si="27"/>
        <v>1</v>
      </c>
      <c r="F258" s="53">
        <f t="shared" si="28"/>
        <v>2739726</v>
      </c>
      <c r="G258" s="53">
        <f t="shared" si="29"/>
        <v>7260274</v>
      </c>
      <c r="H258" s="9">
        <f t="shared" si="30"/>
        <v>798630</v>
      </c>
    </row>
    <row r="259" spans="1:8" x14ac:dyDescent="0.25">
      <c r="A259" s="5">
        <v>239</v>
      </c>
      <c r="B259" s="55">
        <f t="shared" si="24"/>
        <v>237610</v>
      </c>
      <c r="C259" s="55">
        <f t="shared" si="25"/>
        <v>5</v>
      </c>
      <c r="D259" s="55">
        <f t="shared" si="26"/>
        <v>9762941</v>
      </c>
      <c r="E259" s="9">
        <f t="shared" si="27"/>
        <v>1</v>
      </c>
      <c r="F259" s="53">
        <f t="shared" si="28"/>
        <v>2739726</v>
      </c>
      <c r="G259" s="53">
        <f t="shared" si="29"/>
        <v>7260274</v>
      </c>
      <c r="H259" s="9">
        <f t="shared" si="30"/>
        <v>798630</v>
      </c>
    </row>
    <row r="260" spans="1:8" x14ac:dyDescent="0.25">
      <c r="A260" s="5">
        <v>240</v>
      </c>
      <c r="B260" s="55">
        <f t="shared" si="24"/>
        <v>237610</v>
      </c>
      <c r="C260" s="55">
        <f t="shared" si="25"/>
        <v>5</v>
      </c>
      <c r="D260" s="55">
        <f t="shared" si="26"/>
        <v>9762942</v>
      </c>
      <c r="E260" s="9">
        <f t="shared" si="27"/>
        <v>1</v>
      </c>
      <c r="F260" s="53">
        <f t="shared" si="28"/>
        <v>2739726</v>
      </c>
      <c r="G260" s="53">
        <f t="shared" si="29"/>
        <v>7260274</v>
      </c>
      <c r="H260" s="9">
        <f t="shared" si="30"/>
        <v>798630</v>
      </c>
    </row>
    <row r="261" spans="1:8" x14ac:dyDescent="0.25">
      <c r="A261" s="5">
        <v>241</v>
      </c>
      <c r="B261" s="55">
        <f t="shared" si="24"/>
        <v>237610</v>
      </c>
      <c r="C261" s="55">
        <f t="shared" si="25"/>
        <v>5</v>
      </c>
      <c r="D261" s="55">
        <f t="shared" si="26"/>
        <v>9762943</v>
      </c>
      <c r="E261" s="9">
        <f t="shared" si="27"/>
        <v>1</v>
      </c>
      <c r="F261" s="53">
        <f t="shared" si="28"/>
        <v>2739726</v>
      </c>
      <c r="G261" s="53">
        <f t="shared" si="29"/>
        <v>7260274</v>
      </c>
      <c r="H261" s="9">
        <f t="shared" si="30"/>
        <v>798630</v>
      </c>
    </row>
    <row r="262" spans="1:8" x14ac:dyDescent="0.25">
      <c r="A262" s="5">
        <v>242</v>
      </c>
      <c r="B262" s="55">
        <f t="shared" si="24"/>
        <v>237610</v>
      </c>
      <c r="C262" s="55">
        <f t="shared" si="25"/>
        <v>5</v>
      </c>
      <c r="D262" s="55">
        <f t="shared" si="26"/>
        <v>9762944</v>
      </c>
      <c r="E262" s="9">
        <f t="shared" si="27"/>
        <v>1</v>
      </c>
      <c r="F262" s="53">
        <f t="shared" si="28"/>
        <v>2739726</v>
      </c>
      <c r="G262" s="53">
        <f t="shared" si="29"/>
        <v>7260274</v>
      </c>
      <c r="H262" s="9">
        <f t="shared" si="30"/>
        <v>798630</v>
      </c>
    </row>
    <row r="263" spans="1:8" x14ac:dyDescent="0.25">
      <c r="A263" s="5">
        <v>243</v>
      </c>
      <c r="B263" s="55">
        <f t="shared" si="24"/>
        <v>237610</v>
      </c>
      <c r="C263" s="55">
        <f t="shared" si="25"/>
        <v>5</v>
      </c>
      <c r="D263" s="55">
        <f t="shared" si="26"/>
        <v>9762945</v>
      </c>
      <c r="E263" s="9">
        <f t="shared" si="27"/>
        <v>1</v>
      </c>
      <c r="F263" s="53">
        <f t="shared" si="28"/>
        <v>2739726</v>
      </c>
      <c r="G263" s="53">
        <f t="shared" si="29"/>
        <v>7260274</v>
      </c>
      <c r="H263" s="9">
        <f t="shared" si="30"/>
        <v>798630</v>
      </c>
    </row>
    <row r="264" spans="1:8" x14ac:dyDescent="0.25">
      <c r="A264" s="5">
        <v>244</v>
      </c>
      <c r="B264" s="55">
        <f t="shared" si="24"/>
        <v>237610</v>
      </c>
      <c r="C264" s="55">
        <f t="shared" si="25"/>
        <v>5</v>
      </c>
      <c r="D264" s="55">
        <f t="shared" si="26"/>
        <v>9762946</v>
      </c>
      <c r="E264" s="9">
        <f t="shared" si="27"/>
        <v>1</v>
      </c>
      <c r="F264" s="53">
        <f t="shared" si="28"/>
        <v>2739726</v>
      </c>
      <c r="G264" s="53">
        <f t="shared" si="29"/>
        <v>7260274</v>
      </c>
      <c r="H264" s="9">
        <f t="shared" si="30"/>
        <v>798630</v>
      </c>
    </row>
    <row r="265" spans="1:8" x14ac:dyDescent="0.25">
      <c r="A265" s="5">
        <v>245</v>
      </c>
      <c r="B265" s="55">
        <f t="shared" si="24"/>
        <v>237610</v>
      </c>
      <c r="C265" s="55">
        <f t="shared" si="25"/>
        <v>5</v>
      </c>
      <c r="D265" s="55">
        <f t="shared" si="26"/>
        <v>9762947</v>
      </c>
      <c r="E265" s="9">
        <f t="shared" si="27"/>
        <v>1</v>
      </c>
      <c r="F265" s="53">
        <f t="shared" si="28"/>
        <v>2739726</v>
      </c>
      <c r="G265" s="53">
        <f t="shared" si="29"/>
        <v>7260274</v>
      </c>
      <c r="H265" s="9">
        <f t="shared" si="30"/>
        <v>798630</v>
      </c>
    </row>
    <row r="266" spans="1:8" x14ac:dyDescent="0.25">
      <c r="A266" s="5">
        <v>246</v>
      </c>
      <c r="B266" s="55">
        <f t="shared" si="24"/>
        <v>237610</v>
      </c>
      <c r="C266" s="55">
        <f t="shared" si="25"/>
        <v>5</v>
      </c>
      <c r="D266" s="55">
        <f t="shared" si="26"/>
        <v>9762948</v>
      </c>
      <c r="E266" s="9">
        <f t="shared" si="27"/>
        <v>1</v>
      </c>
      <c r="F266" s="53">
        <f t="shared" si="28"/>
        <v>2739726</v>
      </c>
      <c r="G266" s="53">
        <f t="shared" si="29"/>
        <v>7260274</v>
      </c>
      <c r="H266" s="9">
        <f t="shared" si="30"/>
        <v>798630</v>
      </c>
    </row>
    <row r="267" spans="1:8" x14ac:dyDescent="0.25">
      <c r="A267" s="5">
        <v>247</v>
      </c>
      <c r="B267" s="55">
        <f t="shared" si="24"/>
        <v>237610</v>
      </c>
      <c r="C267" s="55">
        <f t="shared" si="25"/>
        <v>5</v>
      </c>
      <c r="D267" s="55">
        <f t="shared" si="26"/>
        <v>9762949</v>
      </c>
      <c r="E267" s="9">
        <f t="shared" si="27"/>
        <v>1</v>
      </c>
      <c r="F267" s="53">
        <f t="shared" si="28"/>
        <v>2739726</v>
      </c>
      <c r="G267" s="53">
        <f t="shared" si="29"/>
        <v>7260274</v>
      </c>
      <c r="H267" s="9">
        <f t="shared" si="30"/>
        <v>798630</v>
      </c>
    </row>
    <row r="268" spans="1:8" x14ac:dyDescent="0.25">
      <c r="A268" s="5">
        <v>248</v>
      </c>
      <c r="B268" s="55">
        <f t="shared" si="24"/>
        <v>237610</v>
      </c>
      <c r="C268" s="55">
        <f t="shared" si="25"/>
        <v>5</v>
      </c>
      <c r="D268" s="55">
        <f t="shared" si="26"/>
        <v>9762950</v>
      </c>
      <c r="E268" s="9">
        <f t="shared" si="27"/>
        <v>1</v>
      </c>
      <c r="F268" s="53">
        <f t="shared" si="28"/>
        <v>2739726</v>
      </c>
      <c r="G268" s="53">
        <f t="shared" si="29"/>
        <v>7260274</v>
      </c>
      <c r="H268" s="9">
        <f t="shared" si="30"/>
        <v>798630</v>
      </c>
    </row>
    <row r="269" spans="1:8" x14ac:dyDescent="0.25">
      <c r="A269" s="5">
        <v>249</v>
      </c>
      <c r="B269" s="55">
        <f t="shared" ref="B269:B326" si="31" xml:space="preserve"> ROUND(B268 - ((B268 / $B$11)*($B$4*C268)),0)</f>
        <v>237610</v>
      </c>
      <c r="C269" s="55">
        <f t="shared" ref="C269:C326" si="32" xml:space="preserve"> ROUND(C268 + (B268/$B$11)*($B$4*C268)-(C268*$B$5),0)</f>
        <v>5</v>
      </c>
      <c r="D269" s="55">
        <f t="shared" ref="D269:D326" si="33" xml:space="preserve"> ROUND(D268 + (C268 * $B$5),0)</f>
        <v>9762951</v>
      </c>
      <c r="E269" s="9">
        <f t="shared" ref="E269:E326" si="34">ROUND(C269*$B$8,0)</f>
        <v>1</v>
      </c>
      <c r="F269" s="53">
        <f t="shared" ref="F269:F326" si="35">$B$1-G269</f>
        <v>2739726</v>
      </c>
      <c r="G269" s="53">
        <f t="shared" ref="G269:G326" si="36">ROUND($B$17/(1+($B$18*EXP(-1*$B$16*(A269-$A$21)))),0)</f>
        <v>7260274</v>
      </c>
      <c r="H269" s="9">
        <f t="shared" ref="H269:H326" si="37">ROUND(G269*$B$8,0)</f>
        <v>798630</v>
      </c>
    </row>
    <row r="270" spans="1:8" x14ac:dyDescent="0.25">
      <c r="A270" s="5">
        <v>250</v>
      </c>
      <c r="B270" s="55">
        <f t="shared" si="31"/>
        <v>237610</v>
      </c>
      <c r="C270" s="55">
        <f t="shared" si="32"/>
        <v>5</v>
      </c>
      <c r="D270" s="55">
        <f t="shared" si="33"/>
        <v>9762952</v>
      </c>
      <c r="E270" s="9">
        <f t="shared" si="34"/>
        <v>1</v>
      </c>
      <c r="F270" s="53">
        <f t="shared" si="35"/>
        <v>2739726</v>
      </c>
      <c r="G270" s="53">
        <f t="shared" si="36"/>
        <v>7260274</v>
      </c>
      <c r="H270" s="9">
        <f t="shared" si="37"/>
        <v>798630</v>
      </c>
    </row>
    <row r="271" spans="1:8" x14ac:dyDescent="0.25">
      <c r="A271" s="5">
        <v>251</v>
      </c>
      <c r="B271" s="55">
        <f t="shared" si="31"/>
        <v>237610</v>
      </c>
      <c r="C271" s="55">
        <f t="shared" si="32"/>
        <v>5</v>
      </c>
      <c r="D271" s="55">
        <f t="shared" si="33"/>
        <v>9762953</v>
      </c>
      <c r="E271" s="9">
        <f t="shared" si="34"/>
        <v>1</v>
      </c>
      <c r="F271" s="53">
        <f t="shared" si="35"/>
        <v>2739726</v>
      </c>
      <c r="G271" s="53">
        <f t="shared" si="36"/>
        <v>7260274</v>
      </c>
      <c r="H271" s="9">
        <f t="shared" si="37"/>
        <v>798630</v>
      </c>
    </row>
    <row r="272" spans="1:8" x14ac:dyDescent="0.25">
      <c r="A272" s="5">
        <v>252</v>
      </c>
      <c r="B272" s="55">
        <f t="shared" si="31"/>
        <v>237610</v>
      </c>
      <c r="C272" s="55">
        <f t="shared" si="32"/>
        <v>5</v>
      </c>
      <c r="D272" s="55">
        <f t="shared" si="33"/>
        <v>9762954</v>
      </c>
      <c r="E272" s="9">
        <f t="shared" si="34"/>
        <v>1</v>
      </c>
      <c r="F272" s="53">
        <f t="shared" si="35"/>
        <v>2739726</v>
      </c>
      <c r="G272" s="53">
        <f t="shared" si="36"/>
        <v>7260274</v>
      </c>
      <c r="H272" s="9">
        <f t="shared" si="37"/>
        <v>798630</v>
      </c>
    </row>
    <row r="273" spans="1:8" x14ac:dyDescent="0.25">
      <c r="A273" s="5">
        <v>253</v>
      </c>
      <c r="B273" s="55">
        <f t="shared" si="31"/>
        <v>237610</v>
      </c>
      <c r="C273" s="55">
        <f t="shared" si="32"/>
        <v>5</v>
      </c>
      <c r="D273" s="55">
        <f t="shared" si="33"/>
        <v>9762955</v>
      </c>
      <c r="E273" s="9">
        <f t="shared" si="34"/>
        <v>1</v>
      </c>
      <c r="F273" s="53">
        <f t="shared" si="35"/>
        <v>2739726</v>
      </c>
      <c r="G273" s="53">
        <f t="shared" si="36"/>
        <v>7260274</v>
      </c>
      <c r="H273" s="9">
        <f t="shared" si="37"/>
        <v>798630</v>
      </c>
    </row>
    <row r="274" spans="1:8" x14ac:dyDescent="0.25">
      <c r="A274" s="5">
        <v>254</v>
      </c>
      <c r="B274" s="55">
        <f t="shared" si="31"/>
        <v>237610</v>
      </c>
      <c r="C274" s="55">
        <f t="shared" si="32"/>
        <v>5</v>
      </c>
      <c r="D274" s="55">
        <f t="shared" si="33"/>
        <v>9762956</v>
      </c>
      <c r="E274" s="9">
        <f t="shared" si="34"/>
        <v>1</v>
      </c>
      <c r="F274" s="53">
        <f t="shared" si="35"/>
        <v>2739726</v>
      </c>
      <c r="G274" s="53">
        <f t="shared" si="36"/>
        <v>7260274</v>
      </c>
      <c r="H274" s="9">
        <f t="shared" si="37"/>
        <v>798630</v>
      </c>
    </row>
    <row r="275" spans="1:8" x14ac:dyDescent="0.25">
      <c r="A275" s="5">
        <v>255</v>
      </c>
      <c r="B275" s="55">
        <f t="shared" si="31"/>
        <v>237610</v>
      </c>
      <c r="C275" s="55">
        <f t="shared" si="32"/>
        <v>5</v>
      </c>
      <c r="D275" s="55">
        <f t="shared" si="33"/>
        <v>9762957</v>
      </c>
      <c r="E275" s="9">
        <f t="shared" si="34"/>
        <v>1</v>
      </c>
      <c r="F275" s="53">
        <f t="shared" si="35"/>
        <v>2739726</v>
      </c>
      <c r="G275" s="53">
        <f t="shared" si="36"/>
        <v>7260274</v>
      </c>
      <c r="H275" s="9">
        <f t="shared" si="37"/>
        <v>798630</v>
      </c>
    </row>
    <row r="276" spans="1:8" x14ac:dyDescent="0.25">
      <c r="A276" s="5">
        <v>256</v>
      </c>
      <c r="B276" s="55">
        <f t="shared" si="31"/>
        <v>237610</v>
      </c>
      <c r="C276" s="55">
        <f t="shared" si="32"/>
        <v>5</v>
      </c>
      <c r="D276" s="55">
        <f t="shared" si="33"/>
        <v>9762958</v>
      </c>
      <c r="E276" s="9">
        <f t="shared" si="34"/>
        <v>1</v>
      </c>
      <c r="F276" s="53">
        <f t="shared" si="35"/>
        <v>2739726</v>
      </c>
      <c r="G276" s="53">
        <f t="shared" si="36"/>
        <v>7260274</v>
      </c>
      <c r="H276" s="9">
        <f t="shared" si="37"/>
        <v>798630</v>
      </c>
    </row>
    <row r="277" spans="1:8" x14ac:dyDescent="0.25">
      <c r="A277" s="5">
        <v>257</v>
      </c>
      <c r="B277" s="55">
        <f t="shared" si="31"/>
        <v>237610</v>
      </c>
      <c r="C277" s="55">
        <f t="shared" si="32"/>
        <v>5</v>
      </c>
      <c r="D277" s="55">
        <f t="shared" si="33"/>
        <v>9762959</v>
      </c>
      <c r="E277" s="9">
        <f t="shared" si="34"/>
        <v>1</v>
      </c>
      <c r="F277" s="53">
        <f t="shared" si="35"/>
        <v>2739726</v>
      </c>
      <c r="G277" s="53">
        <f t="shared" si="36"/>
        <v>7260274</v>
      </c>
      <c r="H277" s="9">
        <f t="shared" si="37"/>
        <v>798630</v>
      </c>
    </row>
    <row r="278" spans="1:8" x14ac:dyDescent="0.25">
      <c r="A278" s="5">
        <v>258</v>
      </c>
      <c r="B278" s="55">
        <f t="shared" si="31"/>
        <v>237610</v>
      </c>
      <c r="C278" s="55">
        <f t="shared" si="32"/>
        <v>5</v>
      </c>
      <c r="D278" s="55">
        <f t="shared" si="33"/>
        <v>9762960</v>
      </c>
      <c r="E278" s="9">
        <f t="shared" si="34"/>
        <v>1</v>
      </c>
      <c r="F278" s="53">
        <f t="shared" si="35"/>
        <v>2739726</v>
      </c>
      <c r="G278" s="53">
        <f t="shared" si="36"/>
        <v>7260274</v>
      </c>
      <c r="H278" s="9">
        <f t="shared" si="37"/>
        <v>798630</v>
      </c>
    </row>
    <row r="279" spans="1:8" x14ac:dyDescent="0.25">
      <c r="A279" s="5">
        <v>259</v>
      </c>
      <c r="B279" s="55">
        <f t="shared" si="31"/>
        <v>237610</v>
      </c>
      <c r="C279" s="55">
        <f t="shared" si="32"/>
        <v>5</v>
      </c>
      <c r="D279" s="55">
        <f t="shared" si="33"/>
        <v>9762961</v>
      </c>
      <c r="E279" s="9">
        <f t="shared" si="34"/>
        <v>1</v>
      </c>
      <c r="F279" s="53">
        <f t="shared" si="35"/>
        <v>2739726</v>
      </c>
      <c r="G279" s="53">
        <f t="shared" si="36"/>
        <v>7260274</v>
      </c>
      <c r="H279" s="9">
        <f t="shared" si="37"/>
        <v>798630</v>
      </c>
    </row>
    <row r="280" spans="1:8" x14ac:dyDescent="0.25">
      <c r="A280" s="5">
        <v>260</v>
      </c>
      <c r="B280" s="55">
        <f t="shared" si="31"/>
        <v>237610</v>
      </c>
      <c r="C280" s="55">
        <f t="shared" si="32"/>
        <v>5</v>
      </c>
      <c r="D280" s="55">
        <f t="shared" si="33"/>
        <v>9762962</v>
      </c>
      <c r="E280" s="9">
        <f t="shared" si="34"/>
        <v>1</v>
      </c>
      <c r="F280" s="53">
        <f t="shared" si="35"/>
        <v>2739726</v>
      </c>
      <c r="G280" s="53">
        <f t="shared" si="36"/>
        <v>7260274</v>
      </c>
      <c r="H280" s="9">
        <f t="shared" si="37"/>
        <v>798630</v>
      </c>
    </row>
    <row r="281" spans="1:8" x14ac:dyDescent="0.25">
      <c r="A281" s="5">
        <v>261</v>
      </c>
      <c r="B281" s="55">
        <f t="shared" si="31"/>
        <v>237610</v>
      </c>
      <c r="C281" s="55">
        <f t="shared" si="32"/>
        <v>5</v>
      </c>
      <c r="D281" s="55">
        <f t="shared" si="33"/>
        <v>9762963</v>
      </c>
      <c r="E281" s="9">
        <f t="shared" si="34"/>
        <v>1</v>
      </c>
      <c r="F281" s="53">
        <f t="shared" si="35"/>
        <v>2739726</v>
      </c>
      <c r="G281" s="53">
        <f t="shared" si="36"/>
        <v>7260274</v>
      </c>
      <c r="H281" s="9">
        <f t="shared" si="37"/>
        <v>798630</v>
      </c>
    </row>
    <row r="282" spans="1:8" x14ac:dyDescent="0.25">
      <c r="A282" s="5">
        <v>262</v>
      </c>
      <c r="B282" s="55">
        <f t="shared" si="31"/>
        <v>237610</v>
      </c>
      <c r="C282" s="55">
        <f t="shared" si="32"/>
        <v>5</v>
      </c>
      <c r="D282" s="55">
        <f t="shared" si="33"/>
        <v>9762964</v>
      </c>
      <c r="E282" s="9">
        <f t="shared" si="34"/>
        <v>1</v>
      </c>
      <c r="F282" s="53">
        <f t="shared" si="35"/>
        <v>2739726</v>
      </c>
      <c r="G282" s="53">
        <f t="shared" si="36"/>
        <v>7260274</v>
      </c>
      <c r="H282" s="9">
        <f t="shared" si="37"/>
        <v>798630</v>
      </c>
    </row>
    <row r="283" spans="1:8" x14ac:dyDescent="0.25">
      <c r="A283" s="5">
        <v>263</v>
      </c>
      <c r="B283" s="55">
        <f t="shared" si="31"/>
        <v>237610</v>
      </c>
      <c r="C283" s="55">
        <f t="shared" si="32"/>
        <v>5</v>
      </c>
      <c r="D283" s="55">
        <f t="shared" si="33"/>
        <v>9762965</v>
      </c>
      <c r="E283" s="9">
        <f t="shared" si="34"/>
        <v>1</v>
      </c>
      <c r="F283" s="53">
        <f t="shared" si="35"/>
        <v>2739726</v>
      </c>
      <c r="G283" s="53">
        <f t="shared" si="36"/>
        <v>7260274</v>
      </c>
      <c r="H283" s="9">
        <f t="shared" si="37"/>
        <v>798630</v>
      </c>
    </row>
    <row r="284" spans="1:8" x14ac:dyDescent="0.25">
      <c r="A284" s="5">
        <v>264</v>
      </c>
      <c r="B284" s="55">
        <f t="shared" si="31"/>
        <v>237610</v>
      </c>
      <c r="C284" s="55">
        <f t="shared" si="32"/>
        <v>5</v>
      </c>
      <c r="D284" s="55">
        <f t="shared" si="33"/>
        <v>9762966</v>
      </c>
      <c r="E284" s="9">
        <f t="shared" si="34"/>
        <v>1</v>
      </c>
      <c r="F284" s="53">
        <f t="shared" si="35"/>
        <v>2739726</v>
      </c>
      <c r="G284" s="53">
        <f t="shared" si="36"/>
        <v>7260274</v>
      </c>
      <c r="H284" s="9">
        <f t="shared" si="37"/>
        <v>798630</v>
      </c>
    </row>
    <row r="285" spans="1:8" x14ac:dyDescent="0.25">
      <c r="A285" s="5">
        <v>265</v>
      </c>
      <c r="B285" s="55">
        <f t="shared" si="31"/>
        <v>237610</v>
      </c>
      <c r="C285" s="55">
        <f t="shared" si="32"/>
        <v>5</v>
      </c>
      <c r="D285" s="55">
        <f t="shared" si="33"/>
        <v>9762967</v>
      </c>
      <c r="E285" s="9">
        <f t="shared" si="34"/>
        <v>1</v>
      </c>
      <c r="F285" s="53">
        <f t="shared" si="35"/>
        <v>2739726</v>
      </c>
      <c r="G285" s="53">
        <f t="shared" si="36"/>
        <v>7260274</v>
      </c>
      <c r="H285" s="9">
        <f t="shared" si="37"/>
        <v>798630</v>
      </c>
    </row>
    <row r="286" spans="1:8" x14ac:dyDescent="0.25">
      <c r="A286" s="5">
        <v>266</v>
      </c>
      <c r="B286" s="55">
        <f t="shared" si="31"/>
        <v>237610</v>
      </c>
      <c r="C286" s="55">
        <f t="shared" si="32"/>
        <v>5</v>
      </c>
      <c r="D286" s="55">
        <f t="shared" si="33"/>
        <v>9762968</v>
      </c>
      <c r="E286" s="9">
        <f t="shared" si="34"/>
        <v>1</v>
      </c>
      <c r="F286" s="53">
        <f t="shared" si="35"/>
        <v>2739726</v>
      </c>
      <c r="G286" s="53">
        <f t="shared" si="36"/>
        <v>7260274</v>
      </c>
      <c r="H286" s="9">
        <f t="shared" si="37"/>
        <v>798630</v>
      </c>
    </row>
    <row r="287" spans="1:8" x14ac:dyDescent="0.25">
      <c r="A287" s="5">
        <v>267</v>
      </c>
      <c r="B287" s="55">
        <f t="shared" si="31"/>
        <v>237610</v>
      </c>
      <c r="C287" s="55">
        <f t="shared" si="32"/>
        <v>5</v>
      </c>
      <c r="D287" s="55">
        <f t="shared" si="33"/>
        <v>9762969</v>
      </c>
      <c r="E287" s="9">
        <f t="shared" si="34"/>
        <v>1</v>
      </c>
      <c r="F287" s="53">
        <f t="shared" si="35"/>
        <v>2739726</v>
      </c>
      <c r="G287" s="53">
        <f t="shared" si="36"/>
        <v>7260274</v>
      </c>
      <c r="H287" s="9">
        <f t="shared" si="37"/>
        <v>798630</v>
      </c>
    </row>
    <row r="288" spans="1:8" x14ac:dyDescent="0.25">
      <c r="A288" s="5">
        <v>268</v>
      </c>
      <c r="B288" s="55">
        <f t="shared" si="31"/>
        <v>237610</v>
      </c>
      <c r="C288" s="55">
        <f t="shared" si="32"/>
        <v>5</v>
      </c>
      <c r="D288" s="55">
        <f t="shared" si="33"/>
        <v>9762970</v>
      </c>
      <c r="E288" s="9">
        <f t="shared" si="34"/>
        <v>1</v>
      </c>
      <c r="F288" s="53">
        <f t="shared" si="35"/>
        <v>2739726</v>
      </c>
      <c r="G288" s="53">
        <f t="shared" si="36"/>
        <v>7260274</v>
      </c>
      <c r="H288" s="9">
        <f t="shared" si="37"/>
        <v>798630</v>
      </c>
    </row>
    <row r="289" spans="1:8" x14ac:dyDescent="0.25">
      <c r="A289" s="5">
        <v>269</v>
      </c>
      <c r="B289" s="55">
        <f t="shared" si="31"/>
        <v>237610</v>
      </c>
      <c r="C289" s="55">
        <f t="shared" si="32"/>
        <v>5</v>
      </c>
      <c r="D289" s="55">
        <f t="shared" si="33"/>
        <v>9762971</v>
      </c>
      <c r="E289" s="9">
        <f t="shared" si="34"/>
        <v>1</v>
      </c>
      <c r="F289" s="53">
        <f t="shared" si="35"/>
        <v>2739726</v>
      </c>
      <c r="G289" s="53">
        <f t="shared" si="36"/>
        <v>7260274</v>
      </c>
      <c r="H289" s="9">
        <f t="shared" si="37"/>
        <v>798630</v>
      </c>
    </row>
    <row r="290" spans="1:8" x14ac:dyDescent="0.25">
      <c r="A290" s="5">
        <v>270</v>
      </c>
      <c r="B290" s="55">
        <f t="shared" si="31"/>
        <v>237610</v>
      </c>
      <c r="C290" s="55">
        <f t="shared" si="32"/>
        <v>5</v>
      </c>
      <c r="D290" s="55">
        <f t="shared" si="33"/>
        <v>9762972</v>
      </c>
      <c r="E290" s="9">
        <f t="shared" si="34"/>
        <v>1</v>
      </c>
      <c r="F290" s="53">
        <f t="shared" si="35"/>
        <v>2739726</v>
      </c>
      <c r="G290" s="53">
        <f t="shared" si="36"/>
        <v>7260274</v>
      </c>
      <c r="H290" s="9">
        <f t="shared" si="37"/>
        <v>798630</v>
      </c>
    </row>
    <row r="291" spans="1:8" x14ac:dyDescent="0.25">
      <c r="A291" s="5">
        <v>271</v>
      </c>
      <c r="B291" s="55">
        <f t="shared" si="31"/>
        <v>237610</v>
      </c>
      <c r="C291" s="55">
        <f t="shared" si="32"/>
        <v>5</v>
      </c>
      <c r="D291" s="55">
        <f t="shared" si="33"/>
        <v>9762973</v>
      </c>
      <c r="E291" s="9">
        <f t="shared" si="34"/>
        <v>1</v>
      </c>
      <c r="F291" s="53">
        <f t="shared" si="35"/>
        <v>2739726</v>
      </c>
      <c r="G291" s="53">
        <f t="shared" si="36"/>
        <v>7260274</v>
      </c>
      <c r="H291" s="9">
        <f t="shared" si="37"/>
        <v>798630</v>
      </c>
    </row>
    <row r="292" spans="1:8" x14ac:dyDescent="0.25">
      <c r="A292" s="5">
        <v>272</v>
      </c>
      <c r="B292" s="55">
        <f t="shared" si="31"/>
        <v>237610</v>
      </c>
      <c r="C292" s="55">
        <f t="shared" si="32"/>
        <v>5</v>
      </c>
      <c r="D292" s="55">
        <f t="shared" si="33"/>
        <v>9762974</v>
      </c>
      <c r="E292" s="9">
        <f t="shared" si="34"/>
        <v>1</v>
      </c>
      <c r="F292" s="53">
        <f t="shared" si="35"/>
        <v>2739726</v>
      </c>
      <c r="G292" s="53">
        <f t="shared" si="36"/>
        <v>7260274</v>
      </c>
      <c r="H292" s="9">
        <f t="shared" si="37"/>
        <v>798630</v>
      </c>
    </row>
    <row r="293" spans="1:8" x14ac:dyDescent="0.25">
      <c r="A293" s="5">
        <v>273</v>
      </c>
      <c r="B293" s="55">
        <f t="shared" si="31"/>
        <v>237610</v>
      </c>
      <c r="C293" s="55">
        <f t="shared" si="32"/>
        <v>5</v>
      </c>
      <c r="D293" s="55">
        <f t="shared" si="33"/>
        <v>9762975</v>
      </c>
      <c r="E293" s="9">
        <f t="shared" si="34"/>
        <v>1</v>
      </c>
      <c r="F293" s="53">
        <f t="shared" si="35"/>
        <v>2739726</v>
      </c>
      <c r="G293" s="53">
        <f t="shared" si="36"/>
        <v>7260274</v>
      </c>
      <c r="H293" s="9">
        <f t="shared" si="37"/>
        <v>798630</v>
      </c>
    </row>
    <row r="294" spans="1:8" x14ac:dyDescent="0.25">
      <c r="A294" s="5">
        <v>274</v>
      </c>
      <c r="B294" s="55">
        <f t="shared" si="31"/>
        <v>237610</v>
      </c>
      <c r="C294" s="55">
        <f t="shared" si="32"/>
        <v>5</v>
      </c>
      <c r="D294" s="55">
        <f t="shared" si="33"/>
        <v>9762976</v>
      </c>
      <c r="E294" s="9">
        <f t="shared" si="34"/>
        <v>1</v>
      </c>
      <c r="F294" s="53">
        <f t="shared" si="35"/>
        <v>2739726</v>
      </c>
      <c r="G294" s="53">
        <f t="shared" si="36"/>
        <v>7260274</v>
      </c>
      <c r="H294" s="9">
        <f t="shared" si="37"/>
        <v>798630</v>
      </c>
    </row>
    <row r="295" spans="1:8" x14ac:dyDescent="0.25">
      <c r="A295" s="5">
        <v>275</v>
      </c>
      <c r="B295" s="55">
        <f t="shared" si="31"/>
        <v>237610</v>
      </c>
      <c r="C295" s="55">
        <f t="shared" si="32"/>
        <v>5</v>
      </c>
      <c r="D295" s="55">
        <f t="shared" si="33"/>
        <v>9762977</v>
      </c>
      <c r="E295" s="9">
        <f t="shared" si="34"/>
        <v>1</v>
      </c>
      <c r="F295" s="53">
        <f t="shared" si="35"/>
        <v>2739726</v>
      </c>
      <c r="G295" s="53">
        <f t="shared" si="36"/>
        <v>7260274</v>
      </c>
      <c r="H295" s="9">
        <f t="shared" si="37"/>
        <v>798630</v>
      </c>
    </row>
    <row r="296" spans="1:8" x14ac:dyDescent="0.25">
      <c r="A296" s="5">
        <v>276</v>
      </c>
      <c r="B296" s="55">
        <f t="shared" si="31"/>
        <v>237610</v>
      </c>
      <c r="C296" s="55">
        <f t="shared" si="32"/>
        <v>5</v>
      </c>
      <c r="D296" s="55">
        <f t="shared" si="33"/>
        <v>9762978</v>
      </c>
      <c r="E296" s="9">
        <f t="shared" si="34"/>
        <v>1</v>
      </c>
      <c r="F296" s="53">
        <f t="shared" si="35"/>
        <v>2739726</v>
      </c>
      <c r="G296" s="53">
        <f t="shared" si="36"/>
        <v>7260274</v>
      </c>
      <c r="H296" s="9">
        <f t="shared" si="37"/>
        <v>798630</v>
      </c>
    </row>
    <row r="297" spans="1:8" x14ac:dyDescent="0.25">
      <c r="A297" s="5">
        <v>277</v>
      </c>
      <c r="B297" s="55">
        <f t="shared" si="31"/>
        <v>237610</v>
      </c>
      <c r="C297" s="55">
        <f t="shared" si="32"/>
        <v>5</v>
      </c>
      <c r="D297" s="55">
        <f t="shared" si="33"/>
        <v>9762979</v>
      </c>
      <c r="E297" s="9">
        <f t="shared" si="34"/>
        <v>1</v>
      </c>
      <c r="F297" s="53">
        <f t="shared" si="35"/>
        <v>2739726</v>
      </c>
      <c r="G297" s="53">
        <f t="shared" si="36"/>
        <v>7260274</v>
      </c>
      <c r="H297" s="9">
        <f t="shared" si="37"/>
        <v>798630</v>
      </c>
    </row>
    <row r="298" spans="1:8" x14ac:dyDescent="0.25">
      <c r="A298" s="5">
        <v>278</v>
      </c>
      <c r="B298" s="55">
        <f t="shared" si="31"/>
        <v>237610</v>
      </c>
      <c r="C298" s="55">
        <f t="shared" si="32"/>
        <v>5</v>
      </c>
      <c r="D298" s="55">
        <f t="shared" si="33"/>
        <v>9762980</v>
      </c>
      <c r="E298" s="9">
        <f t="shared" si="34"/>
        <v>1</v>
      </c>
      <c r="F298" s="53">
        <f t="shared" si="35"/>
        <v>2739726</v>
      </c>
      <c r="G298" s="53">
        <f t="shared" si="36"/>
        <v>7260274</v>
      </c>
      <c r="H298" s="9">
        <f t="shared" si="37"/>
        <v>798630</v>
      </c>
    </row>
    <row r="299" spans="1:8" x14ac:dyDescent="0.25">
      <c r="A299" s="5">
        <v>279</v>
      </c>
      <c r="B299" s="55">
        <f t="shared" si="31"/>
        <v>237610</v>
      </c>
      <c r="C299" s="55">
        <f t="shared" si="32"/>
        <v>5</v>
      </c>
      <c r="D299" s="55">
        <f t="shared" si="33"/>
        <v>9762981</v>
      </c>
      <c r="E299" s="9">
        <f t="shared" si="34"/>
        <v>1</v>
      </c>
      <c r="F299" s="53">
        <f t="shared" si="35"/>
        <v>2739726</v>
      </c>
      <c r="G299" s="53">
        <f t="shared" si="36"/>
        <v>7260274</v>
      </c>
      <c r="H299" s="9">
        <f t="shared" si="37"/>
        <v>798630</v>
      </c>
    </row>
    <row r="300" spans="1:8" x14ac:dyDescent="0.25">
      <c r="A300" s="5">
        <v>280</v>
      </c>
      <c r="B300" s="55">
        <f t="shared" si="31"/>
        <v>237610</v>
      </c>
      <c r="C300" s="55">
        <f t="shared" si="32"/>
        <v>5</v>
      </c>
      <c r="D300" s="55">
        <f t="shared" si="33"/>
        <v>9762982</v>
      </c>
      <c r="E300" s="9">
        <f t="shared" si="34"/>
        <v>1</v>
      </c>
      <c r="F300" s="53">
        <f t="shared" si="35"/>
        <v>2739726</v>
      </c>
      <c r="G300" s="53">
        <f t="shared" si="36"/>
        <v>7260274</v>
      </c>
      <c r="H300" s="9">
        <f t="shared" si="37"/>
        <v>798630</v>
      </c>
    </row>
    <row r="301" spans="1:8" x14ac:dyDescent="0.25">
      <c r="A301" s="5">
        <v>281</v>
      </c>
      <c r="B301" s="55">
        <f t="shared" si="31"/>
        <v>237610</v>
      </c>
      <c r="C301" s="55">
        <f t="shared" si="32"/>
        <v>5</v>
      </c>
      <c r="D301" s="55">
        <f t="shared" si="33"/>
        <v>9762983</v>
      </c>
      <c r="E301" s="9">
        <f t="shared" si="34"/>
        <v>1</v>
      </c>
      <c r="F301" s="53">
        <f t="shared" si="35"/>
        <v>2739726</v>
      </c>
      <c r="G301" s="53">
        <f t="shared" si="36"/>
        <v>7260274</v>
      </c>
      <c r="H301" s="9">
        <f t="shared" si="37"/>
        <v>798630</v>
      </c>
    </row>
    <row r="302" spans="1:8" x14ac:dyDescent="0.25">
      <c r="A302" s="5">
        <v>282</v>
      </c>
      <c r="B302" s="55">
        <f t="shared" si="31"/>
        <v>237610</v>
      </c>
      <c r="C302" s="55">
        <f t="shared" si="32"/>
        <v>5</v>
      </c>
      <c r="D302" s="55">
        <f t="shared" si="33"/>
        <v>9762984</v>
      </c>
      <c r="E302" s="9">
        <f t="shared" si="34"/>
        <v>1</v>
      </c>
      <c r="F302" s="53">
        <f t="shared" si="35"/>
        <v>2739726</v>
      </c>
      <c r="G302" s="53">
        <f t="shared" si="36"/>
        <v>7260274</v>
      </c>
      <c r="H302" s="9">
        <f t="shared" si="37"/>
        <v>798630</v>
      </c>
    </row>
    <row r="303" spans="1:8" x14ac:dyDescent="0.25">
      <c r="A303" s="5">
        <v>283</v>
      </c>
      <c r="B303" s="55">
        <f t="shared" si="31"/>
        <v>237610</v>
      </c>
      <c r="C303" s="55">
        <f t="shared" si="32"/>
        <v>5</v>
      </c>
      <c r="D303" s="55">
        <f t="shared" si="33"/>
        <v>9762985</v>
      </c>
      <c r="E303" s="9">
        <f t="shared" si="34"/>
        <v>1</v>
      </c>
      <c r="F303" s="53">
        <f t="shared" si="35"/>
        <v>2739726</v>
      </c>
      <c r="G303" s="53">
        <f t="shared" si="36"/>
        <v>7260274</v>
      </c>
      <c r="H303" s="9">
        <f t="shared" si="37"/>
        <v>798630</v>
      </c>
    </row>
    <row r="304" spans="1:8" x14ac:dyDescent="0.25">
      <c r="A304" s="5">
        <v>284</v>
      </c>
      <c r="B304" s="55">
        <f t="shared" si="31"/>
        <v>237610</v>
      </c>
      <c r="C304" s="55">
        <f t="shared" si="32"/>
        <v>5</v>
      </c>
      <c r="D304" s="55">
        <f t="shared" si="33"/>
        <v>9762986</v>
      </c>
      <c r="E304" s="9">
        <f t="shared" si="34"/>
        <v>1</v>
      </c>
      <c r="F304" s="53">
        <f t="shared" si="35"/>
        <v>2739726</v>
      </c>
      <c r="G304" s="53">
        <f t="shared" si="36"/>
        <v>7260274</v>
      </c>
      <c r="H304" s="9">
        <f t="shared" si="37"/>
        <v>798630</v>
      </c>
    </row>
    <row r="305" spans="1:8" x14ac:dyDescent="0.25">
      <c r="A305" s="5">
        <v>285</v>
      </c>
      <c r="B305" s="55">
        <f t="shared" si="31"/>
        <v>237610</v>
      </c>
      <c r="C305" s="55">
        <f t="shared" si="32"/>
        <v>5</v>
      </c>
      <c r="D305" s="55">
        <f t="shared" si="33"/>
        <v>9762987</v>
      </c>
      <c r="E305" s="9">
        <f t="shared" si="34"/>
        <v>1</v>
      </c>
      <c r="F305" s="53">
        <f t="shared" si="35"/>
        <v>2739726</v>
      </c>
      <c r="G305" s="53">
        <f t="shared" si="36"/>
        <v>7260274</v>
      </c>
      <c r="H305" s="9">
        <f t="shared" si="37"/>
        <v>798630</v>
      </c>
    </row>
    <row r="306" spans="1:8" x14ac:dyDescent="0.25">
      <c r="A306" s="5">
        <v>286</v>
      </c>
      <c r="B306" s="55">
        <f t="shared" si="31"/>
        <v>237610</v>
      </c>
      <c r="C306" s="55">
        <f t="shared" si="32"/>
        <v>5</v>
      </c>
      <c r="D306" s="55">
        <f t="shared" si="33"/>
        <v>9762988</v>
      </c>
      <c r="E306" s="9">
        <f t="shared" si="34"/>
        <v>1</v>
      </c>
      <c r="F306" s="53">
        <f t="shared" si="35"/>
        <v>2739726</v>
      </c>
      <c r="G306" s="53">
        <f t="shared" si="36"/>
        <v>7260274</v>
      </c>
      <c r="H306" s="9">
        <f t="shared" si="37"/>
        <v>798630</v>
      </c>
    </row>
    <row r="307" spans="1:8" x14ac:dyDescent="0.25">
      <c r="A307" s="5">
        <v>287</v>
      </c>
      <c r="B307" s="55">
        <f t="shared" si="31"/>
        <v>237610</v>
      </c>
      <c r="C307" s="55">
        <f t="shared" si="32"/>
        <v>5</v>
      </c>
      <c r="D307" s="55">
        <f t="shared" si="33"/>
        <v>9762989</v>
      </c>
      <c r="E307" s="9">
        <f t="shared" si="34"/>
        <v>1</v>
      </c>
      <c r="F307" s="53">
        <f t="shared" si="35"/>
        <v>2739726</v>
      </c>
      <c r="G307" s="53">
        <f t="shared" si="36"/>
        <v>7260274</v>
      </c>
      <c r="H307" s="9">
        <f t="shared" si="37"/>
        <v>798630</v>
      </c>
    </row>
    <row r="308" spans="1:8" x14ac:dyDescent="0.25">
      <c r="A308" s="5">
        <v>288</v>
      </c>
      <c r="B308" s="55">
        <f t="shared" si="31"/>
        <v>237610</v>
      </c>
      <c r="C308" s="55">
        <f t="shared" si="32"/>
        <v>5</v>
      </c>
      <c r="D308" s="55">
        <f t="shared" si="33"/>
        <v>9762990</v>
      </c>
      <c r="E308" s="9">
        <f t="shared" si="34"/>
        <v>1</v>
      </c>
      <c r="F308" s="53">
        <f t="shared" si="35"/>
        <v>2739726</v>
      </c>
      <c r="G308" s="53">
        <f t="shared" si="36"/>
        <v>7260274</v>
      </c>
      <c r="H308" s="9">
        <f t="shared" si="37"/>
        <v>798630</v>
      </c>
    </row>
    <row r="309" spans="1:8" x14ac:dyDescent="0.25">
      <c r="A309" s="5">
        <v>289</v>
      </c>
      <c r="B309" s="55">
        <f t="shared" si="31"/>
        <v>237610</v>
      </c>
      <c r="C309" s="55">
        <f t="shared" si="32"/>
        <v>5</v>
      </c>
      <c r="D309" s="55">
        <f t="shared" si="33"/>
        <v>9762991</v>
      </c>
      <c r="E309" s="9">
        <f t="shared" si="34"/>
        <v>1</v>
      </c>
      <c r="F309" s="53">
        <f t="shared" si="35"/>
        <v>2739726</v>
      </c>
      <c r="G309" s="53">
        <f t="shared" si="36"/>
        <v>7260274</v>
      </c>
      <c r="H309" s="9">
        <f t="shared" si="37"/>
        <v>798630</v>
      </c>
    </row>
    <row r="310" spans="1:8" x14ac:dyDescent="0.25">
      <c r="A310" s="5">
        <v>290</v>
      </c>
      <c r="B310" s="55">
        <f t="shared" si="31"/>
        <v>237610</v>
      </c>
      <c r="C310" s="55">
        <f t="shared" si="32"/>
        <v>5</v>
      </c>
      <c r="D310" s="55">
        <f t="shared" si="33"/>
        <v>9762992</v>
      </c>
      <c r="E310" s="9">
        <f t="shared" si="34"/>
        <v>1</v>
      </c>
      <c r="F310" s="53">
        <f t="shared" si="35"/>
        <v>2739726</v>
      </c>
      <c r="G310" s="53">
        <f t="shared" si="36"/>
        <v>7260274</v>
      </c>
      <c r="H310" s="9">
        <f t="shared" si="37"/>
        <v>798630</v>
      </c>
    </row>
    <row r="311" spans="1:8" x14ac:dyDescent="0.25">
      <c r="A311" s="5">
        <v>291</v>
      </c>
      <c r="B311" s="55">
        <f t="shared" si="31"/>
        <v>237610</v>
      </c>
      <c r="C311" s="55">
        <f t="shared" si="32"/>
        <v>5</v>
      </c>
      <c r="D311" s="55">
        <f t="shared" si="33"/>
        <v>9762993</v>
      </c>
      <c r="E311" s="9">
        <f t="shared" si="34"/>
        <v>1</v>
      </c>
      <c r="F311" s="53">
        <f t="shared" si="35"/>
        <v>2739726</v>
      </c>
      <c r="G311" s="53">
        <f t="shared" si="36"/>
        <v>7260274</v>
      </c>
      <c r="H311" s="9">
        <f t="shared" si="37"/>
        <v>798630</v>
      </c>
    </row>
    <row r="312" spans="1:8" x14ac:dyDescent="0.25">
      <c r="A312" s="5">
        <v>292</v>
      </c>
      <c r="B312" s="55">
        <f t="shared" si="31"/>
        <v>237610</v>
      </c>
      <c r="C312" s="55">
        <f t="shared" si="32"/>
        <v>5</v>
      </c>
      <c r="D312" s="55">
        <f t="shared" si="33"/>
        <v>9762994</v>
      </c>
      <c r="E312" s="9">
        <f t="shared" si="34"/>
        <v>1</v>
      </c>
      <c r="F312" s="53">
        <f t="shared" si="35"/>
        <v>2739726</v>
      </c>
      <c r="G312" s="53">
        <f t="shared" si="36"/>
        <v>7260274</v>
      </c>
      <c r="H312" s="9">
        <f t="shared" si="37"/>
        <v>798630</v>
      </c>
    </row>
    <row r="313" spans="1:8" x14ac:dyDescent="0.25">
      <c r="A313" s="5">
        <v>293</v>
      </c>
      <c r="B313" s="55">
        <f t="shared" si="31"/>
        <v>237610</v>
      </c>
      <c r="C313" s="55">
        <f t="shared" si="32"/>
        <v>5</v>
      </c>
      <c r="D313" s="55">
        <f t="shared" si="33"/>
        <v>9762995</v>
      </c>
      <c r="E313" s="9">
        <f t="shared" si="34"/>
        <v>1</v>
      </c>
      <c r="F313" s="53">
        <f t="shared" si="35"/>
        <v>2739726</v>
      </c>
      <c r="G313" s="53">
        <f t="shared" si="36"/>
        <v>7260274</v>
      </c>
      <c r="H313" s="9">
        <f t="shared" si="37"/>
        <v>798630</v>
      </c>
    </row>
    <row r="314" spans="1:8" x14ac:dyDescent="0.25">
      <c r="A314" s="5">
        <v>294</v>
      </c>
      <c r="B314" s="55">
        <f t="shared" si="31"/>
        <v>237610</v>
      </c>
      <c r="C314" s="55">
        <f t="shared" si="32"/>
        <v>5</v>
      </c>
      <c r="D314" s="55">
        <f t="shared" si="33"/>
        <v>9762996</v>
      </c>
      <c r="E314" s="9">
        <f t="shared" si="34"/>
        <v>1</v>
      </c>
      <c r="F314" s="53">
        <f t="shared" si="35"/>
        <v>2739726</v>
      </c>
      <c r="G314" s="53">
        <f t="shared" si="36"/>
        <v>7260274</v>
      </c>
      <c r="H314" s="9">
        <f t="shared" si="37"/>
        <v>798630</v>
      </c>
    </row>
    <row r="315" spans="1:8" x14ac:dyDescent="0.25">
      <c r="A315" s="5">
        <v>295</v>
      </c>
      <c r="B315" s="55">
        <f t="shared" si="31"/>
        <v>237610</v>
      </c>
      <c r="C315" s="55">
        <f t="shared" si="32"/>
        <v>5</v>
      </c>
      <c r="D315" s="55">
        <f t="shared" si="33"/>
        <v>9762997</v>
      </c>
      <c r="E315" s="9">
        <f t="shared" si="34"/>
        <v>1</v>
      </c>
      <c r="F315" s="53">
        <f t="shared" si="35"/>
        <v>2739726</v>
      </c>
      <c r="G315" s="53">
        <f t="shared" si="36"/>
        <v>7260274</v>
      </c>
      <c r="H315" s="9">
        <f t="shared" si="37"/>
        <v>798630</v>
      </c>
    </row>
    <row r="316" spans="1:8" x14ac:dyDescent="0.25">
      <c r="A316" s="5">
        <v>296</v>
      </c>
      <c r="B316" s="55">
        <f t="shared" si="31"/>
        <v>237610</v>
      </c>
      <c r="C316" s="55">
        <f t="shared" si="32"/>
        <v>5</v>
      </c>
      <c r="D316" s="55">
        <f t="shared" si="33"/>
        <v>9762998</v>
      </c>
      <c r="E316" s="9">
        <f t="shared" si="34"/>
        <v>1</v>
      </c>
      <c r="F316" s="53">
        <f t="shared" si="35"/>
        <v>2739726</v>
      </c>
      <c r="G316" s="53">
        <f t="shared" si="36"/>
        <v>7260274</v>
      </c>
      <c r="H316" s="9">
        <f t="shared" si="37"/>
        <v>798630</v>
      </c>
    </row>
    <row r="317" spans="1:8" x14ac:dyDescent="0.25">
      <c r="A317" s="5">
        <v>297</v>
      </c>
      <c r="B317" s="55">
        <f t="shared" si="31"/>
        <v>237610</v>
      </c>
      <c r="C317" s="55">
        <f t="shared" si="32"/>
        <v>5</v>
      </c>
      <c r="D317" s="55">
        <f t="shared" si="33"/>
        <v>9762999</v>
      </c>
      <c r="E317" s="9">
        <f t="shared" si="34"/>
        <v>1</v>
      </c>
      <c r="F317" s="53">
        <f t="shared" si="35"/>
        <v>2739726</v>
      </c>
      <c r="G317" s="53">
        <f t="shared" si="36"/>
        <v>7260274</v>
      </c>
      <c r="H317" s="9">
        <f t="shared" si="37"/>
        <v>798630</v>
      </c>
    </row>
    <row r="318" spans="1:8" x14ac:dyDescent="0.25">
      <c r="A318" s="5">
        <v>298</v>
      </c>
      <c r="B318" s="55">
        <f t="shared" si="31"/>
        <v>237610</v>
      </c>
      <c r="C318" s="55">
        <f t="shared" si="32"/>
        <v>5</v>
      </c>
      <c r="D318" s="55">
        <f t="shared" si="33"/>
        <v>9763000</v>
      </c>
      <c r="E318" s="9">
        <f t="shared" si="34"/>
        <v>1</v>
      </c>
      <c r="F318" s="53">
        <f t="shared" si="35"/>
        <v>2739726</v>
      </c>
      <c r="G318" s="53">
        <f t="shared" si="36"/>
        <v>7260274</v>
      </c>
      <c r="H318" s="9">
        <f t="shared" si="37"/>
        <v>798630</v>
      </c>
    </row>
    <row r="319" spans="1:8" x14ac:dyDescent="0.25">
      <c r="A319" s="5">
        <v>299</v>
      </c>
      <c r="B319" s="55">
        <f t="shared" si="31"/>
        <v>237610</v>
      </c>
      <c r="C319" s="55">
        <f t="shared" si="32"/>
        <v>5</v>
      </c>
      <c r="D319" s="55">
        <f t="shared" si="33"/>
        <v>9763001</v>
      </c>
      <c r="E319" s="9">
        <f t="shared" si="34"/>
        <v>1</v>
      </c>
      <c r="F319" s="53">
        <f t="shared" si="35"/>
        <v>2739726</v>
      </c>
      <c r="G319" s="53">
        <f t="shared" si="36"/>
        <v>7260274</v>
      </c>
      <c r="H319" s="9">
        <f t="shared" si="37"/>
        <v>798630</v>
      </c>
    </row>
    <row r="320" spans="1:8" x14ac:dyDescent="0.25">
      <c r="A320" s="5">
        <v>300</v>
      </c>
      <c r="B320" s="55">
        <f t="shared" si="31"/>
        <v>237610</v>
      </c>
      <c r="C320" s="55">
        <f t="shared" si="32"/>
        <v>5</v>
      </c>
      <c r="D320" s="55">
        <f t="shared" si="33"/>
        <v>9763002</v>
      </c>
      <c r="E320" s="9">
        <f t="shared" si="34"/>
        <v>1</v>
      </c>
      <c r="F320" s="53">
        <f t="shared" si="35"/>
        <v>2739726</v>
      </c>
      <c r="G320" s="53">
        <f t="shared" si="36"/>
        <v>7260274</v>
      </c>
      <c r="H320" s="9">
        <f t="shared" si="37"/>
        <v>798630</v>
      </c>
    </row>
    <row r="321" spans="1:8" x14ac:dyDescent="0.25">
      <c r="A321" s="5">
        <v>301</v>
      </c>
      <c r="B321" s="55">
        <f t="shared" si="31"/>
        <v>237610</v>
      </c>
      <c r="C321" s="55">
        <f t="shared" si="32"/>
        <v>5</v>
      </c>
      <c r="D321" s="55">
        <f t="shared" si="33"/>
        <v>9763003</v>
      </c>
      <c r="E321" s="9">
        <f t="shared" si="34"/>
        <v>1</v>
      </c>
      <c r="F321" s="53">
        <f t="shared" si="35"/>
        <v>2739726</v>
      </c>
      <c r="G321" s="53">
        <f t="shared" si="36"/>
        <v>7260274</v>
      </c>
      <c r="H321" s="9">
        <f t="shared" si="37"/>
        <v>798630</v>
      </c>
    </row>
    <row r="322" spans="1:8" x14ac:dyDescent="0.25">
      <c r="A322" s="5">
        <v>302</v>
      </c>
      <c r="B322" s="55">
        <f t="shared" si="31"/>
        <v>237610</v>
      </c>
      <c r="C322" s="55">
        <f t="shared" si="32"/>
        <v>5</v>
      </c>
      <c r="D322" s="55">
        <f t="shared" si="33"/>
        <v>9763004</v>
      </c>
      <c r="E322" s="9">
        <f t="shared" si="34"/>
        <v>1</v>
      </c>
      <c r="F322" s="53">
        <f t="shared" si="35"/>
        <v>2739726</v>
      </c>
      <c r="G322" s="53">
        <f t="shared" si="36"/>
        <v>7260274</v>
      </c>
      <c r="H322" s="9">
        <f t="shared" si="37"/>
        <v>798630</v>
      </c>
    </row>
    <row r="323" spans="1:8" x14ac:dyDescent="0.25">
      <c r="A323" s="5">
        <v>303</v>
      </c>
      <c r="B323" s="55">
        <f t="shared" si="31"/>
        <v>237610</v>
      </c>
      <c r="C323" s="55">
        <f t="shared" si="32"/>
        <v>5</v>
      </c>
      <c r="D323" s="55">
        <f t="shared" si="33"/>
        <v>9763005</v>
      </c>
      <c r="E323" s="9">
        <f t="shared" si="34"/>
        <v>1</v>
      </c>
      <c r="F323" s="53">
        <f t="shared" si="35"/>
        <v>2739726</v>
      </c>
      <c r="G323" s="53">
        <f t="shared" si="36"/>
        <v>7260274</v>
      </c>
      <c r="H323" s="9">
        <f t="shared" si="37"/>
        <v>798630</v>
      </c>
    </row>
    <row r="324" spans="1:8" x14ac:dyDescent="0.25">
      <c r="A324" s="5">
        <v>304</v>
      </c>
      <c r="B324" s="55">
        <f t="shared" si="31"/>
        <v>237610</v>
      </c>
      <c r="C324" s="55">
        <f t="shared" si="32"/>
        <v>5</v>
      </c>
      <c r="D324" s="55">
        <f t="shared" si="33"/>
        <v>9763006</v>
      </c>
      <c r="E324" s="9">
        <f t="shared" si="34"/>
        <v>1</v>
      </c>
      <c r="F324" s="53">
        <f t="shared" si="35"/>
        <v>2739726</v>
      </c>
      <c r="G324" s="53">
        <f t="shared" si="36"/>
        <v>7260274</v>
      </c>
      <c r="H324" s="9">
        <f t="shared" si="37"/>
        <v>798630</v>
      </c>
    </row>
    <row r="325" spans="1:8" x14ac:dyDescent="0.25">
      <c r="A325" s="5">
        <v>305</v>
      </c>
      <c r="B325" s="55">
        <f t="shared" si="31"/>
        <v>237610</v>
      </c>
      <c r="C325" s="55">
        <f t="shared" si="32"/>
        <v>5</v>
      </c>
      <c r="D325" s="55">
        <f t="shared" si="33"/>
        <v>9763007</v>
      </c>
      <c r="E325" s="9">
        <f t="shared" si="34"/>
        <v>1</v>
      </c>
      <c r="F325" s="53">
        <f t="shared" si="35"/>
        <v>2739726</v>
      </c>
      <c r="G325" s="53">
        <f t="shared" si="36"/>
        <v>7260274</v>
      </c>
      <c r="H325" s="9">
        <f t="shared" si="37"/>
        <v>798630</v>
      </c>
    </row>
    <row r="326" spans="1:8" x14ac:dyDescent="0.25">
      <c r="A326" s="5">
        <v>306</v>
      </c>
      <c r="B326" s="55">
        <f t="shared" si="31"/>
        <v>237610</v>
      </c>
      <c r="C326" s="55">
        <f t="shared" si="32"/>
        <v>5</v>
      </c>
      <c r="D326" s="55">
        <f t="shared" si="33"/>
        <v>9763008</v>
      </c>
      <c r="E326" s="9">
        <f t="shared" si="34"/>
        <v>1</v>
      </c>
      <c r="F326" s="53">
        <f t="shared" si="35"/>
        <v>2739726</v>
      </c>
      <c r="G326" s="53">
        <f t="shared" si="36"/>
        <v>7260274</v>
      </c>
      <c r="H326" s="9">
        <f t="shared" si="37"/>
        <v>798630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F7B0B-8586-4695-A688-6D5CC9B7BB63}">
  <sheetPr>
    <tabColor rgb="FF0070C0"/>
  </sheetPr>
  <dimension ref="A1"/>
  <sheetViews>
    <sheetView workbookViewId="0">
      <selection activeCell="A2" sqref="A2"/>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34DB5-B07D-4667-AD88-726F72CF44F6}">
  <sheetPr>
    <tabColor rgb="FFFF0000"/>
  </sheetPr>
  <dimension ref="A1"/>
  <sheetViews>
    <sheetView workbookViewId="0">
      <selection activeCell="A2" sqref="A2"/>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4E4C3-8A5C-47E4-88A3-4FD14EB90C6A}">
  <sheetPr>
    <tabColor rgb="FFFF0000"/>
  </sheetPr>
  <dimension ref="A1"/>
  <sheetViews>
    <sheetView workbookViewId="0">
      <selection activeCell="A2" sqref="A2"/>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3C293-97B7-42E2-B67A-FD8DCC602A58}">
  <sheetPr>
    <tabColor rgb="FFFFFF00"/>
  </sheetPr>
  <dimension ref="A1"/>
  <sheetViews>
    <sheetView workbookViewId="0">
      <selection activeCell="A2" sqref="A2"/>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97FF7-5B6B-4A70-B9BA-9010303B5D6B}">
  <sheetPr>
    <tabColor rgb="FF7030A0"/>
  </sheetPr>
  <dimension ref="AB2:AL19"/>
  <sheetViews>
    <sheetView workbookViewId="0">
      <selection activeCell="A2" sqref="A2"/>
    </sheetView>
  </sheetViews>
  <sheetFormatPr defaultRowHeight="15" x14ac:dyDescent="0.25"/>
  <cols>
    <col min="1" max="27" width="9.140625" style="1"/>
    <col min="28" max="28" width="15.5703125" style="49" bestFit="1" customWidth="1"/>
    <col min="29" max="29" width="6.5703125" style="5" bestFit="1" customWidth="1"/>
    <col min="30" max="33" width="6" style="5" bestFit="1" customWidth="1"/>
    <col min="34" max="34" width="7.140625" style="5" bestFit="1" customWidth="1"/>
    <col min="35" max="35" width="10.85546875" style="1" bestFit="1" customWidth="1"/>
    <col min="36" max="36" width="8.140625" style="1" bestFit="1" customWidth="1"/>
    <col min="37" max="37" width="10.42578125" style="1" bestFit="1" customWidth="1"/>
    <col min="38" max="38" width="10.140625" style="1" bestFit="1" customWidth="1"/>
    <col min="39" max="16384" width="9.140625" style="1"/>
  </cols>
  <sheetData>
    <row r="2" spans="28:38" x14ac:dyDescent="0.25">
      <c r="AB2" s="178" t="s">
        <v>1</v>
      </c>
      <c r="AC2" s="72" t="s">
        <v>301</v>
      </c>
      <c r="AD2" s="72" t="s">
        <v>302</v>
      </c>
      <c r="AE2" s="72" t="s">
        <v>303</v>
      </c>
      <c r="AF2" s="72" t="s">
        <v>304</v>
      </c>
      <c r="AG2" s="72" t="s">
        <v>305</v>
      </c>
      <c r="AH2" s="72" t="s">
        <v>306</v>
      </c>
      <c r="AI2" s="72" t="s">
        <v>335</v>
      </c>
      <c r="AJ2" s="72" t="s">
        <v>336</v>
      </c>
      <c r="AK2" s="72" t="s">
        <v>337</v>
      </c>
      <c r="AL2" s="72" t="s">
        <v>338</v>
      </c>
    </row>
    <row r="3" spans="28:38" x14ac:dyDescent="0.25">
      <c r="AB3" s="27"/>
      <c r="AC3" s="6"/>
      <c r="AD3" s="6"/>
      <c r="AE3" s="6"/>
      <c r="AF3" s="6"/>
      <c r="AG3" s="6"/>
      <c r="AH3" s="6"/>
    </row>
    <row r="4" spans="28:38" x14ac:dyDescent="0.25">
      <c r="AB4" s="177" t="s">
        <v>309</v>
      </c>
      <c r="AC4" s="6">
        <f>IFERROR(ROUND(AVERAGE(Data!$C$3:$C$33),0),"")</f>
        <v>309</v>
      </c>
      <c r="AD4" s="6">
        <f>IFERROR(ROUND(AVERAGE(Data!$C$34:$C$63),0),"")</f>
        <v>707</v>
      </c>
      <c r="AE4" s="6">
        <f>IFERROR(ROUND(AVERAGE(Data!$C$64:$C$94),0),"")</f>
        <v>1024</v>
      </c>
      <c r="AF4" s="6">
        <f>IFERROR(ROUND(AVERAGE(Data!$C$95:$C$124),0),"")</f>
        <v>1651</v>
      </c>
      <c r="AG4" s="6">
        <f>IFERROR(ROUND(AVERAGE(Data!$C$125:$C$155),0),"")</f>
        <v>2748</v>
      </c>
      <c r="AH4" s="6">
        <f>IFERROR(ROUND(AVERAGE(Data!$C$156:$C$186),0),"")</f>
        <v>1672</v>
      </c>
      <c r="AI4" s="6">
        <f>IFERROR(ROUND(AVERAGE(Data!$C$187:$C$216),0),"")</f>
        <v>962</v>
      </c>
      <c r="AJ4" s="6">
        <f>IFERROR(ROUND(AVERAGE(Data!$C$217:$C$247),0),"")</f>
        <v>1220</v>
      </c>
      <c r="AK4" s="6">
        <f>IFERROR(ROUND(AVERAGE(Data!$C$248:$C$277),0),"")</f>
        <v>3307</v>
      </c>
      <c r="AL4" s="6">
        <f>IFERROR(ROUND(AVERAGE(Data!$C$278:$C$308),0),"")</f>
        <v>12329</v>
      </c>
    </row>
    <row r="5" spans="28:38" x14ac:dyDescent="0.25">
      <c r="AB5" s="27" t="s">
        <v>310</v>
      </c>
      <c r="AC5" s="19">
        <f>IFERROR(ROUND(AVERAGE(Data!$D$3:$D$33),2),"")</f>
        <v>24.49</v>
      </c>
      <c r="AD5" s="19">
        <f>IFERROR(ROUND(AVERAGE(Data!$D$34:$D$63),2),"")</f>
        <v>7.28</v>
      </c>
      <c r="AE5" s="19">
        <f>IFERROR(ROUND(AVERAGE(Data!$D$64:$D$94),2),"")</f>
        <v>2.74</v>
      </c>
      <c r="AF5" s="19">
        <f>IFERROR(ROUND(AVERAGE(Data!$D$95:$D$124),2),"")</f>
        <v>2.14</v>
      </c>
      <c r="AG5" s="19">
        <f>IFERROR(ROUND(AVERAGE(Data!$D$125:$D$155),2),"")</f>
        <v>1.93</v>
      </c>
      <c r="AH5" s="19">
        <f>IFERROR(ROUND(AVERAGE(Data!$D$156:$D$186),2),"")</f>
        <v>0.78</v>
      </c>
      <c r="AI5" s="19">
        <f>IFERROR(ROUND(AVERAGE(Data!$D$187:$D$216),2),"")</f>
        <v>0.38</v>
      </c>
      <c r="AJ5" s="19">
        <f>IFERROR(ROUND(AVERAGE(Data!$D$217:$D$247),2),"")</f>
        <v>0.42</v>
      </c>
      <c r="AK5" s="19">
        <f>IFERROR(ROUND(AVERAGE(Data!$D$248:$D$277),2),"")</f>
        <v>0.93</v>
      </c>
      <c r="AL5" s="19">
        <f>IFERROR(ROUND(AVERAGE(Data!$D$278:$D$308),2),"")</f>
        <v>2.16</v>
      </c>
    </row>
    <row r="6" spans="28:38" x14ac:dyDescent="0.25">
      <c r="AB6" s="177" t="s">
        <v>308</v>
      </c>
      <c r="AC6" s="6">
        <f>IFERROR(ROUND(MEDIAN(Data!$C$3:$C$33),0),"")</f>
        <v>335</v>
      </c>
      <c r="AD6" s="6">
        <f>IFERROR(ROUND(MEDIAN(Data!$C$34:$C$63),0),"")</f>
        <v>555</v>
      </c>
      <c r="AE6" s="6">
        <f>IFERROR(ROUND(MEDIAN(Data!$C$64:$C$94),0),"")</f>
        <v>933</v>
      </c>
      <c r="AF6" s="6">
        <f>IFERROR(ROUND(MEDIAN(Data!$C$95:$C$124),0),"")</f>
        <v>1527</v>
      </c>
      <c r="AG6" s="6">
        <f>IFERROR(ROUND(MEDIAN(Data!$C$125:$C$155),0),"")</f>
        <v>2614</v>
      </c>
      <c r="AH6" s="6">
        <f>IFERROR(ROUND(MEDIAN(Data!$C$156:$C$186),0),"")</f>
        <v>1608</v>
      </c>
      <c r="AI6" s="6">
        <f>IFERROR(ROUND(MEDIAN(Data!$C$187:$C$216),0),"")</f>
        <v>1053</v>
      </c>
      <c r="AJ6" s="6">
        <f>IFERROR(ROUND(MEDIAN(Data!$C$217:$C$247),0),"")</f>
        <v>1167</v>
      </c>
      <c r="AK6" s="6">
        <f>IFERROR(ROUND(MEDIAN(Data!$C$248:$C$277),0),"")</f>
        <v>2897</v>
      </c>
      <c r="AL6" s="6">
        <f>IFERROR(ROUND(MEDIAN(Data!$C$278:$C$308),0),"")</f>
        <v>12646</v>
      </c>
    </row>
    <row r="7" spans="28:38" ht="15.75" thickBot="1" x14ac:dyDescent="0.3">
      <c r="AB7" s="27" t="s">
        <v>311</v>
      </c>
      <c r="AC7" s="20">
        <f>IFERROR(ROUND(MEDIAN(Data!$D$3:$D$33),2),"")</f>
        <v>21.2</v>
      </c>
      <c r="AD7" s="20">
        <f>IFERROR(ROUND(MEDIAN(Data!$D$34:$D$63),2),"")</f>
        <v>5.81</v>
      </c>
      <c r="AE7" s="20">
        <f>IFERROR(ROUND(MEDIAN(Data!$D$64:$D$94),2),"")</f>
        <v>2.73</v>
      </c>
      <c r="AF7" s="20">
        <f>IFERROR(ROUND(MEDIAN(Data!$D$95:$D$124),2),"")</f>
        <v>2.1800000000000002</v>
      </c>
      <c r="AG7" s="20">
        <f>IFERROR(ROUND(MEDIAN(Data!$D$125:$D$155),2),"")</f>
        <v>1.93</v>
      </c>
      <c r="AH7" s="20">
        <f>IFERROR(ROUND(MEDIAN(Data!$D$156:$D$186),2),"")</f>
        <v>0.7</v>
      </c>
      <c r="AI7" s="20">
        <f>IFERROR(ROUND(MEDIAN(Data!$D$187:$D$216),2),"")</f>
        <v>0.41</v>
      </c>
      <c r="AJ7" s="20">
        <f>IFERROR(ROUND(MEDIAN(Data!$D$217:$D$247),2),"")</f>
        <v>0.41</v>
      </c>
      <c r="AK7" s="20">
        <f>IFERROR(ROUND(MEDIAN(Data!$D$248:$D$277),2),"")</f>
        <v>0.81</v>
      </c>
      <c r="AL7" s="20">
        <f>IFERROR(ROUND(MEDIAN(Data!$D$278:$D$308),2),"")</f>
        <v>2.0499999999999998</v>
      </c>
    </row>
    <row r="8" spans="28:38" ht="15.75" thickTop="1" x14ac:dyDescent="0.25">
      <c r="AB8" s="27" t="s">
        <v>307</v>
      </c>
      <c r="AC8" s="175">
        <f>Data!$B$33-Data!$B$3</f>
        <v>3011</v>
      </c>
      <c r="AD8" s="175">
        <f>Data!$B$63-Data!$B$33</f>
        <v>21204</v>
      </c>
      <c r="AE8" s="175">
        <f>Data!$B$94-Data!$B$63</f>
        <v>31753</v>
      </c>
      <c r="AF8" s="175">
        <f>Data!$B$124-Data!$B$94</f>
        <v>49539</v>
      </c>
      <c r="AG8" s="175">
        <f>Data!$B$155-Data!$B$124</f>
        <v>85186</v>
      </c>
      <c r="AH8" s="175">
        <f>Data!$B$186-Data!$B$155</f>
        <v>51828</v>
      </c>
      <c r="AI8" s="175">
        <f>IF(ISBLANK(Data!$B$216),"",Data!$B$216-Data!$B$186)</f>
        <v>28850</v>
      </c>
      <c r="AJ8" s="175">
        <f>IF(ISBLANK(Data!$B$247),"",Data!$B$247-Data!$B$216)</f>
        <v>37819</v>
      </c>
      <c r="AK8" s="175">
        <f>IF(ISBLANK(Data!$B$277),"",Data!$B$277-Data!$B$247)</f>
        <v>99206</v>
      </c>
      <c r="AL8" s="175">
        <f>IF(ISBLANK(Data!$B$308),"",Data!$B$308-Data!$B$277)</f>
        <v>382186</v>
      </c>
    </row>
    <row r="10" spans="28:38" x14ac:dyDescent="0.25">
      <c r="AB10" s="180" t="s">
        <v>2</v>
      </c>
      <c r="AC10" s="181" t="s">
        <v>301</v>
      </c>
      <c r="AD10" s="181" t="s">
        <v>302</v>
      </c>
      <c r="AE10" s="181" t="s">
        <v>303</v>
      </c>
      <c r="AF10" s="181" t="s">
        <v>304</v>
      </c>
      <c r="AG10" s="181" t="s">
        <v>305</v>
      </c>
      <c r="AH10" s="181" t="s">
        <v>306</v>
      </c>
      <c r="AI10" s="181" t="s">
        <v>335</v>
      </c>
      <c r="AJ10" s="181" t="s">
        <v>336</v>
      </c>
      <c r="AK10" s="181" t="s">
        <v>337</v>
      </c>
      <c r="AL10" s="181" t="s">
        <v>338</v>
      </c>
    </row>
    <row r="11" spans="28:38" x14ac:dyDescent="0.25">
      <c r="AB11" s="27"/>
      <c r="AC11" s="6"/>
      <c r="AD11" s="6"/>
      <c r="AE11" s="6"/>
      <c r="AF11" s="6"/>
      <c r="AG11" s="6"/>
      <c r="AH11" s="6"/>
    </row>
    <row r="12" spans="28:38" x14ac:dyDescent="0.25">
      <c r="AB12" s="182" t="s">
        <v>309</v>
      </c>
      <c r="AC12" s="43">
        <f>IFERROR(ROUND(AVERAGE(Data!$I$3:$I$33),0),"")</f>
        <v>6</v>
      </c>
      <c r="AD12" s="43">
        <f>IFERROR(ROUND(AVERAGE(Data!$I$34:$I$63),0),"")</f>
        <v>37</v>
      </c>
      <c r="AE12" s="43">
        <f>IFERROR(ROUND(AVERAGE(Data!$I$64:$I$94),0),"")</f>
        <v>39</v>
      </c>
      <c r="AF12" s="43">
        <f>IFERROR(ROUND(AVERAGE(Data!$I$95:$I$124),0),"")</f>
        <v>34</v>
      </c>
      <c r="AG12" s="43">
        <f>IFERROR(ROUND(AVERAGE(Data!$I$125:$I$155),0),"")</f>
        <v>41</v>
      </c>
      <c r="AH12" s="43">
        <f>IFERROR(ROUND(AVERAGE(Data!$I$156:$I$186),0),"")</f>
        <v>37</v>
      </c>
      <c r="AI12" s="43">
        <f>IFERROR(ROUND(AVERAGE(Data!$I$187:$I$216),0),"")</f>
        <v>26</v>
      </c>
      <c r="AJ12" s="43">
        <f>IFERROR(ROUND(AVERAGE(Data!$I$217:$I$247),0),"")</f>
        <v>15</v>
      </c>
      <c r="AK12" s="43">
        <f>IFERROR(ROUND(AVERAGE(Data!$I$248:$I$277),0),"")</f>
        <v>21</v>
      </c>
      <c r="AL12" s="43">
        <f>IFERROR(ROUND(AVERAGE(Data!$I$278:$I$308),0),"")</f>
        <v>92</v>
      </c>
    </row>
    <row r="13" spans="28:38" x14ac:dyDescent="0.25">
      <c r="AB13" s="27" t="s">
        <v>310</v>
      </c>
      <c r="AC13" s="19">
        <f>IFERROR(ROUND(AVERAGE(Data!$J$3:$J$33),2),"")</f>
        <v>30.13</v>
      </c>
      <c r="AD13" s="19">
        <f>IFERROR(ROUND(AVERAGE(Data!$J$34:$J$63),2),"")</f>
        <v>10.97</v>
      </c>
      <c r="AE13" s="19">
        <f>IFERROR(ROUND(AVERAGE(Data!$J$64:$J$94),2),"")</f>
        <v>2.3199999999999998</v>
      </c>
      <c r="AF13" s="19">
        <f>IFERROR(ROUND(AVERAGE(Data!$J$95:$J$124),2),"")</f>
        <v>1.19</v>
      </c>
      <c r="AG13" s="19">
        <f>IFERROR(ROUND(AVERAGE(Data!$J$125:$J$155),2),"")</f>
        <v>1.03</v>
      </c>
      <c r="AH13" s="19">
        <f>IFERROR(ROUND(AVERAGE(Data!$J$156:$J$186),2),"")</f>
        <v>0.72</v>
      </c>
      <c r="AI13" s="19">
        <f>IFERROR(ROUND(AVERAGE(Data!$J$187:$J$216),2),"")</f>
        <v>0.42</v>
      </c>
      <c r="AJ13" s="19">
        <f>IFERROR(ROUND(AVERAGE(Data!$J$217:$J$247),2),"")</f>
        <v>0.22</v>
      </c>
      <c r="AK13" s="19">
        <f>IFERROR(ROUND(AVERAGE(Data!$J$248:$J$277),2),"")</f>
        <v>0.28000000000000003</v>
      </c>
      <c r="AL13" s="19">
        <f>IFERROR(ROUND(AVERAGE(Data!$J$278:$J$308),2),"")</f>
        <v>1.02</v>
      </c>
    </row>
    <row r="14" spans="28:38" x14ac:dyDescent="0.25">
      <c r="AB14" s="182" t="s">
        <v>308</v>
      </c>
      <c r="AC14" s="43">
        <f>IFERROR(ROUND(MEDIAN(Data!$I$3:$I$33),0),"")</f>
        <v>6</v>
      </c>
      <c r="AD14" s="43">
        <f>IFERROR(ROUND(MEDIAN(Data!$I$34:$I$63),0),"")</f>
        <v>29</v>
      </c>
      <c r="AE14" s="43">
        <f>IFERROR(ROUND(MEDIAN(Data!$I$64:$I$94),0),"")</f>
        <v>44</v>
      </c>
      <c r="AF14" s="43">
        <f>IFERROR(ROUND(MEDIAN(Data!$I$95:$I$124),0),"")</f>
        <v>34</v>
      </c>
      <c r="AG14" s="43">
        <f>IFERROR(ROUND(MEDIAN(Data!$I$125:$I$155),0),"")</f>
        <v>47</v>
      </c>
      <c r="AH14" s="43">
        <f>IFERROR(ROUND(MEDIAN(Data!$I$156:$I$186),0),"")</f>
        <v>44</v>
      </c>
      <c r="AI14" s="43">
        <f>IFERROR(ROUND(MEDIAN(Data!$I$187:$I$216),0),"")</f>
        <v>25</v>
      </c>
      <c r="AJ14" s="43">
        <f>IFERROR(ROUND(MEDIAN(Data!$I$217:$I$247),0),"")</f>
        <v>15</v>
      </c>
      <c r="AK14" s="43">
        <f>IFERROR(ROUND(MEDIAN(Data!$I$248:$I$277),0),"")</f>
        <v>20</v>
      </c>
      <c r="AL14" s="43">
        <f>IFERROR(ROUND(MEDIAN(Data!$I$278:$I$308),0),"")</f>
        <v>70</v>
      </c>
    </row>
    <row r="15" spans="28:38" ht="15.75" thickBot="1" x14ac:dyDescent="0.3">
      <c r="AB15" s="27" t="s">
        <v>311</v>
      </c>
      <c r="AC15" s="20">
        <f>IFERROR(ROUND(MEDIAN(Data!$J$3:$J$33),2),"")</f>
        <v>22.91</v>
      </c>
      <c r="AD15" s="20">
        <f>IFERROR(ROUND(MEDIAN(Data!$J$34:$J$63),2),"")</f>
        <v>10.66</v>
      </c>
      <c r="AE15" s="20">
        <f>IFERROR(ROUND(MEDIAN(Data!$J$64:$J$94),2),"")</f>
        <v>2.2000000000000002</v>
      </c>
      <c r="AF15" s="20">
        <f>IFERROR(ROUND(MEDIAN(Data!$J$95:$J$124),2),"")</f>
        <v>1.1100000000000001</v>
      </c>
      <c r="AG15" s="20">
        <f>IFERROR(ROUND(MEDIAN(Data!$J$125:$J$155),2),"")</f>
        <v>1.17</v>
      </c>
      <c r="AH15" s="20">
        <f>IFERROR(ROUND(MEDIAN(Data!$J$156:$J$186),2),"")</f>
        <v>0.83</v>
      </c>
      <c r="AI15" s="20">
        <f>IFERROR(ROUND(MEDIAN(Data!$J$187:$J$216),2),"")</f>
        <v>0.4</v>
      </c>
      <c r="AJ15" s="20">
        <f>IFERROR(ROUND(MEDIAN(Data!$J$217:$J$247),2),"")</f>
        <v>0.22</v>
      </c>
      <c r="AK15" s="20">
        <f>IFERROR(ROUND(MEDIAN(Data!$J$248:$J$277),2),"")</f>
        <v>0.28000000000000003</v>
      </c>
      <c r="AL15" s="20">
        <f>IFERROR(ROUND(MEDIAN(Data!$J$278:$J$308),2),"")</f>
        <v>0.81</v>
      </c>
    </row>
    <row r="16" spans="28:38" ht="15.75" thickTop="1" x14ac:dyDescent="0.25">
      <c r="AB16" s="182" t="s">
        <v>312</v>
      </c>
      <c r="AC16" s="179">
        <f>Data!$H$33-Data!$H$3</f>
        <v>54</v>
      </c>
      <c r="AD16" s="179">
        <f>Data!$H$63-Data!$H$33</f>
        <v>1118</v>
      </c>
      <c r="AE16" s="179">
        <f>Data!$H$94-Data!$H$63</f>
        <v>1212</v>
      </c>
      <c r="AF16" s="179">
        <f>Data!$H$124-Data!$H$94</f>
        <v>1018</v>
      </c>
      <c r="AG16" s="179">
        <f>Data!$H$155-Data!$H$124</f>
        <v>1267</v>
      </c>
      <c r="AH16" s="179">
        <f>Data!$H$186-Data!$H$155</f>
        <v>1160</v>
      </c>
      <c r="AI16" s="179">
        <f>IF(ISBLANK(Data!$H$216),"",Data!$H$216-Data!$H$186)</f>
        <v>781</v>
      </c>
      <c r="AJ16" s="179">
        <f>IF(ISBLANK(Data!$H$247),"",Data!$H$247-Data!$H$216)</f>
        <v>464</v>
      </c>
      <c r="AK16" s="179">
        <f>IF(ISBLANK(Data!$D$277),"",Data!$H$277-Data!$H$247)</f>
        <v>626</v>
      </c>
      <c r="AL16" s="179">
        <f>IF(ISBLANK(Data!$H$308),"",Data!$H$308-Data!$H$277)</f>
        <v>2852</v>
      </c>
    </row>
    <row r="17" spans="28:38" x14ac:dyDescent="0.25">
      <c r="AI17" s="5"/>
      <c r="AJ17" s="5"/>
      <c r="AK17" s="5"/>
      <c r="AL17" s="5"/>
    </row>
    <row r="18" spans="28:38" ht="15.75" thickBot="1" x14ac:dyDescent="0.3">
      <c r="AB18" s="216" t="s">
        <v>313</v>
      </c>
      <c r="AC18" s="217">
        <f>IFERROR(ROUND(AVERAGE(Data!$K$3:'Data'!$K$33),2),"")</f>
        <v>1.69</v>
      </c>
      <c r="AD18" s="217">
        <f>IFERROR(ROUND(AVERAGE(Data!$K$34:'Data'!$K$63),2),"")</f>
        <v>3.64</v>
      </c>
      <c r="AE18" s="217">
        <f>IFERROR(ROUND(AVERAGE(Data!$K$64:'Data'!$K$94),2),"")</f>
        <v>4.71</v>
      </c>
      <c r="AF18" s="217">
        <f>IFERROR(ROUND(AVERAGE(Data!$K$95:'Data'!$K$124),2),"")</f>
        <v>3.84</v>
      </c>
      <c r="AG18" s="217">
        <f>IFERROR(ROUND(AVERAGE(Data!$K$125:'Data'!$K$155),2),"")</f>
        <v>2.73</v>
      </c>
      <c r="AH18" s="217">
        <f>IFERROR(ROUND(AVERAGE(Data!$K$156:'Data'!$K$186),2),"")</f>
        <v>2.4</v>
      </c>
      <c r="AI18" s="217">
        <f>IFERROR(ROUND(AVERAGE(Data!$K$187:'Data'!$K$216),2),"")</f>
        <v>2.44</v>
      </c>
      <c r="AJ18" s="217">
        <f>IFERROR(ROUND(AVERAGE(Data!$K$217:'Data'!$K$247),2),"")</f>
        <v>2.37</v>
      </c>
      <c r="AK18" s="217">
        <f>IFERROR(ROUND(AVERAGE(Data!$K$248:'Data'!$K$277),2),"")</f>
        <v>2.11</v>
      </c>
      <c r="AL18" s="217">
        <f>IFERROR(ROUND(AVERAGE(Data!$K$278:'Data'!$K$308),2),"")</f>
        <v>1.53</v>
      </c>
    </row>
    <row r="19" spans="28:38" ht="15.75" thickTop="1" x14ac:dyDescent="0.25"/>
  </sheetData>
  <phoneticPr fontId="4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Stats</vt:lpstr>
      <vt:lpstr>Data</vt:lpstr>
      <vt:lpstr>Benford</vt:lpstr>
      <vt:lpstr>SARS</vt:lpstr>
      <vt:lpstr>Models</vt:lpstr>
      <vt:lpstr>Daily Cases</vt:lpstr>
      <vt:lpstr>Daily Death</vt:lpstr>
      <vt:lpstr>Behavior</vt:lpstr>
      <vt:lpstr>Rates - Monthly</vt:lpstr>
      <vt:lpstr>Rates - Daily</vt:lpstr>
      <vt:lpstr>R0</vt:lpstr>
      <vt:lpstr>CFR</vt:lpstr>
      <vt:lpstr>Incubation</vt:lpstr>
      <vt:lpstr>LAC_Hospital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dc:creator>
  <cp:lastModifiedBy>x</cp:lastModifiedBy>
  <cp:lastPrinted>2020-06-10T16:22:12Z</cp:lastPrinted>
  <dcterms:created xsi:type="dcterms:W3CDTF">2020-03-29T16:27:45Z</dcterms:created>
  <dcterms:modified xsi:type="dcterms:W3CDTF">2021-02-14T19:20:23Z</dcterms:modified>
</cp:coreProperties>
</file>