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nak\Desktop\"/>
    </mc:Choice>
  </mc:AlternateContent>
  <bookViews>
    <workbookView xWindow="-105" yWindow="-105" windowWidth="23250" windowHeight="13170" activeTab="9"/>
  </bookViews>
  <sheets>
    <sheet name="P&amp;L assumptions" sheetId="8" r:id="rId1"/>
    <sheet name="BS assumptions" sheetId="9" r:id="rId2"/>
    <sheet name="Rev &amp; EBITDA" sheetId="13" r:id="rId3"/>
    <sheet name="Cash Flows" sheetId="22" r:id="rId4"/>
    <sheet name="Working Capital" sheetId="19" r:id="rId5"/>
    <sheet name="DCF Results" sheetId="15" r:id="rId6"/>
    <sheet name="PL" sheetId="5" r:id="rId7"/>
    <sheet name="BS" sheetId="7" r:id="rId8"/>
    <sheet name="CF" sheetId="6" r:id="rId9"/>
    <sheet name="DCF" sheetId="11" r:id="rId10"/>
    <sheet name="PLdata" sheetId="2" r:id="rId11"/>
    <sheet name="BSdata" sheetId="3" r:id="rId1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8" l="1"/>
  <c r="D38" i="8"/>
  <c r="E16" i="2" l="1"/>
  <c r="D16" i="2"/>
  <c r="K10" i="11" l="1"/>
  <c r="J10" i="11"/>
  <c r="I10" i="11"/>
  <c r="H10" i="11"/>
  <c r="G10" i="11"/>
  <c r="E19" i="7"/>
  <c r="K19" i="7" s="1"/>
  <c r="D19" i="7"/>
  <c r="E12" i="7"/>
  <c r="C20" i="11" s="1"/>
  <c r="D12" i="7"/>
  <c r="E31" i="6" s="1"/>
  <c r="E6" i="7"/>
  <c r="K6" i="7" s="1"/>
  <c r="D6" i="7"/>
  <c r="E4" i="7"/>
  <c r="H4" i="7" s="1"/>
  <c r="D4" i="7"/>
  <c r="D19" i="6" s="1"/>
  <c r="C19" i="7"/>
  <c r="C12" i="7"/>
  <c r="D31" i="6" s="1"/>
  <c r="C6" i="7"/>
  <c r="C4" i="7"/>
  <c r="G19" i="7" l="1"/>
  <c r="G27" i="6" s="1"/>
  <c r="E27" i="6"/>
  <c r="D27" i="6"/>
  <c r="G6" i="7"/>
  <c r="H6" i="7"/>
  <c r="I6" i="7"/>
  <c r="G31" i="6"/>
  <c r="J4" i="7"/>
  <c r="E19" i="6"/>
  <c r="I4" i="7"/>
  <c r="I19" i="6" s="1"/>
  <c r="K4" i="7"/>
  <c r="H19" i="7"/>
  <c r="I19" i="7"/>
  <c r="C19" i="11"/>
  <c r="J19" i="7"/>
  <c r="J27" i="6" s="1"/>
  <c r="G4" i="7"/>
  <c r="J6" i="7"/>
  <c r="H27" i="6" l="1"/>
  <c r="G19" i="6"/>
  <c r="H19" i="6"/>
  <c r="J19" i="6"/>
  <c r="K19" i="6"/>
  <c r="K27" i="6"/>
  <c r="I27" i="6"/>
  <c r="E20" i="9" l="1"/>
  <c r="E17" i="7" s="1"/>
  <c r="D20" i="9"/>
  <c r="D17" i="7" s="1"/>
  <c r="C20" i="9"/>
  <c r="C17" i="7" s="1"/>
  <c r="E17" i="9"/>
  <c r="E10" i="7" s="1"/>
  <c r="D17" i="9"/>
  <c r="D10" i="7" s="1"/>
  <c r="C17" i="9"/>
  <c r="C10" i="7" s="1"/>
  <c r="E14" i="9"/>
  <c r="E5" i="7" s="1"/>
  <c r="D14" i="9"/>
  <c r="D5" i="7" s="1"/>
  <c r="C14" i="9"/>
  <c r="C5" i="7" s="1"/>
  <c r="E11" i="9"/>
  <c r="E16" i="7" s="1"/>
  <c r="D11" i="9"/>
  <c r="D16" i="7" s="1"/>
  <c r="C11" i="9"/>
  <c r="C16" i="7" s="1"/>
  <c r="C7" i="19" s="1"/>
  <c r="E8" i="9"/>
  <c r="E8" i="7" s="1"/>
  <c r="D8" i="9"/>
  <c r="D8" i="7" s="1"/>
  <c r="C8" i="9"/>
  <c r="C8" i="7" s="1"/>
  <c r="C5" i="19" s="1"/>
  <c r="E5" i="9"/>
  <c r="E9" i="7" s="1"/>
  <c r="D5" i="9"/>
  <c r="D9" i="7" s="1"/>
  <c r="C5" i="9"/>
  <c r="C9" i="7" s="1"/>
  <c r="C6" i="19" s="1"/>
  <c r="K50" i="8"/>
  <c r="K21" i="5" s="1"/>
  <c r="K6" i="6" s="1"/>
  <c r="J50" i="8"/>
  <c r="J21" i="5" s="1"/>
  <c r="J6" i="6" s="1"/>
  <c r="I50" i="8"/>
  <c r="I21" i="5" s="1"/>
  <c r="I6" i="6" s="1"/>
  <c r="H50" i="8"/>
  <c r="H21" i="5" s="1"/>
  <c r="H6" i="6" s="1"/>
  <c r="G50" i="8"/>
  <c r="G21" i="5" s="1"/>
  <c r="G6" i="6" s="1"/>
  <c r="K44" i="8"/>
  <c r="J44" i="8"/>
  <c r="I44" i="8"/>
  <c r="H44" i="8"/>
  <c r="G44" i="8"/>
  <c r="K38" i="8"/>
  <c r="J38" i="8"/>
  <c r="I38" i="8"/>
  <c r="H38" i="8"/>
  <c r="G38" i="8"/>
  <c r="K32" i="8"/>
  <c r="J32" i="8"/>
  <c r="I32" i="8"/>
  <c r="H32" i="8"/>
  <c r="G32" i="8"/>
  <c r="K26" i="8"/>
  <c r="J26" i="8"/>
  <c r="I26" i="8"/>
  <c r="H26" i="8"/>
  <c r="G26" i="8"/>
  <c r="K20" i="8"/>
  <c r="J20" i="8"/>
  <c r="I20" i="8"/>
  <c r="H20" i="8"/>
  <c r="G20" i="8"/>
  <c r="K14" i="8"/>
  <c r="J14" i="8"/>
  <c r="I14" i="8"/>
  <c r="H14" i="8"/>
  <c r="G14" i="8"/>
  <c r="E49" i="8"/>
  <c r="E22" i="5" s="1"/>
  <c r="D49" i="8"/>
  <c r="D22" i="5" s="1"/>
  <c r="E43" i="8"/>
  <c r="E18" i="5" s="1"/>
  <c r="E21" i="6" s="1"/>
  <c r="D43" i="8"/>
  <c r="D18" i="5" s="1"/>
  <c r="D21" i="6" s="1"/>
  <c r="C49" i="8"/>
  <c r="C22" i="5" s="1"/>
  <c r="C43" i="8"/>
  <c r="C18" i="5" s="1"/>
  <c r="E37" i="8"/>
  <c r="E17" i="5" s="1"/>
  <c r="E25" i="6" s="1"/>
  <c r="D37" i="8"/>
  <c r="D17" i="5" s="1"/>
  <c r="D25" i="6" s="1"/>
  <c r="C37" i="8"/>
  <c r="C17" i="5" s="1"/>
  <c r="E31" i="8"/>
  <c r="E14" i="5" s="1"/>
  <c r="E9" i="6" s="1"/>
  <c r="D31" i="8"/>
  <c r="D14" i="5" s="1"/>
  <c r="D9" i="6" s="1"/>
  <c r="C31" i="8"/>
  <c r="C14" i="5" s="1"/>
  <c r="E25" i="8"/>
  <c r="E11" i="5" s="1"/>
  <c r="D25" i="8"/>
  <c r="D11" i="5" s="1"/>
  <c r="C25" i="8"/>
  <c r="C11" i="5" s="1"/>
  <c r="E19" i="8"/>
  <c r="E8" i="5" s="1"/>
  <c r="D19" i="8"/>
  <c r="D8" i="5" s="1"/>
  <c r="C19" i="8"/>
  <c r="C8" i="5" s="1"/>
  <c r="E13" i="8"/>
  <c r="E5" i="5" s="1"/>
  <c r="D13" i="8"/>
  <c r="D5" i="5" s="1"/>
  <c r="C13" i="8"/>
  <c r="C5" i="5" s="1"/>
  <c r="G37" i="8" l="1"/>
  <c r="H37" i="8" s="1"/>
  <c r="G13" i="8"/>
  <c r="G5" i="5" s="1"/>
  <c r="E16" i="6"/>
  <c r="E7" i="19"/>
  <c r="E14" i="6"/>
  <c r="C14" i="7"/>
  <c r="D7" i="19"/>
  <c r="D14" i="6"/>
  <c r="C8" i="19"/>
  <c r="E14" i="7"/>
  <c r="E5" i="19"/>
  <c r="E12" i="6"/>
  <c r="D16" i="6"/>
  <c r="D5" i="19"/>
  <c r="D12" i="6"/>
  <c r="D14" i="7"/>
  <c r="D6" i="19"/>
  <c r="D13" i="6"/>
  <c r="D9" i="9"/>
  <c r="D11" i="19" s="1"/>
  <c r="E6" i="19"/>
  <c r="E13" i="6"/>
  <c r="E9" i="9"/>
  <c r="K9" i="9" s="1"/>
  <c r="K11" i="19" s="1"/>
  <c r="D18" i="6"/>
  <c r="E18" i="6"/>
  <c r="D12" i="9"/>
  <c r="D12" i="19" s="1"/>
  <c r="E12" i="9"/>
  <c r="C12" i="9"/>
  <c r="C12" i="19" s="1"/>
  <c r="C9" i="9"/>
  <c r="C11" i="19" s="1"/>
  <c r="G17" i="5"/>
  <c r="G25" i="6" s="1"/>
  <c r="K8" i="8"/>
  <c r="J8" i="8"/>
  <c r="I8" i="8"/>
  <c r="H8" i="8"/>
  <c r="G8" i="8"/>
  <c r="E7" i="8"/>
  <c r="D7" i="8"/>
  <c r="C7" i="8"/>
  <c r="H13" i="8" l="1"/>
  <c r="D15" i="6"/>
  <c r="D8" i="19"/>
  <c r="E15" i="6"/>
  <c r="E8" i="19"/>
  <c r="E11" i="19"/>
  <c r="I9" i="9"/>
  <c r="I11" i="19" s="1"/>
  <c r="G9" i="9"/>
  <c r="G11" i="19" s="1"/>
  <c r="J9" i="9"/>
  <c r="J11" i="19" s="1"/>
  <c r="H9" i="9"/>
  <c r="H11" i="19" s="1"/>
  <c r="E12" i="19"/>
  <c r="K12" i="9"/>
  <c r="K12" i="19" s="1"/>
  <c r="G12" i="9"/>
  <c r="G12" i="19" s="1"/>
  <c r="J12" i="9"/>
  <c r="J12" i="19" s="1"/>
  <c r="I12" i="9"/>
  <c r="I12" i="19" s="1"/>
  <c r="H12" i="9"/>
  <c r="H12" i="19" s="1"/>
  <c r="D4" i="5"/>
  <c r="D21" i="9"/>
  <c r="D26" i="8"/>
  <c r="D32" i="8"/>
  <c r="D18" i="9"/>
  <c r="D6" i="9"/>
  <c r="D10" i="19" s="1"/>
  <c r="D15" i="9"/>
  <c r="D44" i="8"/>
  <c r="D20" i="8"/>
  <c r="C4" i="5"/>
  <c r="C20" i="8"/>
  <c r="C18" i="9"/>
  <c r="C6" i="9"/>
  <c r="C10" i="19" s="1"/>
  <c r="C21" i="9"/>
  <c r="C32" i="8"/>
  <c r="C26" i="8"/>
  <c r="C15" i="9"/>
  <c r="C44" i="8"/>
  <c r="E4" i="5"/>
  <c r="E32" i="8"/>
  <c r="E6" i="9"/>
  <c r="E20" i="8"/>
  <c r="E18" i="9"/>
  <c r="E26" i="8"/>
  <c r="E15" i="9"/>
  <c r="E44" i="8"/>
  <c r="E21" i="9"/>
  <c r="D8" i="8"/>
  <c r="E8" i="8"/>
  <c r="G7" i="8"/>
  <c r="G4" i="5" s="1"/>
  <c r="G6" i="5" s="1"/>
  <c r="I37" i="8"/>
  <c r="H17" i="5"/>
  <c r="H25" i="6" s="1"/>
  <c r="I13" i="8"/>
  <c r="H5" i="5"/>
  <c r="H7" i="8" l="1"/>
  <c r="H4" i="5" s="1"/>
  <c r="H5" i="13" s="1"/>
  <c r="G31" i="8"/>
  <c r="G14" i="5" s="1"/>
  <c r="G9" i="6" s="1"/>
  <c r="G19" i="8"/>
  <c r="G11" i="9" s="1"/>
  <c r="G16" i="7" s="1"/>
  <c r="G5" i="13"/>
  <c r="I15" i="9"/>
  <c r="G15" i="9"/>
  <c r="G14" i="9" s="1"/>
  <c r="G5" i="7" s="1"/>
  <c r="K15" i="9"/>
  <c r="J15" i="9"/>
  <c r="H15" i="9"/>
  <c r="K21" i="9"/>
  <c r="G21" i="9"/>
  <c r="G20" i="9" s="1"/>
  <c r="G17" i="7" s="1"/>
  <c r="J21" i="9"/>
  <c r="I21" i="9"/>
  <c r="H21" i="9"/>
  <c r="G43" i="8"/>
  <c r="G18" i="5" s="1"/>
  <c r="G21" i="6" s="1"/>
  <c r="E10" i="19"/>
  <c r="J6" i="9"/>
  <c r="J10" i="19" s="1"/>
  <c r="K6" i="9"/>
  <c r="K10" i="19" s="1"/>
  <c r="I6" i="9"/>
  <c r="I10" i="19" s="1"/>
  <c r="H6" i="9"/>
  <c r="H10" i="19" s="1"/>
  <c r="G6" i="9"/>
  <c r="G25" i="8"/>
  <c r="G11" i="5" s="1"/>
  <c r="H18" i="9"/>
  <c r="G18" i="9"/>
  <c r="G17" i="9" s="1"/>
  <c r="G10" i="7" s="1"/>
  <c r="K18" i="9"/>
  <c r="J18" i="9"/>
  <c r="I18" i="9"/>
  <c r="E6" i="5"/>
  <c r="E9" i="5" s="1"/>
  <c r="E12" i="5" s="1"/>
  <c r="E5" i="13"/>
  <c r="C5" i="13"/>
  <c r="C6" i="5"/>
  <c r="C9" i="5" s="1"/>
  <c r="C12" i="5" s="1"/>
  <c r="D6" i="5"/>
  <c r="D9" i="5" s="1"/>
  <c r="D12" i="5" s="1"/>
  <c r="D5" i="13"/>
  <c r="J13" i="8"/>
  <c r="I5" i="5"/>
  <c r="J37" i="8"/>
  <c r="I17" i="5"/>
  <c r="I25" i="6" s="1"/>
  <c r="F6" i="2"/>
  <c r="F14" i="2" s="1"/>
  <c r="F18" i="2" s="1"/>
  <c r="F23" i="2" s="1"/>
  <c r="E6" i="2"/>
  <c r="E14" i="2" s="1"/>
  <c r="E18" i="2" s="1"/>
  <c r="E23" i="2" s="1"/>
  <c r="D6" i="2"/>
  <c r="D14" i="2" s="1"/>
  <c r="D18" i="2" s="1"/>
  <c r="D23" i="2" s="1"/>
  <c r="H14" i="9" l="1"/>
  <c r="H5" i="7" s="1"/>
  <c r="H43" i="8"/>
  <c r="H18" i="5" s="1"/>
  <c r="H21" i="6" s="1"/>
  <c r="H31" i="8"/>
  <c r="H14" i="5" s="1"/>
  <c r="H9" i="6" s="1"/>
  <c r="H25" i="8"/>
  <c r="H11" i="5" s="1"/>
  <c r="I7" i="8"/>
  <c r="I4" i="5" s="1"/>
  <c r="I5" i="13" s="1"/>
  <c r="H17" i="9"/>
  <c r="H10" i="7" s="1"/>
  <c r="H19" i="8"/>
  <c r="H8" i="9" s="1"/>
  <c r="H8" i="7" s="1"/>
  <c r="H20" i="9"/>
  <c r="H17" i="7" s="1"/>
  <c r="H6" i="5"/>
  <c r="G8" i="9"/>
  <c r="G8" i="7" s="1"/>
  <c r="G5" i="19" s="1"/>
  <c r="G16" i="6"/>
  <c r="G8" i="5"/>
  <c r="G9" i="5" s="1"/>
  <c r="G12" i="5" s="1"/>
  <c r="G15" i="5" s="1"/>
  <c r="G4" i="6" s="1"/>
  <c r="G18" i="6"/>
  <c r="H5" i="9"/>
  <c r="H9" i="7" s="1"/>
  <c r="H6" i="19" s="1"/>
  <c r="F27" i="2"/>
  <c r="E50" i="8"/>
  <c r="D27" i="2"/>
  <c r="C50" i="8"/>
  <c r="E27" i="2"/>
  <c r="D50" i="8"/>
  <c r="D15" i="5"/>
  <c r="D6" i="13"/>
  <c r="D7" i="13" s="1"/>
  <c r="C15" i="5"/>
  <c r="C19" i="5" s="1"/>
  <c r="C6" i="13"/>
  <c r="C7" i="13" s="1"/>
  <c r="G10" i="19"/>
  <c r="G5" i="9"/>
  <c r="G9" i="7" s="1"/>
  <c r="E15" i="5"/>
  <c r="E6" i="13"/>
  <c r="E7" i="13" s="1"/>
  <c r="G14" i="6"/>
  <c r="G7" i="19"/>
  <c r="J17" i="5"/>
  <c r="J25" i="6" s="1"/>
  <c r="K37" i="8"/>
  <c r="K17" i="5" s="1"/>
  <c r="K25" i="6" s="1"/>
  <c r="K13" i="8"/>
  <c r="K5" i="5" s="1"/>
  <c r="J5" i="5"/>
  <c r="E8" i="3"/>
  <c r="K17" i="3"/>
  <c r="J17" i="3"/>
  <c r="D15" i="3"/>
  <c r="F15" i="3"/>
  <c r="F8" i="3"/>
  <c r="D8" i="3"/>
  <c r="L17" i="3"/>
  <c r="E15" i="3"/>
  <c r="L8" i="3"/>
  <c r="E21" i="7" s="1"/>
  <c r="E23" i="7" s="1"/>
  <c r="E25" i="7" s="1"/>
  <c r="K8" i="3"/>
  <c r="D21" i="7" s="1"/>
  <c r="D23" i="7" s="1"/>
  <c r="D25" i="7" s="1"/>
  <c r="J8" i="3"/>
  <c r="C21" i="7" s="1"/>
  <c r="C23" i="7" s="1"/>
  <c r="C25" i="7" s="1"/>
  <c r="I19" i="8" l="1"/>
  <c r="I8" i="9" s="1"/>
  <c r="I8" i="7" s="1"/>
  <c r="J7" i="8"/>
  <c r="J4" i="5" s="1"/>
  <c r="J5" i="13" s="1"/>
  <c r="I14" i="9"/>
  <c r="I5" i="7" s="1"/>
  <c r="I43" i="8"/>
  <c r="I18" i="5" s="1"/>
  <c r="I21" i="6" s="1"/>
  <c r="H18" i="6"/>
  <c r="H16" i="6"/>
  <c r="I6" i="5"/>
  <c r="I20" i="9"/>
  <c r="I17" i="7" s="1"/>
  <c r="I17" i="9"/>
  <c r="I10" i="7" s="1"/>
  <c r="H8" i="5"/>
  <c r="H9" i="5" s="1"/>
  <c r="H12" i="5" s="1"/>
  <c r="H6" i="13" s="1"/>
  <c r="H7" i="13" s="1"/>
  <c r="H11" i="9"/>
  <c r="H16" i="7" s="1"/>
  <c r="H7" i="19" s="1"/>
  <c r="I31" i="8"/>
  <c r="I14" i="5" s="1"/>
  <c r="I9" i="6" s="1"/>
  <c r="I5" i="9"/>
  <c r="I9" i="7" s="1"/>
  <c r="I13" i="6" s="1"/>
  <c r="I25" i="8"/>
  <c r="I11" i="5" s="1"/>
  <c r="G12" i="6"/>
  <c r="H13" i="6"/>
  <c r="G6" i="13"/>
  <c r="G7" i="13" s="1"/>
  <c r="D19" i="5"/>
  <c r="D4" i="6"/>
  <c r="E19" i="5"/>
  <c r="E4" i="6"/>
  <c r="G13" i="6"/>
  <c r="G6" i="19"/>
  <c r="G8" i="19" s="1"/>
  <c r="C21" i="5"/>
  <c r="C24" i="5"/>
  <c r="H12" i="6"/>
  <c r="H5" i="19"/>
  <c r="G19" i="5"/>
  <c r="G49" i="8" s="1"/>
  <c r="G5" i="6"/>
  <c r="G7" i="6" s="1"/>
  <c r="G10" i="6" s="1"/>
  <c r="D19" i="3"/>
  <c r="F19" i="3"/>
  <c r="L19" i="3"/>
  <c r="J19" i="3"/>
  <c r="K19" i="3"/>
  <c r="E19" i="3"/>
  <c r="I8" i="5" l="1"/>
  <c r="I9" i="5" s="1"/>
  <c r="J43" i="8"/>
  <c r="J18" i="5" s="1"/>
  <c r="J21" i="6" s="1"/>
  <c r="I11" i="9"/>
  <c r="I16" i="7" s="1"/>
  <c r="I7" i="19" s="1"/>
  <c r="J20" i="9"/>
  <c r="J17" i="7" s="1"/>
  <c r="G22" i="5"/>
  <c r="G24" i="5" s="1"/>
  <c r="G21" i="7" s="1"/>
  <c r="G28" i="6" s="1"/>
  <c r="J17" i="9"/>
  <c r="J10" i="7" s="1"/>
  <c r="J31" i="8"/>
  <c r="J14" i="5" s="1"/>
  <c r="J9" i="6" s="1"/>
  <c r="J6" i="5"/>
  <c r="J19" i="8"/>
  <c r="J11" i="9" s="1"/>
  <c r="J16" i="7" s="1"/>
  <c r="J25" i="8"/>
  <c r="J11" i="5" s="1"/>
  <c r="K7" i="8"/>
  <c r="K4" i="5" s="1"/>
  <c r="K6" i="5" s="1"/>
  <c r="J14" i="9"/>
  <c r="J5" i="7" s="1"/>
  <c r="J5" i="9"/>
  <c r="J9" i="7" s="1"/>
  <c r="J13" i="6" s="1"/>
  <c r="H15" i="5"/>
  <c r="H19" i="5" s="1"/>
  <c r="I16" i="6"/>
  <c r="H14" i="6"/>
  <c r="H15" i="6" s="1"/>
  <c r="G15" i="6"/>
  <c r="G23" i="6" s="1"/>
  <c r="G8" i="11" s="1"/>
  <c r="I6" i="19"/>
  <c r="I12" i="5"/>
  <c r="I15" i="5" s="1"/>
  <c r="I19" i="5" s="1"/>
  <c r="I18" i="6"/>
  <c r="E24" i="5"/>
  <c r="E28" i="6" s="1"/>
  <c r="E21" i="5"/>
  <c r="E6" i="6" s="1"/>
  <c r="E5" i="6" s="1"/>
  <c r="E26" i="6" s="1"/>
  <c r="D21" i="5"/>
  <c r="D6" i="6" s="1"/>
  <c r="D5" i="6" s="1"/>
  <c r="D24" i="5"/>
  <c r="D28" i="6" s="1"/>
  <c r="I12" i="6"/>
  <c r="I5" i="19"/>
  <c r="H8" i="19"/>
  <c r="J8" i="5"/>
  <c r="J9" i="5" s="1"/>
  <c r="J8" i="9"/>
  <c r="J8" i="7" s="1"/>
  <c r="L22" i="3"/>
  <c r="K22" i="3"/>
  <c r="J22" i="3"/>
  <c r="K43" i="8" l="1"/>
  <c r="K18" i="5" s="1"/>
  <c r="K21" i="6" s="1"/>
  <c r="K31" i="8"/>
  <c r="K14" i="5" s="1"/>
  <c r="K9" i="6" s="1"/>
  <c r="K20" i="9"/>
  <c r="K17" i="7" s="1"/>
  <c r="I14" i="6"/>
  <c r="K25" i="8"/>
  <c r="K11" i="5" s="1"/>
  <c r="J16" i="6"/>
  <c r="K19" i="8"/>
  <c r="K11" i="9" s="1"/>
  <c r="K16" i="7" s="1"/>
  <c r="G26" i="6"/>
  <c r="G29" i="6" s="1"/>
  <c r="G12" i="7" s="1"/>
  <c r="H31" i="6" s="1"/>
  <c r="I22" i="5"/>
  <c r="I24" i="5" s="1"/>
  <c r="I49" i="8"/>
  <c r="H22" i="5"/>
  <c r="H24" i="5" s="1"/>
  <c r="H21" i="7" s="1"/>
  <c r="H23" i="7" s="1"/>
  <c r="H49" i="8"/>
  <c r="J6" i="19"/>
  <c r="J12" i="5"/>
  <c r="J15" i="5" s="1"/>
  <c r="J19" i="5" s="1"/>
  <c r="K5" i="9"/>
  <c r="K9" i="7" s="1"/>
  <c r="K6" i="19" s="1"/>
  <c r="K17" i="9"/>
  <c r="K10" i="7" s="1"/>
  <c r="K16" i="6" s="1"/>
  <c r="K5" i="13"/>
  <c r="K14" i="9"/>
  <c r="K5" i="7" s="1"/>
  <c r="K18" i="6" s="1"/>
  <c r="J18" i="6"/>
  <c r="H4" i="6"/>
  <c r="H5" i="6" s="1"/>
  <c r="G23" i="7"/>
  <c r="I6" i="13"/>
  <c r="I7" i="13" s="1"/>
  <c r="D7" i="6"/>
  <c r="D10" i="6" s="1"/>
  <c r="D23" i="6" s="1"/>
  <c r="D26" i="6"/>
  <c r="E7" i="6"/>
  <c r="E10" i="6" s="1"/>
  <c r="E23" i="6" s="1"/>
  <c r="I15" i="6"/>
  <c r="I8" i="19"/>
  <c r="J14" i="6"/>
  <c r="J7" i="19"/>
  <c r="J12" i="6"/>
  <c r="J5" i="19"/>
  <c r="G11" i="11"/>
  <c r="C6" i="22" s="1"/>
  <c r="C5" i="22"/>
  <c r="I4" i="6"/>
  <c r="I5" i="6" s="1"/>
  <c r="K8" i="5"/>
  <c r="K9" i="5" s="1"/>
  <c r="K8" i="9"/>
  <c r="K8" i="7" s="1"/>
  <c r="K12" i="5" l="1"/>
  <c r="K15" i="5" s="1"/>
  <c r="K19" i="5" s="1"/>
  <c r="I26" i="6"/>
  <c r="J22" i="5"/>
  <c r="J24" i="5" s="1"/>
  <c r="J49" i="8"/>
  <c r="H26" i="6"/>
  <c r="J6" i="13"/>
  <c r="J7" i="13" s="1"/>
  <c r="K13" i="6"/>
  <c r="H7" i="6"/>
  <c r="H10" i="6" s="1"/>
  <c r="H23" i="6" s="1"/>
  <c r="H8" i="11" s="1"/>
  <c r="J15" i="6"/>
  <c r="E8" i="11"/>
  <c r="E29" i="6"/>
  <c r="E32" i="6" s="1"/>
  <c r="E34" i="6" s="1"/>
  <c r="J8" i="19"/>
  <c r="D29" i="6"/>
  <c r="D32" i="6" s="1"/>
  <c r="D34" i="6" s="1"/>
  <c r="D8" i="11"/>
  <c r="K14" i="6"/>
  <c r="K7" i="19"/>
  <c r="K12" i="6"/>
  <c r="K5" i="19"/>
  <c r="I21" i="7"/>
  <c r="I28" i="6" s="1"/>
  <c r="G14" i="7"/>
  <c r="G25" i="7" s="1"/>
  <c r="H28" i="6"/>
  <c r="J4" i="6"/>
  <c r="J5" i="6" s="1"/>
  <c r="G32" i="6"/>
  <c r="G34" i="6" s="1"/>
  <c r="I7" i="6"/>
  <c r="I10" i="6" s="1"/>
  <c r="I23" i="6" s="1"/>
  <c r="K6" i="13" l="1"/>
  <c r="K7" i="13" s="1"/>
  <c r="K22" i="5"/>
  <c r="K49" i="8"/>
  <c r="J26" i="6"/>
  <c r="H29" i="6"/>
  <c r="H32" i="6" s="1"/>
  <c r="K8" i="19"/>
  <c r="K15" i="6"/>
  <c r="K4" i="6"/>
  <c r="K5" i="6" s="1"/>
  <c r="K7" i="6" s="1"/>
  <c r="K10" i="6" s="1"/>
  <c r="H11" i="11"/>
  <c r="D6" i="22" s="1"/>
  <c r="D5" i="22"/>
  <c r="J21" i="7"/>
  <c r="J28" i="6" s="1"/>
  <c r="I23" i="7"/>
  <c r="I29" i="6"/>
  <c r="J7" i="6"/>
  <c r="J10" i="6" s="1"/>
  <c r="J23" i="6" s="1"/>
  <c r="I8" i="11"/>
  <c r="K24" i="5"/>
  <c r="H12" i="7" l="1"/>
  <c r="H34" i="6" s="1"/>
  <c r="K23" i="6"/>
  <c r="K8" i="11" s="1"/>
  <c r="G5" i="22" s="1"/>
  <c r="J23" i="7"/>
  <c r="K21" i="7"/>
  <c r="K28" i="6" s="1"/>
  <c r="I11" i="11"/>
  <c r="E6" i="22" s="1"/>
  <c r="E5" i="22"/>
  <c r="J8" i="11"/>
  <c r="J29" i="6"/>
  <c r="K26" i="6"/>
  <c r="I31" i="6" l="1"/>
  <c r="I32" i="6" s="1"/>
  <c r="I12" i="7"/>
  <c r="J31" i="6" s="1"/>
  <c r="J32" i="6" s="1"/>
  <c r="H14" i="7"/>
  <c r="H25" i="7" s="1"/>
  <c r="K23" i="7"/>
  <c r="J11" i="11"/>
  <c r="F6" i="22" s="1"/>
  <c r="F5" i="22"/>
  <c r="K29" i="6"/>
  <c r="C16" i="11"/>
  <c r="C17" i="11" s="1"/>
  <c r="K11" i="11"/>
  <c r="J12" i="7" l="1"/>
  <c r="K31" i="6" s="1"/>
  <c r="K32" i="6" s="1"/>
  <c r="I34" i="6"/>
  <c r="I14" i="7"/>
  <c r="I25" i="7" s="1"/>
  <c r="C15" i="11"/>
  <c r="G6" i="22"/>
  <c r="K12" i="7" l="1"/>
  <c r="K14" i="7" s="1"/>
  <c r="K25" i="7" s="1"/>
  <c r="J14" i="7"/>
  <c r="J25" i="7" s="1"/>
  <c r="J34" i="6"/>
  <c r="C18" i="11"/>
  <c r="C21" i="11" l="1"/>
  <c r="C25" i="11" s="1"/>
  <c r="K34" i="6"/>
  <c r="G21" i="11"/>
  <c r="E17" i="11"/>
  <c r="E15" i="11"/>
</calcChain>
</file>

<file path=xl/sharedStrings.xml><?xml version="1.0" encoding="utf-8"?>
<sst xmlns="http://schemas.openxmlformats.org/spreadsheetml/2006/main" count="312" uniqueCount="167">
  <si>
    <t>DCF Valuation</t>
  </si>
  <si>
    <t>P&amp;L</t>
  </si>
  <si>
    <t>Other revenue</t>
  </si>
  <si>
    <t>Revenue</t>
  </si>
  <si>
    <t>Raw materials</t>
  </si>
  <si>
    <t>Cost for services</t>
  </si>
  <si>
    <t>Lease costs</t>
  </si>
  <si>
    <t>Other operating expenses</t>
  </si>
  <si>
    <t>EBITDA</t>
  </si>
  <si>
    <t>D&amp;A</t>
  </si>
  <si>
    <t>EBIT</t>
  </si>
  <si>
    <t>Financial income/expenses</t>
  </si>
  <si>
    <t>Extraordinary income</t>
  </si>
  <si>
    <t>EBT</t>
  </si>
  <si>
    <t>Taxes</t>
  </si>
  <si>
    <t>Net Income</t>
  </si>
  <si>
    <t>Cash Flow</t>
  </si>
  <si>
    <t>Intangible assets</t>
  </si>
  <si>
    <t>Trade receivables</t>
  </si>
  <si>
    <t>Other assets</t>
  </si>
  <si>
    <t>Inventory</t>
  </si>
  <si>
    <t>Cash and equivalents</t>
  </si>
  <si>
    <t>Total Assets</t>
  </si>
  <si>
    <t>Reserves</t>
  </si>
  <si>
    <t>Total Equity</t>
  </si>
  <si>
    <t>PP&amp;E</t>
  </si>
  <si>
    <t>Trade payable</t>
  </si>
  <si>
    <t>Other liabilities</t>
  </si>
  <si>
    <t>Provisions for retirement benefits</t>
  </si>
  <si>
    <t>Bank borrowings</t>
  </si>
  <si>
    <t>Total Liabilities</t>
  </si>
  <si>
    <t>Total Liabilities &amp; Equity</t>
  </si>
  <si>
    <t>Deferred taxes</t>
  </si>
  <si>
    <t>Financial assets</t>
  </si>
  <si>
    <t>$ in thousands</t>
  </si>
  <si>
    <t>USD in thousands</t>
  </si>
  <si>
    <t>Fixed assets</t>
  </si>
  <si>
    <t>Non fixed assets</t>
  </si>
  <si>
    <t>Note</t>
  </si>
  <si>
    <t>Balance Sheet</t>
  </si>
  <si>
    <t>Revenues &amp; EBITDA</t>
  </si>
  <si>
    <t>Working capital</t>
  </si>
  <si>
    <t>Direct costs</t>
  </si>
  <si>
    <t>.</t>
  </si>
  <si>
    <t>Revenues</t>
  </si>
  <si>
    <t>Other revenues</t>
  </si>
  <si>
    <t>Total Revenues</t>
  </si>
  <si>
    <t>Gross Margin</t>
  </si>
  <si>
    <t xml:space="preserve"> </t>
  </si>
  <si>
    <t>Financial liabilities</t>
  </si>
  <si>
    <t>Shareholders' equity</t>
  </si>
  <si>
    <t>Total Liabilities &amp; Equities</t>
  </si>
  <si>
    <t>FY16
Actual</t>
  </si>
  <si>
    <t>FY17
Actual</t>
  </si>
  <si>
    <t>FY18
Actual</t>
  </si>
  <si>
    <t>FY19
Forecast</t>
  </si>
  <si>
    <t>FY20
Forecast</t>
  </si>
  <si>
    <t>FY21
Forecast</t>
  </si>
  <si>
    <t>FY22
Forecast</t>
  </si>
  <si>
    <t>FY23
Forecast</t>
  </si>
  <si>
    <t>2016
Act</t>
  </si>
  <si>
    <t>2017
Act</t>
  </si>
  <si>
    <t>2018
Act</t>
  </si>
  <si>
    <t>Selected case</t>
  </si>
  <si>
    <t>Case 1</t>
  </si>
  <si>
    <t>Case 2</t>
  </si>
  <si>
    <t>Case 3</t>
  </si>
  <si>
    <t>Optimistic</t>
  </si>
  <si>
    <t>Base</t>
  </si>
  <si>
    <t>Worst</t>
  </si>
  <si>
    <t>Type</t>
  </si>
  <si>
    <t>Scenario</t>
  </si>
  <si>
    <t>Other Revenues</t>
  </si>
  <si>
    <t>COGS</t>
  </si>
  <si>
    <t>OpEx</t>
  </si>
  <si>
    <t>Interest</t>
  </si>
  <si>
    <t>Extraordinary Income</t>
  </si>
  <si>
    <t>% of EBT</t>
  </si>
  <si>
    <t>YoY - Growth %</t>
  </si>
  <si>
    <t>% of Revenue</t>
  </si>
  <si>
    <t>AR</t>
  </si>
  <si>
    <t>Days receivable</t>
  </si>
  <si>
    <t>Days inventory</t>
  </si>
  <si>
    <t>AP</t>
  </si>
  <si>
    <t>Days payable</t>
  </si>
  <si>
    <t>PPE</t>
  </si>
  <si>
    <t>Other Assets</t>
  </si>
  <si>
    <t>Other Liabilities</t>
  </si>
  <si>
    <t>Check</t>
  </si>
  <si>
    <t>Flat</t>
  </si>
  <si>
    <t>Flat; subject to profit (aka need no new debt)</t>
  </si>
  <si>
    <t>Eq + Net Income - Divi; Divi = 0</t>
  </si>
  <si>
    <t>Calculate CF</t>
  </si>
  <si>
    <t>Operating Taxes</t>
  </si>
  <si>
    <t>Operating Tax Rate</t>
  </si>
  <si>
    <t>NOPAT</t>
  </si>
  <si>
    <t>Add back D&amp;A</t>
  </si>
  <si>
    <t>Gross CF</t>
  </si>
  <si>
    <t>Investments in Working Capital</t>
  </si>
  <si>
    <t>Investments in other Assets/Liabilities</t>
  </si>
  <si>
    <t>CapEx</t>
  </si>
  <si>
    <t>Other Investments</t>
  </si>
  <si>
    <t>Extraordinary Items</t>
  </si>
  <si>
    <t>UFCF</t>
  </si>
  <si>
    <t>Interest Expense</t>
  </si>
  <si>
    <t>Delta Taxes vs Op Tax</t>
  </si>
  <si>
    <t>Delta Financial liabilities</t>
  </si>
  <si>
    <t>Delta Equity (incl. divi)</t>
  </si>
  <si>
    <t>Net Cash Flow</t>
  </si>
  <si>
    <t>Tax Rate</t>
  </si>
  <si>
    <t>1&gt;</t>
  </si>
  <si>
    <t>2&gt;</t>
  </si>
  <si>
    <t>3&gt;</t>
  </si>
  <si>
    <t>4&gt;</t>
  </si>
  <si>
    <t>5&gt;</t>
  </si>
  <si>
    <t>6&gt;</t>
  </si>
  <si>
    <t>sum(1&gt;:6&gt;)</t>
  </si>
  <si>
    <t>Opening Cash</t>
  </si>
  <si>
    <t>Closing Cash</t>
  </si>
  <si>
    <t>WACC</t>
  </si>
  <si>
    <t>g</t>
  </si>
  <si>
    <t>Discount Factor</t>
  </si>
  <si>
    <t>Present Value of UFCF</t>
  </si>
  <si>
    <t>PV of CF</t>
  </si>
  <si>
    <t>ufcf_5*(1+g)/(1-g)</t>
  </si>
  <si>
    <t>PV of CV</t>
  </si>
  <si>
    <t>Continuing Value (CV)</t>
  </si>
  <si>
    <t>Enterprise Value (EV)</t>
  </si>
  <si>
    <t>() Financial Liabilities</t>
  </si>
  <si>
    <t>Cash</t>
  </si>
  <si>
    <t>Equity Value</t>
  </si>
  <si>
    <t>EBITDA %</t>
  </si>
  <si>
    <t>PV of UFCF</t>
  </si>
  <si>
    <t>DSO</t>
  </si>
  <si>
    <t>DIO</t>
  </si>
  <si>
    <t>DPO</t>
  </si>
  <si>
    <t>Enterprise Value</t>
  </si>
  <si>
    <t>Scenario 3 - Pessimistic</t>
  </si>
  <si>
    <t>Scenario 1 - Optimistic</t>
  </si>
  <si>
    <t>Scenario 2 - Historic</t>
  </si>
  <si>
    <t>% Continuing Value</t>
  </si>
  <si>
    <t>% CFs in Forecast</t>
  </si>
  <si>
    <t>DCF Results</t>
  </si>
  <si>
    <t>Cash Flows</t>
  </si>
  <si>
    <t>Working Capital</t>
  </si>
  <si>
    <t>Income Statement</t>
  </si>
  <si>
    <t>P&amp;L Assumptions</t>
  </si>
  <si>
    <t>BS Assumptions</t>
  </si>
  <si>
    <t>31Jan2017
Act</t>
  </si>
  <si>
    <t>31Jan2018
Act</t>
  </si>
  <si>
    <t>31Jan2019
Act</t>
  </si>
  <si>
    <t>Capital</t>
  </si>
  <si>
    <t>Retained Earnings</t>
  </si>
  <si>
    <t>Treasury Stock</t>
  </si>
  <si>
    <t>Other Financial liabilities (incl long-term)</t>
  </si>
  <si>
    <t>Other liabilities (incl short-term)</t>
  </si>
  <si>
    <t>*Used Nasdaq for E/L data</t>
  </si>
  <si>
    <t>31Jan2017
Actual</t>
  </si>
  <si>
    <t>31Jan2018
Actual</t>
  </si>
  <si>
    <t>31Jan2019
Actual</t>
  </si>
  <si>
    <t>31Jan2020
Forecast</t>
  </si>
  <si>
    <t>31Jan2021
Forecast</t>
  </si>
  <si>
    <t>31Jan2022
Forecast</t>
  </si>
  <si>
    <t>31Jan2023
Forecast</t>
  </si>
  <si>
    <t>31Jan2024
Forecast</t>
  </si>
  <si>
    <t>Outstanding Shares</t>
  </si>
  <si>
    <t>BVPS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</si>
</sst>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_-;\-* #,##0_-;_-* &quot;-&quot;_-;_-@_-"/>
    <numFmt numFmtId="165" formatCode="_(* #,##0.0_);_(* \(#,##0.0\);_(* &quot;-&quot;?_);@_)"/>
    <numFmt numFmtId="166" formatCode="_(* #,##0.0_);_(* \(#,##0.0\);_(* &quot;-&quot;?_);@_l"/>
    <numFmt numFmtId="167" formatCode="_(* #,##0_);_(* \(#,##0\);_(* &quot;-&quot;?_);@_)"/>
    <numFmt numFmtId="168" formatCode="0.0%"/>
    <numFmt numFmtId="169" formatCode="_(* #,##0_);_(* \(#,##0\);_(* &quot;-&quot;??_);_(@_)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_-* #,##0\ _D_M_-;\-* #,##0\ _D_M_-;_-* &quot;-&quot;\ _D_M_-;_-@_-"/>
    <numFmt numFmtId="173" formatCode="_-* #,##0.00\ &quot;Kc&quot;_-;\-* #,##0.00\ &quot;Kc&quot;_-;_-* &quot;-&quot;??\ &quot;Kc&quot;_-;_-@_-"/>
    <numFmt numFmtId="174" formatCode="\(0\'\)"/>
    <numFmt numFmtId="175" formatCode="0.00_)"/>
    <numFmt numFmtId="176" formatCode="#,##0;\(#,##0\);&quot;-&quot;"/>
    <numFmt numFmtId="177" formatCode="#,##0_);\(#,##0\);&quot; - &quot;_);@_)"/>
    <numFmt numFmtId="178" formatCode="\ #,##0.0_);\(#,##0.0\);&quot; - &quot;_);@_)"/>
    <numFmt numFmtId="179" formatCode="_(* #,##0.00_);_(* \(#,##0.00\);_(* &quot;-&quot;?_);@_)"/>
    <numFmt numFmtId="180" formatCode="&quot;$&quot;#,##0.00"/>
  </numFmts>
  <fonts count="62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b/>
      <sz val="9"/>
      <color theme="0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0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Garamond"/>
      <family val="1"/>
    </font>
    <font>
      <sz val="10"/>
      <color indexed="8"/>
      <name val="MS Sans Serif"/>
      <family val="2"/>
    </font>
    <font>
      <sz val="10"/>
      <name val="Verdana"/>
      <family val="2"/>
    </font>
    <font>
      <sz val="7"/>
      <color indexed="10"/>
      <name val="Arial"/>
      <family val="2"/>
    </font>
    <font>
      <sz val="12"/>
      <name val="Arial"/>
      <family val="2"/>
    </font>
    <font>
      <sz val="10"/>
      <name val="Arial Narrow"/>
      <family val="2"/>
    </font>
    <font>
      <b/>
      <sz val="14"/>
      <color indexed="25"/>
      <name val="Arial"/>
      <family val="2"/>
    </font>
    <font>
      <b/>
      <sz val="10"/>
      <color indexed="25"/>
      <name val="Arial Narrow"/>
      <family val="2"/>
    </font>
    <font>
      <i/>
      <sz val="10"/>
      <color indexed="25"/>
      <name val="Arial Narrow"/>
      <family val="2"/>
    </font>
    <font>
      <sz val="8"/>
      <color indexed="25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b/>
      <sz val="12"/>
      <color theme="1"/>
      <name val="Tahoma                        "/>
    </font>
    <font>
      <sz val="8"/>
      <color theme="1"/>
      <name val="Tahoma                        "/>
    </font>
    <font>
      <b/>
      <sz val="8"/>
      <color theme="1"/>
      <name val="Tahoma                        "/>
    </font>
    <font>
      <b/>
      <sz val="10"/>
      <color theme="1"/>
      <name val="Tahoma                        "/>
    </font>
    <font>
      <sz val="9"/>
      <color theme="0"/>
      <name val="Arial"/>
      <family val="2"/>
    </font>
    <font>
      <i/>
      <sz val="9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lightUp">
        <bgColor theme="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65">
    <xf numFmtId="0" fontId="0" fillId="0" borderId="0"/>
    <xf numFmtId="0" fontId="4" fillId="0" borderId="1" applyFill="0" applyProtection="0">
      <alignment horizontal="right" wrapText="1"/>
    </xf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5" borderId="5"/>
    <xf numFmtId="0" fontId="13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4" fillId="0" borderId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23" borderId="0" applyNumberFormat="0" applyBorder="0" applyAlignment="0" applyProtection="0"/>
    <xf numFmtId="0" fontId="10" fillId="0" borderId="0"/>
    <xf numFmtId="0" fontId="17" fillId="7" borderId="0" applyNumberFormat="0" applyBorder="0" applyAlignment="0" applyProtection="0"/>
    <xf numFmtId="0" fontId="18" fillId="24" borderId="6" applyNumberFormat="0" applyAlignment="0" applyProtection="0"/>
    <xf numFmtId="0" fontId="19" fillId="25" borderId="7" applyNumberFormat="0" applyAlignment="0" applyProtection="0"/>
    <xf numFmtId="49" fontId="11" fillId="0" borderId="0">
      <alignment horizontal="left" vertical="top" wrapText="1"/>
    </xf>
    <xf numFmtId="170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8" borderId="0" applyNumberFormat="0" applyBorder="0" applyAlignment="0" applyProtection="0"/>
    <xf numFmtId="38" fontId="11" fillId="26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1" borderId="6" applyNumberFormat="0" applyAlignment="0" applyProtection="0"/>
    <xf numFmtId="10" fontId="11" fillId="5" borderId="11" applyNumberFormat="0" applyBorder="0" applyAlignment="0" applyProtection="0"/>
    <xf numFmtId="0" fontId="26" fillId="0" borderId="12" applyNumberFormat="0" applyFill="0" applyAlignment="0" applyProtection="0"/>
    <xf numFmtId="173" fontId="27" fillId="0" borderId="0" applyFont="0" applyFill="0" applyBorder="0" applyAlignment="0" applyProtection="0"/>
    <xf numFmtId="172" fontId="10" fillId="0" borderId="0" applyFont="0" applyFill="0" applyBorder="0" applyAlignment="0" applyProtection="0"/>
    <xf numFmtId="4" fontId="28" fillId="0" borderId="0" applyFont="0" applyFill="0" applyBorder="0" applyAlignment="0" applyProtection="0"/>
    <xf numFmtId="42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9" fillId="27" borderId="0" applyNumberFormat="0" applyBorder="0" applyAlignment="0" applyProtection="0"/>
    <xf numFmtId="175" fontId="30" fillId="0" borderId="0"/>
    <xf numFmtId="0" fontId="27" fillId="0" borderId="0"/>
    <xf numFmtId="0" fontId="15" fillId="28" borderId="13" applyNumberFormat="0" applyFont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24" borderId="14" applyNumberFormat="0" applyAlignment="0" applyProtection="0"/>
    <xf numFmtId="9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1" fillId="0" borderId="0" applyNumberFormat="0" applyFont="0" applyFill="0" applyBorder="0" applyAlignment="0" applyProtection="0">
      <alignment horizontal="left"/>
    </xf>
    <xf numFmtId="15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0" fontId="33" fillId="0" borderId="15">
      <alignment horizontal="center"/>
    </xf>
    <xf numFmtId="3" fontId="31" fillId="0" borderId="0" applyFont="0" applyFill="0" applyBorder="0" applyAlignment="0" applyProtection="0"/>
    <xf numFmtId="0" fontId="31" fillId="29" borderId="0" applyNumberFormat="0" applyFont="0" applyBorder="0" applyAlignment="0" applyProtection="0"/>
    <xf numFmtId="3" fontId="43" fillId="30" borderId="0" applyFont="0" applyFill="0" applyBorder="0" applyAlignment="0" applyProtection="0"/>
    <xf numFmtId="4" fontId="34" fillId="31" borderId="14" applyNumberFormat="0" applyProtection="0">
      <alignment vertical="center"/>
    </xf>
    <xf numFmtId="4" fontId="35" fillId="31" borderId="14" applyNumberFormat="0" applyProtection="0">
      <alignment vertical="center"/>
    </xf>
    <xf numFmtId="4" fontId="34" fillId="31" borderId="14" applyNumberFormat="0" applyProtection="0">
      <alignment horizontal="left" vertical="center" indent="1"/>
    </xf>
    <xf numFmtId="4" fontId="34" fillId="31" borderId="14" applyNumberFormat="0" applyProtection="0">
      <alignment horizontal="left" vertical="center" indent="1"/>
    </xf>
    <xf numFmtId="0" fontId="10" fillId="32" borderId="14" applyNumberFormat="0" applyProtection="0">
      <alignment horizontal="left" vertical="center" indent="1"/>
    </xf>
    <xf numFmtId="4" fontId="34" fillId="33" borderId="14" applyNumberFormat="0" applyProtection="0">
      <alignment horizontal="right" vertical="center"/>
    </xf>
    <xf numFmtId="4" fontId="34" fillId="34" borderId="14" applyNumberFormat="0" applyProtection="0">
      <alignment horizontal="right" vertical="center"/>
    </xf>
    <xf numFmtId="4" fontId="34" fillId="35" borderId="14" applyNumberFormat="0" applyProtection="0">
      <alignment horizontal="right" vertical="center"/>
    </xf>
    <xf numFmtId="4" fontId="34" fillId="36" borderId="14" applyNumberFormat="0" applyProtection="0">
      <alignment horizontal="right" vertical="center"/>
    </xf>
    <xf numFmtId="4" fontId="34" fillId="37" borderId="14" applyNumberFormat="0" applyProtection="0">
      <alignment horizontal="right" vertical="center"/>
    </xf>
    <xf numFmtId="4" fontId="34" fillId="38" borderId="14" applyNumberFormat="0" applyProtection="0">
      <alignment horizontal="right" vertical="center"/>
    </xf>
    <xf numFmtId="4" fontId="34" fillId="39" borderId="14" applyNumberFormat="0" applyProtection="0">
      <alignment horizontal="right" vertical="center"/>
    </xf>
    <xf numFmtId="4" fontId="34" fillId="40" borderId="14" applyNumberFormat="0" applyProtection="0">
      <alignment horizontal="right" vertical="center"/>
    </xf>
    <xf numFmtId="4" fontId="34" fillId="41" borderId="14" applyNumberFormat="0" applyProtection="0">
      <alignment horizontal="right" vertical="center"/>
    </xf>
    <xf numFmtId="4" fontId="36" fillId="42" borderId="14" applyNumberFormat="0" applyProtection="0">
      <alignment horizontal="left" vertical="center" indent="1"/>
    </xf>
    <xf numFmtId="4" fontId="34" fillId="43" borderId="16" applyNumberFormat="0" applyProtection="0">
      <alignment horizontal="left" vertical="center" indent="1"/>
    </xf>
    <xf numFmtId="4" fontId="37" fillId="44" borderId="0" applyNumberFormat="0" applyProtection="0">
      <alignment horizontal="left" vertical="center" indent="1"/>
    </xf>
    <xf numFmtId="0" fontId="10" fillId="32" borderId="14" applyNumberFormat="0" applyProtection="0">
      <alignment horizontal="left" vertical="center" indent="1"/>
    </xf>
    <xf numFmtId="4" fontId="34" fillId="43" borderId="14" applyNumberFormat="0" applyProtection="0">
      <alignment horizontal="left" vertical="center" indent="1"/>
    </xf>
    <xf numFmtId="4" fontId="34" fillId="45" borderId="14" applyNumberFormat="0" applyProtection="0">
      <alignment horizontal="left" vertical="center" indent="1"/>
    </xf>
    <xf numFmtId="0" fontId="10" fillId="45" borderId="14" applyNumberFormat="0" applyProtection="0">
      <alignment horizontal="left" vertical="center" indent="1"/>
    </xf>
    <xf numFmtId="0" fontId="10" fillId="45" borderId="14" applyNumberFormat="0" applyProtection="0">
      <alignment horizontal="left" vertical="center" indent="1"/>
    </xf>
    <xf numFmtId="0" fontId="10" fillId="46" borderId="14" applyNumberFormat="0" applyProtection="0">
      <alignment horizontal="left" vertical="center" indent="1"/>
    </xf>
    <xf numFmtId="0" fontId="10" fillId="46" borderId="14" applyNumberFormat="0" applyProtection="0">
      <alignment horizontal="left" vertical="center" indent="1"/>
    </xf>
    <xf numFmtId="0" fontId="10" fillId="26" borderId="14" applyNumberFormat="0" applyProtection="0">
      <alignment horizontal="left" vertical="center" indent="1"/>
    </xf>
    <xf numFmtId="0" fontId="10" fillId="26" borderId="14" applyNumberFormat="0" applyProtection="0">
      <alignment horizontal="left" vertical="center" indent="1"/>
    </xf>
    <xf numFmtId="0" fontId="10" fillId="32" borderId="14" applyNumberFormat="0" applyProtection="0">
      <alignment horizontal="left" vertical="center" indent="1"/>
    </xf>
    <xf numFmtId="0" fontId="10" fillId="32" borderId="14" applyNumberFormat="0" applyProtection="0">
      <alignment horizontal="left" vertical="center" indent="1"/>
    </xf>
    <xf numFmtId="4" fontId="34" fillId="5" borderId="14" applyNumberFormat="0" applyProtection="0">
      <alignment vertical="center"/>
    </xf>
    <xf numFmtId="4" fontId="35" fillId="5" borderId="14" applyNumberFormat="0" applyProtection="0">
      <alignment vertical="center"/>
    </xf>
    <xf numFmtId="4" fontId="34" fillId="5" borderId="14" applyNumberFormat="0" applyProtection="0">
      <alignment horizontal="left" vertical="center" indent="1"/>
    </xf>
    <xf numFmtId="4" fontId="34" fillId="5" borderId="14" applyNumberFormat="0" applyProtection="0">
      <alignment horizontal="left" vertical="center" indent="1"/>
    </xf>
    <xf numFmtId="4" fontId="34" fillId="43" borderId="14" applyNumberFormat="0" applyProtection="0">
      <alignment horizontal="right" vertical="center"/>
    </xf>
    <xf numFmtId="4" fontId="35" fillId="43" borderId="14" applyNumberFormat="0" applyProtection="0">
      <alignment horizontal="right" vertical="center"/>
    </xf>
    <xf numFmtId="0" fontId="10" fillId="32" borderId="14" applyNumberFormat="0" applyProtection="0">
      <alignment horizontal="left" vertical="center" indent="1"/>
    </xf>
    <xf numFmtId="0" fontId="10" fillId="32" borderId="14" applyNumberFormat="0" applyProtection="0">
      <alignment horizontal="left" vertical="center" indent="1"/>
    </xf>
    <xf numFmtId="0" fontId="38" fillId="0" borderId="0"/>
    <xf numFmtId="4" fontId="12" fillId="43" borderId="14" applyNumberFormat="0" applyProtection="0">
      <alignment horizontal="right" vertical="center"/>
    </xf>
    <xf numFmtId="0" fontId="10" fillId="0" borderId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3" fontId="41" fillId="0" borderId="2" applyNumberFormat="0"/>
    <xf numFmtId="0" fontId="4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44" fillId="0" borderId="0"/>
    <xf numFmtId="9" fontId="6" fillId="0" borderId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/>
    <xf numFmtId="0" fontId="47" fillId="0" borderId="0"/>
    <xf numFmtId="176" fontId="48" fillId="0" borderId="0"/>
    <xf numFmtId="176" fontId="10" fillId="0" borderId="0"/>
    <xf numFmtId="176" fontId="50" fillId="0" borderId="0"/>
    <xf numFmtId="0" fontId="51" fillId="0" borderId="0">
      <alignment horizontal="left"/>
    </xf>
    <xf numFmtId="164" fontId="49" fillId="0" borderId="18" applyFill="0" applyBorder="0" applyProtection="0">
      <alignment horizontal="right" vertical="top"/>
    </xf>
    <xf numFmtId="176" fontId="52" fillId="0" borderId="18">
      <alignment horizontal="left"/>
    </xf>
    <xf numFmtId="0" fontId="51" fillId="0" borderId="18">
      <alignment horizontal="right" wrapText="1"/>
    </xf>
    <xf numFmtId="0" fontId="49" fillId="0" borderId="0" applyFill="0" applyBorder="0">
      <alignment horizontal="left" vertical="top" wrapText="1"/>
    </xf>
    <xf numFmtId="177" fontId="49" fillId="0" borderId="0" applyFill="0" applyBorder="0">
      <alignment horizontal="right" vertical="top"/>
    </xf>
    <xf numFmtId="178" fontId="49" fillId="0" borderId="0" applyFill="0" applyBorder="0">
      <alignment horizontal="right" vertical="top"/>
    </xf>
    <xf numFmtId="49" fontId="49" fillId="0" borderId="0" applyNumberFormat="0" applyFill="0" applyBorder="0" applyProtection="0">
      <alignment horizontal="center" vertical="top"/>
    </xf>
    <xf numFmtId="176" fontId="53" fillId="0" borderId="0">
      <alignment horizontal="left" vertical="top"/>
    </xf>
    <xf numFmtId="0" fontId="54" fillId="0" borderId="0"/>
    <xf numFmtId="0" fontId="6" fillId="0" borderId="0"/>
    <xf numFmtId="0" fontId="55" fillId="0" borderId="0"/>
    <xf numFmtId="0" fontId="6" fillId="0" borderId="0"/>
    <xf numFmtId="171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56" fillId="0" borderId="0"/>
    <xf numFmtId="0" fontId="57" fillId="0" borderId="0"/>
    <xf numFmtId="0" fontId="58" fillId="0" borderId="0"/>
    <xf numFmtId="0" fontId="59" fillId="0" borderId="0"/>
    <xf numFmtId="0" fontId="59" fillId="0" borderId="0"/>
    <xf numFmtId="0" fontId="56" fillId="0" borderId="0"/>
    <xf numFmtId="0" fontId="57" fillId="0" borderId="0"/>
    <xf numFmtId="0" fontId="58" fillId="0" borderId="0"/>
  </cellStyleXfs>
  <cellXfs count="9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5" fontId="2" fillId="2" borderId="0" xfId="0" applyNumberFormat="1" applyFont="1" applyFill="1"/>
    <xf numFmtId="165" fontId="1" fillId="2" borderId="0" xfId="0" applyNumberFormat="1" applyFont="1" applyFill="1"/>
    <xf numFmtId="165" fontId="3" fillId="2" borderId="2" xfId="0" applyNumberFormat="1" applyFont="1" applyFill="1" applyBorder="1"/>
    <xf numFmtId="165" fontId="3" fillId="2" borderId="2" xfId="0" applyNumberFormat="1" applyFont="1" applyFill="1" applyBorder="1" applyAlignment="1">
      <alignment horizontal="right" wrapText="1"/>
    </xf>
    <xf numFmtId="165" fontId="3" fillId="2" borderId="3" xfId="0" applyNumberFormat="1" applyFont="1" applyFill="1" applyBorder="1"/>
    <xf numFmtId="166" fontId="1" fillId="2" borderId="0" xfId="0" applyNumberFormat="1" applyFont="1" applyFill="1"/>
    <xf numFmtId="166" fontId="2" fillId="2" borderId="0" xfId="0" applyNumberFormat="1" applyFont="1" applyFill="1"/>
    <xf numFmtId="167" fontId="1" fillId="2" borderId="0" xfId="0" applyNumberFormat="1" applyFont="1" applyFill="1"/>
    <xf numFmtId="167" fontId="3" fillId="2" borderId="3" xfId="0" applyNumberFormat="1" applyFont="1" applyFill="1" applyBorder="1"/>
    <xf numFmtId="165" fontId="1" fillId="2" borderId="3" xfId="0" applyNumberFormat="1" applyFont="1" applyFill="1" applyBorder="1"/>
    <xf numFmtId="165" fontId="7" fillId="2" borderId="0" xfId="0" applyNumberFormat="1" applyFont="1" applyFill="1"/>
    <xf numFmtId="165" fontId="5" fillId="2" borderId="4" xfId="0" applyNumberFormat="1" applyFont="1" applyFill="1" applyBorder="1"/>
    <xf numFmtId="165" fontId="5" fillId="2" borderId="4" xfId="0" applyNumberFormat="1" applyFont="1" applyFill="1" applyBorder="1" applyAlignment="1">
      <alignment horizontal="right" wrapText="1"/>
    </xf>
    <xf numFmtId="165" fontId="5" fillId="3" borderId="4" xfId="0" applyNumberFormat="1" applyFont="1" applyFill="1" applyBorder="1" applyAlignment="1">
      <alignment horizontal="right" wrapText="1"/>
    </xf>
    <xf numFmtId="165" fontId="1" fillId="3" borderId="0" xfId="0" applyNumberFormat="1" applyFont="1" applyFill="1"/>
    <xf numFmtId="165" fontId="5" fillId="2" borderId="0" xfId="0" applyNumberFormat="1" applyFont="1" applyFill="1" applyAlignment="1">
      <alignment horizontal="right" wrapText="1"/>
    </xf>
    <xf numFmtId="165" fontId="5" fillId="2" borderId="4" xfId="0" applyNumberFormat="1" applyFont="1" applyFill="1" applyBorder="1" applyAlignment="1">
      <alignment wrapText="1"/>
    </xf>
    <xf numFmtId="165" fontId="5" fillId="2" borderId="0" xfId="0" applyNumberFormat="1" applyFont="1" applyFill="1"/>
    <xf numFmtId="168" fontId="1" fillId="2" borderId="0" xfId="2" applyNumberFormat="1" applyFont="1" applyFill="1"/>
    <xf numFmtId="9" fontId="1" fillId="3" borderId="0" xfId="2" applyFont="1" applyFill="1"/>
    <xf numFmtId="167" fontId="1" fillId="3" borderId="0" xfId="0" applyNumberFormat="1" applyFont="1" applyFill="1"/>
    <xf numFmtId="167" fontId="9" fillId="2" borderId="0" xfId="0" applyNumberFormat="1" applyFont="1" applyFill="1"/>
    <xf numFmtId="167" fontId="1" fillId="2" borderId="3" xfId="0" applyNumberFormat="1" applyFont="1" applyFill="1" applyBorder="1"/>
    <xf numFmtId="165" fontId="3" fillId="2" borderId="19" xfId="0" applyNumberFormat="1" applyFont="1" applyFill="1" applyBorder="1"/>
    <xf numFmtId="167" fontId="3" fillId="2" borderId="19" xfId="0" applyNumberFormat="1" applyFont="1" applyFill="1" applyBorder="1"/>
    <xf numFmtId="167" fontId="5" fillId="2" borderId="0" xfId="0" applyNumberFormat="1" applyFont="1" applyFill="1"/>
    <xf numFmtId="165" fontId="9" fillId="2" borderId="0" xfId="0" applyNumberFormat="1" applyFont="1" applyFill="1"/>
    <xf numFmtId="167" fontId="1" fillId="2" borderId="0" xfId="0" applyNumberFormat="1" applyFont="1" applyFill="1" applyAlignment="1">
      <alignment horizontal="right"/>
    </xf>
    <xf numFmtId="169" fontId="1" fillId="3" borderId="0" xfId="0" applyNumberFormat="1" applyFont="1" applyFill="1"/>
    <xf numFmtId="168" fontId="7" fillId="2" borderId="0" xfId="2" applyNumberFormat="1" applyFont="1" applyFill="1"/>
    <xf numFmtId="165" fontId="7" fillId="3" borderId="0" xfId="0" applyNumberFormat="1" applyFont="1" applyFill="1"/>
    <xf numFmtId="179" fontId="1" fillId="2" borderId="0" xfId="0" applyNumberFormat="1" applyFont="1" applyFill="1"/>
    <xf numFmtId="168" fontId="7" fillId="3" borderId="0" xfId="2" applyNumberFormat="1" applyFont="1" applyFill="1"/>
    <xf numFmtId="168" fontId="7" fillId="3" borderId="0" xfId="0" applyNumberFormat="1" applyFont="1" applyFill="1"/>
    <xf numFmtId="165" fontId="8" fillId="4" borderId="0" xfId="0" applyNumberFormat="1" applyFont="1" applyFill="1"/>
    <xf numFmtId="167" fontId="8" fillId="4" borderId="0" xfId="0" applyNumberFormat="1" applyFont="1" applyFill="1"/>
    <xf numFmtId="165" fontId="5" fillId="2" borderId="19" xfId="0" applyNumberFormat="1" applyFont="1" applyFill="1" applyBorder="1"/>
    <xf numFmtId="167" fontId="5" fillId="2" borderId="19" xfId="0" applyNumberFormat="1" applyFont="1" applyFill="1" applyBorder="1"/>
    <xf numFmtId="167" fontId="1" fillId="3" borderId="19" xfId="0" applyNumberFormat="1" applyFont="1" applyFill="1" applyBorder="1"/>
    <xf numFmtId="165" fontId="5" fillId="2" borderId="20" xfId="0" applyNumberFormat="1" applyFont="1" applyFill="1" applyBorder="1"/>
    <xf numFmtId="167" fontId="5" fillId="2" borderId="20" xfId="0" applyNumberFormat="1" applyFont="1" applyFill="1" applyBorder="1"/>
    <xf numFmtId="167" fontId="1" fillId="2" borderId="20" xfId="0" applyNumberFormat="1" applyFont="1" applyFill="1" applyBorder="1"/>
    <xf numFmtId="167" fontId="5" fillId="3" borderId="20" xfId="0" applyNumberFormat="1" applyFont="1" applyFill="1" applyBorder="1"/>
    <xf numFmtId="165" fontId="1" fillId="47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60" fillId="4" borderId="0" xfId="0" applyNumberFormat="1" applyFont="1" applyFill="1" applyAlignment="1">
      <alignment horizontal="center"/>
    </xf>
    <xf numFmtId="165" fontId="1" fillId="2" borderId="0" xfId="0" applyNumberFormat="1" applyFont="1" applyFill="1" applyAlignment="1"/>
    <xf numFmtId="10" fontId="1" fillId="2" borderId="0" xfId="0" applyNumberFormat="1" applyFont="1" applyFill="1"/>
    <xf numFmtId="9" fontId="1" fillId="2" borderId="0" xfId="0" applyNumberFormat="1" applyFont="1" applyFill="1"/>
    <xf numFmtId="167" fontId="7" fillId="2" borderId="0" xfId="0" applyNumberFormat="1" applyFont="1" applyFill="1"/>
    <xf numFmtId="10" fontId="1" fillId="3" borderId="0" xfId="0" applyNumberFormat="1" applyFont="1" applyFill="1"/>
    <xf numFmtId="9" fontId="1" fillId="2" borderId="0" xfId="3" applyNumberFormat="1" applyFont="1" applyFill="1"/>
    <xf numFmtId="9" fontId="1" fillId="3" borderId="0" xfId="0" applyNumberFormat="1" applyFont="1" applyFill="1"/>
    <xf numFmtId="179" fontId="1" fillId="3" borderId="0" xfId="0" applyNumberFormat="1" applyFont="1" applyFill="1"/>
    <xf numFmtId="167" fontId="9" fillId="2" borderId="19" xfId="0" applyNumberFormat="1" applyFont="1" applyFill="1" applyBorder="1"/>
    <xf numFmtId="165" fontId="1" fillId="48" borderId="0" xfId="0" applyNumberFormat="1" applyFont="1" applyFill="1"/>
    <xf numFmtId="166" fontId="3" fillId="2" borderId="0" xfId="0" applyNumberFormat="1" applyFont="1" applyFill="1"/>
    <xf numFmtId="166" fontId="3" fillId="2" borderId="19" xfId="0" applyNumberFormat="1" applyFont="1" applyFill="1" applyBorder="1"/>
    <xf numFmtId="166" fontId="8" fillId="4" borderId="0" xfId="0" applyNumberFormat="1" applyFont="1" applyFill="1"/>
    <xf numFmtId="166" fontId="1" fillId="3" borderId="0" xfId="0" applyNumberFormat="1" applyFont="1" applyFill="1"/>
    <xf numFmtId="166" fontId="3" fillId="3" borderId="19" xfId="0" applyNumberFormat="1" applyFont="1" applyFill="1" applyBorder="1"/>
    <xf numFmtId="166" fontId="3" fillId="3" borderId="0" xfId="0" applyNumberFormat="1" applyFont="1" applyFill="1"/>
    <xf numFmtId="165" fontId="3" fillId="2" borderId="0" xfId="0" applyNumberFormat="1" applyFont="1" applyFill="1"/>
    <xf numFmtId="165" fontId="1" fillId="2" borderId="19" xfId="0" applyNumberFormat="1" applyFont="1" applyFill="1" applyBorder="1"/>
    <xf numFmtId="167" fontId="3" fillId="3" borderId="19" xfId="0" applyNumberFormat="1" applyFont="1" applyFill="1" applyBorder="1"/>
    <xf numFmtId="180" fontId="1" fillId="2" borderId="0" xfId="0" applyNumberFormat="1" applyFont="1" applyFill="1"/>
    <xf numFmtId="9" fontId="1" fillId="2" borderId="0" xfId="2" applyFont="1" applyFill="1"/>
    <xf numFmtId="180" fontId="3" fillId="2" borderId="19" xfId="0" applyNumberFormat="1" applyFont="1" applyFill="1" applyBorder="1"/>
    <xf numFmtId="165" fontId="60" fillId="2" borderId="0" xfId="0" applyNumberFormat="1" applyFont="1" applyFill="1"/>
    <xf numFmtId="9" fontId="3" fillId="2" borderId="21" xfId="2" applyFont="1" applyFill="1" applyBorder="1"/>
    <xf numFmtId="9" fontId="3" fillId="2" borderId="2" xfId="2" applyFont="1" applyFill="1" applyBorder="1" applyAlignment="1">
      <alignment horizontal="center"/>
    </xf>
    <xf numFmtId="168" fontId="8" fillId="4" borderId="0" xfId="2" applyNumberFormat="1" applyFont="1" applyFill="1"/>
    <xf numFmtId="165" fontId="5" fillId="2" borderId="0" xfId="0" applyNumberFormat="1" applyFont="1" applyFill="1" applyBorder="1" applyAlignment="1">
      <alignment horizontal="right" wrapText="1"/>
    </xf>
    <xf numFmtId="169" fontId="1" fillId="2" borderId="0" xfId="3" applyNumberFormat="1" applyFont="1" applyFill="1"/>
    <xf numFmtId="169" fontId="1" fillId="3" borderId="0" xfId="3" applyNumberFormat="1" applyFont="1" applyFill="1"/>
    <xf numFmtId="0" fontId="1" fillId="3" borderId="0" xfId="0" applyFont="1" applyFill="1"/>
    <xf numFmtId="10" fontId="1" fillId="2" borderId="0" xfId="2" applyNumberFormat="1" applyFont="1" applyFill="1"/>
    <xf numFmtId="10" fontId="1" fillId="3" borderId="0" xfId="2" applyNumberFormat="1" applyFont="1" applyFill="1"/>
    <xf numFmtId="0" fontId="3" fillId="2" borderId="19" xfId="0" applyFont="1" applyFill="1" applyBorder="1"/>
    <xf numFmtId="169" fontId="3" fillId="2" borderId="19" xfId="3" applyNumberFormat="1" applyFont="1" applyFill="1" applyBorder="1"/>
    <xf numFmtId="169" fontId="3" fillId="3" borderId="19" xfId="3" applyNumberFormat="1" applyFont="1" applyFill="1" applyBorder="1"/>
    <xf numFmtId="0" fontId="5" fillId="2" borderId="4" xfId="0" applyFont="1" applyFill="1" applyBorder="1"/>
    <xf numFmtId="0" fontId="1" fillId="2" borderId="4" xfId="0" applyFont="1" applyFill="1" applyBorder="1"/>
    <xf numFmtId="169" fontId="1" fillId="2" borderId="0" xfId="0" applyNumberFormat="1" applyFont="1" applyFill="1"/>
    <xf numFmtId="165" fontId="61" fillId="2" borderId="0" xfId="0" applyNumberFormat="1" applyFont="1" applyFill="1" applyAlignment="1">
      <alignment wrapText="1"/>
    </xf>
    <xf numFmtId="165" fontId="8" fillId="4" borderId="0" xfId="0" applyNumberFormat="1" applyFont="1" applyFill="1" applyAlignment="1">
      <alignment horizontal="center"/>
    </xf>
    <xf numFmtId="165" fontId="8" fillId="4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/>
    <xf numFmtId="165" fontId="3" fillId="2" borderId="22" xfId="0" applyNumberFormat="1" applyFont="1" applyFill="1" applyBorder="1"/>
    <xf numFmtId="167" fontId="3" fillId="2" borderId="0" xfId="0" applyNumberFormat="1" applyFont="1" applyFill="1"/>
  </cellXfs>
  <cellStyles count="165">
    <cellStyle name="%" xfId="135"/>
    <cellStyle name="_x0002_._x0011__x0002_._x001b__x0002_ _x0015_%_x0018__x0001_" xfId="5"/>
    <cellStyle name="_060510 Goal Setting CNV" xfId="6"/>
    <cellStyle name="_2008-08-18 WC SRL" xfId="7"/>
    <cellStyle name="_2008-10-06 Goodwill Test KPMG incl PL 19 (2)" xfId="8"/>
    <cellStyle name="_2008-10-06 Goodwill Test KPMG incl PL 19 (3)" xfId="9"/>
    <cellStyle name="_2009-03-17 Version für 53-19" xfId="10"/>
    <cellStyle name="_Access Bluebook 2007 DCL V7" xfId="11"/>
    <cellStyle name="_AL_cost_outlook_070405_Bluebook2007" xfId="12"/>
    <cellStyle name="_BB_08_BG_COM" xfId="13"/>
    <cellStyle name="_Bluebook-2005-PL-Projections-COM-SR2" xfId="14"/>
    <cellStyle name="_COM Cash Flow Bluebook 2008" xfId="15"/>
    <cellStyle name="_Cordless_Bizcase_070524" xfId="16"/>
    <cellStyle name="_Cordless_Bizcase_Bluebook (2)" xfId="17"/>
    <cellStyle name="_Cordless_Bizcase_Master" xfId="18"/>
    <cellStyle name="_Data" xfId="19"/>
    <cellStyle name="_Foundry Wafer Price Database - BU" xfId="20"/>
    <cellStyle name="_Segment_DCL_FRFC_2007_03" xfId="21"/>
    <cellStyle name="_SR_CSP_Segments" xfId="22"/>
    <cellStyle name="_Wireless_MPP_FRFC0810_V3" xfId="23"/>
    <cellStyle name="_WLS_MPP_BB2008_vs_VRFC0904_bw (2)" xfId="24"/>
    <cellStyle name="0,0_x000d__x000a_NA_x000d__x000a_" xfId="25"/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40% - Accent1 2" xfId="32"/>
    <cellStyle name="40% - Accent2 2" xfId="33"/>
    <cellStyle name="40% - Accent3 2" xfId="34"/>
    <cellStyle name="40% - Accent4 2" xfId="35"/>
    <cellStyle name="40% - Accent5 2" xfId="36"/>
    <cellStyle name="40% - Accent6 2" xfId="37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 2" xfId="44"/>
    <cellStyle name="Accent2 2" xfId="45"/>
    <cellStyle name="Accent3 2" xfId="46"/>
    <cellStyle name="Accent4 2" xfId="47"/>
    <cellStyle name="Accent5 2" xfId="48"/>
    <cellStyle name="Accent6 2" xfId="49"/>
    <cellStyle name="AFE" xfId="50"/>
    <cellStyle name="AFE 2" xfId="133"/>
    <cellStyle name="Bad 2" xfId="51"/>
    <cellStyle name="Calculation 2" xfId="52"/>
    <cellStyle name="Check Cell 2" xfId="53"/>
    <cellStyle name="Comma" xfId="3" builtinId="3"/>
    <cellStyle name="Comma 2" xfId="154"/>
    <cellStyle name="Detail" xfId="54"/>
    <cellStyle name="Euro" xfId="55"/>
    <cellStyle name="Explanatory Text 2" xfId="56"/>
    <cellStyle name="EY Narrative text" xfId="148"/>
    <cellStyle name="EY0dp" xfId="146"/>
    <cellStyle name="EY1dp" xfId="147"/>
    <cellStyle name="EYChartTitle" xfId="141"/>
    <cellStyle name="EYColumnHeading" xfId="144"/>
    <cellStyle name="EYCurrency" xfId="143"/>
    <cellStyle name="EYnumber" xfId="142"/>
    <cellStyle name="EYSectionHeading" xfId="138"/>
    <cellStyle name="EYSheetHeading" xfId="140"/>
    <cellStyle name="EYsmallheading" xfId="139"/>
    <cellStyle name="EYSource" xfId="149"/>
    <cellStyle name="EYtext" xfId="145"/>
    <cellStyle name="Good 2" xfId="57"/>
    <cellStyle name="Grey" xfId="58"/>
    <cellStyle name="Heading 1 2" xfId="59"/>
    <cellStyle name="Heading 2 2" xfId="60"/>
    <cellStyle name="Heading 3 2" xfId="61"/>
    <cellStyle name="Heading 4 2" xfId="62"/>
    <cellStyle name="Input [yellow]" xfId="64"/>
    <cellStyle name="Input 2" xfId="63"/>
    <cellStyle name="Linked Cell 2" xfId="65"/>
    <cellStyle name="meny_33-34" xfId="66"/>
    <cellStyle name="Milliers [0]_foxz" xfId="67"/>
    <cellStyle name="Milliers_foxz" xfId="68"/>
    <cellStyle name="Monétaire [0]_foxz" xfId="69"/>
    <cellStyle name="Monétaire_foxz" xfId="70"/>
    <cellStyle name="Neutral 2" xfId="71"/>
    <cellStyle name="Normal" xfId="0" builtinId="0"/>
    <cellStyle name="Normal - Style1" xfId="72"/>
    <cellStyle name="Normal 2" xfId="150"/>
    <cellStyle name="Normal 2 2" xfId="152"/>
    <cellStyle name="Normal 3" xfId="151"/>
    <cellStyle name="Normal 4" xfId="153"/>
    <cellStyle name="Normal 5" xfId="4"/>
    <cellStyle name="normální_33-34" xfId="73"/>
    <cellStyle name="Note 2" xfId="74"/>
    <cellStyle name="Œ…‹æØ‚è [0.00]_laroux" xfId="75"/>
    <cellStyle name="Œ…‹æØ‚è_laroux" xfId="76"/>
    <cellStyle name="Output 2" xfId="77"/>
    <cellStyle name="Percent" xfId="2" builtinId="5"/>
    <cellStyle name="Percent [2]" xfId="79"/>
    <cellStyle name="Percent 2" xfId="155"/>
    <cellStyle name="Percent 3" xfId="78"/>
    <cellStyle name="Percent 5" xfId="80"/>
    <cellStyle name="Prozent 2" xfId="134"/>
    <cellStyle name="PSChar" xfId="81"/>
    <cellStyle name="PSDate" xfId="82"/>
    <cellStyle name="PSDec" xfId="83"/>
    <cellStyle name="PSHeading" xfId="84"/>
    <cellStyle name="PSInt" xfId="85"/>
    <cellStyle name="PSSpacer" xfId="86"/>
    <cellStyle name="Revenue" xfId="87"/>
    <cellStyle name="SAPBEXaggData" xfId="88"/>
    <cellStyle name="SAPBEXaggDataEmph" xfId="89"/>
    <cellStyle name="SAPBEXaggItem" xfId="90"/>
    <cellStyle name="SAPBEXaggItemX" xfId="91"/>
    <cellStyle name="SAPBEXchaText" xfId="92"/>
    <cellStyle name="SAPBEXexcBad7" xfId="93"/>
    <cellStyle name="SAPBEXexcBad8" xfId="94"/>
    <cellStyle name="SAPBEXexcBad9" xfId="95"/>
    <cellStyle name="SAPBEXexcCritical4" xfId="96"/>
    <cellStyle name="SAPBEXexcCritical5" xfId="97"/>
    <cellStyle name="SAPBEXexcCritical6" xfId="98"/>
    <cellStyle name="SAPBEXexcGood1" xfId="99"/>
    <cellStyle name="SAPBEXexcGood2" xfId="100"/>
    <cellStyle name="SAPBEXexcGood3" xfId="101"/>
    <cellStyle name="SAPBEXfilterDrill" xfId="102"/>
    <cellStyle name="SAPBEXfilterItem" xfId="103"/>
    <cellStyle name="SAPBEXfilterText" xfId="104"/>
    <cellStyle name="SAPBEXformats" xfId="105"/>
    <cellStyle name="SAPBEXheaderItem" xfId="106"/>
    <cellStyle name="SAPBEXheaderText" xfId="107"/>
    <cellStyle name="SAPBEXHLevel0" xfId="108"/>
    <cellStyle name="SAPBEXHLevel0X" xfId="109"/>
    <cellStyle name="SAPBEXHLevel1" xfId="110"/>
    <cellStyle name="SAPBEXHLevel1X" xfId="111"/>
    <cellStyle name="SAPBEXHLevel2" xfId="112"/>
    <cellStyle name="SAPBEXHLevel2X" xfId="113"/>
    <cellStyle name="SAPBEXHLevel3" xfId="114"/>
    <cellStyle name="SAPBEXHLevel3X" xfId="115"/>
    <cellStyle name="SAPBEXresData" xfId="116"/>
    <cellStyle name="SAPBEXresDataEmph" xfId="117"/>
    <cellStyle name="SAPBEXresItem" xfId="118"/>
    <cellStyle name="SAPBEXresItemX" xfId="119"/>
    <cellStyle name="SAPBEXstdData" xfId="120"/>
    <cellStyle name="SAPBEXstdDataEmph" xfId="121"/>
    <cellStyle name="SAPBEXstdItem" xfId="122"/>
    <cellStyle name="SAPBEXstdItemX" xfId="123"/>
    <cellStyle name="SAPBEXtitle" xfId="124"/>
    <cellStyle name="SAPBEXundefined" xfId="125"/>
    <cellStyle name="Smart Subtitle 1" xfId="1"/>
    <cellStyle name="Standard 2" xfId="132"/>
    <cellStyle name="Standard 3" xfId="136"/>
    <cellStyle name="Standard 4" xfId="156"/>
    <cellStyle name="Stil 1" xfId="131"/>
    <cellStyle name="Style 1" xfId="126"/>
    <cellStyle name="Tahoma:10:1" xfId="160"/>
    <cellStyle name="Tahoma:10:129" xfId="161"/>
    <cellStyle name="Tahoma:12:1" xfId="157"/>
    <cellStyle name="Tahoma:12:129" xfId="162"/>
    <cellStyle name="Tahoma:8:0" xfId="158"/>
    <cellStyle name="Tahoma:8:1" xfId="159"/>
    <cellStyle name="Tahoma:8:128" xfId="163"/>
    <cellStyle name="Tahoma:8:129" xfId="164"/>
    <cellStyle name="Title 2" xfId="127"/>
    <cellStyle name="Total 2" xfId="128"/>
    <cellStyle name="Total Row" xfId="129"/>
    <cellStyle name="TTS" xfId="137"/>
    <cellStyle name="Warning Text 2" xfId="1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 &amp; EBITDA'!$B$5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'Rev &amp; EBITDA'!$C$5:$K$5</c:f>
              <c:numCache>
                <c:formatCode>_(* #,##0_);_(* \(#,##0\);_(* "-"?_);@_)</c:formatCode>
                <c:ptCount val="9"/>
                <c:pt idx="0">
                  <c:v>6910000</c:v>
                </c:pt>
                <c:pt idx="1">
                  <c:v>9714000</c:v>
                </c:pt>
                <c:pt idx="2">
                  <c:v>11716000</c:v>
                </c:pt>
                <c:pt idx="4">
                  <c:v>15230800</c:v>
                </c:pt>
                <c:pt idx="5">
                  <c:v>19800040</c:v>
                </c:pt>
                <c:pt idx="6">
                  <c:v>25740052</c:v>
                </c:pt>
                <c:pt idx="7">
                  <c:v>33462067.600000001</c:v>
                </c:pt>
                <c:pt idx="8">
                  <c:v>43500687.880000003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377376"/>
        <c:axId val="762378464"/>
      </c:barChart>
      <c:lineChart>
        <c:grouping val="standard"/>
        <c:varyColors val="0"/>
        <c:ser>
          <c:idx val="2"/>
          <c:order val="1"/>
          <c:tx>
            <c:strRef>
              <c:f>'Rev &amp; EBITDA'!$B$7</c:f>
              <c:strCache>
                <c:ptCount val="1"/>
                <c:pt idx="0">
                  <c:v>EBITDA %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'Rev &amp; EBITDA'!$C$7:$K$7</c:f>
              <c:numCache>
                <c:formatCode>0.00%</c:formatCode>
                <c:ptCount val="9"/>
                <c:pt idx="0">
                  <c:v>0.28031837916063673</c:v>
                </c:pt>
                <c:pt idx="1">
                  <c:v>0.33045089561457691</c:v>
                </c:pt>
                <c:pt idx="2">
                  <c:v>0.32468419255718678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0.31000000000000005</c:v>
                </c:pt>
                <c:pt idx="8">
                  <c:v>0.31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2379552"/>
        <c:axId val="762379008"/>
      </c:lineChart>
      <c:catAx>
        <c:axId val="76237737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78464"/>
        <c:crosses val="autoZero"/>
        <c:auto val="1"/>
        <c:lblAlgn val="ctr"/>
        <c:lblOffset val="100"/>
        <c:noMultiLvlLbl val="0"/>
      </c:catAx>
      <c:valAx>
        <c:axId val="7623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USD $ (in 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77376"/>
        <c:crosses val="autoZero"/>
        <c:crossBetween val="between"/>
      </c:valAx>
      <c:valAx>
        <c:axId val="76237900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79552"/>
        <c:crosses val="max"/>
        <c:crossBetween val="between"/>
      </c:valAx>
      <c:catAx>
        <c:axId val="76237955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2379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'Cash Flows'!$B$5</c:f>
              <c:strCache>
                <c:ptCount val="1"/>
                <c:pt idx="0">
                  <c:v>UFCF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 Flows'!$C$4:$G$4</c:f>
              <c:strCache>
                <c:ptCount val="5"/>
                <c:pt idx="0">
                  <c:v>FY19
Forecast</c:v>
                </c:pt>
                <c:pt idx="1">
                  <c:v>FY20
Forecast</c:v>
                </c:pt>
                <c:pt idx="2">
                  <c:v>FY21
Forecast</c:v>
                </c:pt>
                <c:pt idx="3">
                  <c:v>FY22
Forecast</c:v>
                </c:pt>
                <c:pt idx="4">
                  <c:v>FY23
Forecast</c:v>
                </c:pt>
              </c:strCache>
            </c:strRef>
          </c:cat>
          <c:val>
            <c:numRef>
              <c:f>'Cash Flows'!$C$5:$G$5</c:f>
              <c:numCache>
                <c:formatCode>_(* #,##0_);_(* \(#,##0\);_(* "-"?_);@_)</c:formatCode>
                <c:ptCount val="5"/>
                <c:pt idx="0">
                  <c:v>4076885.9575140686</c:v>
                </c:pt>
                <c:pt idx="1">
                  <c:v>4037627.5872542216</c:v>
                </c:pt>
                <c:pt idx="2">
                  <c:v>5248915.863430487</c:v>
                </c:pt>
                <c:pt idx="3">
                  <c:v>6823590.6224596342</c:v>
                </c:pt>
                <c:pt idx="4">
                  <c:v>8870667.8091975208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'Cash Flows'!$B$6</c:f>
              <c:strCache>
                <c:ptCount val="1"/>
                <c:pt idx="0">
                  <c:v>PV of UFCF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'Cash Flows'!$C$4:$G$4</c:f>
              <c:strCache>
                <c:ptCount val="5"/>
                <c:pt idx="0">
                  <c:v>FY19
Forecast</c:v>
                </c:pt>
                <c:pt idx="1">
                  <c:v>FY20
Forecast</c:v>
                </c:pt>
                <c:pt idx="2">
                  <c:v>FY21
Forecast</c:v>
                </c:pt>
                <c:pt idx="3">
                  <c:v>FY22
Forecast</c:v>
                </c:pt>
                <c:pt idx="4">
                  <c:v>FY23
Forecast</c:v>
                </c:pt>
              </c:strCache>
            </c:strRef>
          </c:cat>
          <c:val>
            <c:numRef>
              <c:f>'Cash Flows'!$C$6:$G$6</c:f>
              <c:numCache>
                <c:formatCode>_(* #,##0_);_(* \(#,##0\);_(* "-"?_);@_)</c:formatCode>
                <c:ptCount val="5"/>
                <c:pt idx="0">
                  <c:v>3706259.9613764258</c:v>
                </c:pt>
                <c:pt idx="1">
                  <c:v>3336882.303515885</c:v>
                </c:pt>
                <c:pt idx="2">
                  <c:v>3943588.1768824081</c:v>
                </c:pt>
                <c:pt idx="3">
                  <c:v>4660604.2090428472</c:v>
                </c:pt>
                <c:pt idx="4">
                  <c:v>5507986.7925051795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2381184"/>
        <c:axId val="967697632"/>
      </c:lineChart>
      <c:catAx>
        <c:axId val="76238118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697632"/>
        <c:crosses val="autoZero"/>
        <c:auto val="1"/>
        <c:lblAlgn val="ctr"/>
        <c:lblOffset val="100"/>
        <c:noMultiLvlLbl val="0"/>
      </c:catAx>
      <c:valAx>
        <c:axId val="9676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USD $ (in 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3"/>
          <c:order val="3"/>
          <c:tx>
            <c:strRef>
              <c:f>'Working Capital'!$B$8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Capital'!$C$4:$K$4</c:f>
              <c:strCache>
                <c:ptCount val="9"/>
                <c:pt idx="0">
                  <c:v>31Jan2017
Actual</c:v>
                </c:pt>
                <c:pt idx="1">
                  <c:v>31Jan2018
Actual</c:v>
                </c:pt>
                <c:pt idx="2">
                  <c:v>31Jan2019
Actual</c:v>
                </c:pt>
                <c:pt idx="4">
                  <c:v>31Jan2020
Forecast</c:v>
                </c:pt>
                <c:pt idx="5">
                  <c:v>31Jan2021
Forecast</c:v>
                </c:pt>
                <c:pt idx="6">
                  <c:v>31Jan2022
Forecast</c:v>
                </c:pt>
                <c:pt idx="7">
                  <c:v>31Jan2023
Forecast</c:v>
                </c:pt>
                <c:pt idx="8">
                  <c:v>31Jan2024
Forecast</c:v>
                </c:pt>
              </c:strCache>
            </c:strRef>
          </c:cat>
          <c:val>
            <c:numRef>
              <c:f>'Working Capital'!$C$8:$K$8</c:f>
              <c:numCache>
                <c:formatCode>_(* #,##0_);_(* \(#,##0\);_(* "-"??_);_(@_)</c:formatCode>
                <c:ptCount val="9"/>
                <c:pt idx="0">
                  <c:v>628000</c:v>
                </c:pt>
                <c:pt idx="1">
                  <c:v>923000</c:v>
                </c:pt>
                <c:pt idx="2">
                  <c:v>1670000</c:v>
                </c:pt>
                <c:pt idx="4">
                  <c:v>2180949.3333333321</c:v>
                </c:pt>
                <c:pt idx="5">
                  <c:v>2835234.1333333324</c:v>
                </c:pt>
                <c:pt idx="6">
                  <c:v>3685804.3733333331</c:v>
                </c:pt>
                <c:pt idx="7">
                  <c:v>4791545.6853333339</c:v>
                </c:pt>
                <c:pt idx="8">
                  <c:v>6229009.390933333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67692192"/>
        <c:axId val="967694368"/>
      </c:areaChart>
      <c:barChart>
        <c:barDir val="col"/>
        <c:grouping val="clustered"/>
        <c:varyColors val="0"/>
        <c:ser>
          <c:idx val="5"/>
          <c:order val="5"/>
          <c:tx>
            <c:strRef>
              <c:f>'Working Capital'!$B$10</c:f>
              <c:strCache>
                <c:ptCount val="1"/>
                <c:pt idx="0">
                  <c:v>DSO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Capital'!$C$4:$K$4</c:f>
              <c:strCache>
                <c:ptCount val="9"/>
                <c:pt idx="0">
                  <c:v>31Jan2017
Actual</c:v>
                </c:pt>
                <c:pt idx="1">
                  <c:v>31Jan2018
Actual</c:v>
                </c:pt>
                <c:pt idx="2">
                  <c:v>31Jan2019
Actual</c:v>
                </c:pt>
                <c:pt idx="4">
                  <c:v>31Jan2020
Forecast</c:v>
                </c:pt>
                <c:pt idx="5">
                  <c:v>31Jan2021
Forecast</c:v>
                </c:pt>
                <c:pt idx="6">
                  <c:v>31Jan2022
Forecast</c:v>
                </c:pt>
                <c:pt idx="7">
                  <c:v>31Jan2023
Forecast</c:v>
                </c:pt>
                <c:pt idx="8">
                  <c:v>31Jan2024
Forecast</c:v>
                </c:pt>
              </c:strCache>
            </c:strRef>
          </c:cat>
          <c:val>
            <c:numRef>
              <c:f>'Working Capital'!$C$10:$K$10</c:f>
              <c:numCache>
                <c:formatCode>_(* #,##0_);_(* \(#,##0\);_(* "-"??_);_(@_)</c:formatCode>
                <c:ptCount val="9"/>
                <c:pt idx="0">
                  <c:v>43.033285094066571</c:v>
                </c:pt>
                <c:pt idx="1">
                  <c:v>46.880790611488571</c:v>
                </c:pt>
                <c:pt idx="2">
                  <c:v>43.755547968589958</c:v>
                </c:pt>
                <c:pt idx="4">
                  <c:v>43.755547968589958</c:v>
                </c:pt>
                <c:pt idx="5">
                  <c:v>43.755547968589958</c:v>
                </c:pt>
                <c:pt idx="6">
                  <c:v>43.755547968589958</c:v>
                </c:pt>
                <c:pt idx="7">
                  <c:v>43.755547968589958</c:v>
                </c:pt>
                <c:pt idx="8">
                  <c:v>43.755547968589958</c:v>
                </c:pt>
              </c:numCache>
            </c:numRef>
          </c:val>
        </c:ser>
        <c:ser>
          <c:idx val="6"/>
          <c:order val="6"/>
          <c:tx>
            <c:strRef>
              <c:f>'Working Capital'!$B$11</c:f>
              <c:strCache>
                <c:ptCount val="1"/>
                <c:pt idx="0">
                  <c:v>DIO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Capital'!$C$4:$K$4</c:f>
              <c:strCache>
                <c:ptCount val="9"/>
                <c:pt idx="0">
                  <c:v>31Jan2017
Actual</c:v>
                </c:pt>
                <c:pt idx="1">
                  <c:v>31Jan2018
Actual</c:v>
                </c:pt>
                <c:pt idx="2">
                  <c:v>31Jan2019
Actual</c:v>
                </c:pt>
                <c:pt idx="4">
                  <c:v>31Jan2020
Forecast</c:v>
                </c:pt>
                <c:pt idx="5">
                  <c:v>31Jan2021
Forecast</c:v>
                </c:pt>
                <c:pt idx="6">
                  <c:v>31Jan2022
Forecast</c:v>
                </c:pt>
                <c:pt idx="7">
                  <c:v>31Jan2023
Forecast</c:v>
                </c:pt>
                <c:pt idx="8">
                  <c:v>31Jan2024
Forecast</c:v>
                </c:pt>
              </c:strCache>
            </c:strRef>
          </c:cat>
          <c:val>
            <c:numRef>
              <c:f>'Working Capital'!$C$11:$K$11</c:f>
              <c:numCache>
                <c:formatCode>_(* #,##0_);_(* \(#,##0\);_(* "-"??_);_(@_)</c:formatCode>
                <c:ptCount val="9"/>
                <c:pt idx="0">
                  <c:v>100.40042149631191</c:v>
                </c:pt>
                <c:pt idx="1">
                  <c:v>73.627954779033914</c:v>
                </c:pt>
                <c:pt idx="2">
                  <c:v>124.75247524752474</c:v>
                </c:pt>
                <c:pt idx="4">
                  <c:v>124.75247524752474</c:v>
                </c:pt>
                <c:pt idx="5">
                  <c:v>124.75247524752474</c:v>
                </c:pt>
                <c:pt idx="6">
                  <c:v>124.75247524752474</c:v>
                </c:pt>
                <c:pt idx="7">
                  <c:v>124.75247524752474</c:v>
                </c:pt>
                <c:pt idx="8">
                  <c:v>124.75247524752474</c:v>
                </c:pt>
              </c:numCache>
            </c:numRef>
          </c:val>
        </c:ser>
        <c:ser>
          <c:idx val="7"/>
          <c:order val="7"/>
          <c:tx>
            <c:strRef>
              <c:f>'Working Capital'!$B$12</c:f>
              <c:strCache>
                <c:ptCount val="1"/>
                <c:pt idx="0">
                  <c:v>DPO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Capital'!$C$4:$K$4</c:f>
              <c:strCache>
                <c:ptCount val="9"/>
                <c:pt idx="0">
                  <c:v>31Jan2017
Actual</c:v>
                </c:pt>
                <c:pt idx="1">
                  <c:v>31Jan2018
Actual</c:v>
                </c:pt>
                <c:pt idx="2">
                  <c:v>31Jan2019
Actual</c:v>
                </c:pt>
                <c:pt idx="4">
                  <c:v>31Jan2020
Forecast</c:v>
                </c:pt>
                <c:pt idx="5">
                  <c:v>31Jan2021
Forecast</c:v>
                </c:pt>
                <c:pt idx="6">
                  <c:v>31Jan2022
Forecast</c:v>
                </c:pt>
                <c:pt idx="7">
                  <c:v>31Jan2023
Forecast</c:v>
                </c:pt>
                <c:pt idx="8">
                  <c:v>31Jan2024
Forecast</c:v>
                </c:pt>
              </c:strCache>
            </c:strRef>
          </c:cat>
          <c:val>
            <c:numRef>
              <c:f>'Working Capital'!$C$12:$K$12</c:f>
              <c:numCache>
                <c:formatCode>_(* #,##0_);_(* \(#,##0\);_(* "-"??_);_(@_)</c:formatCode>
                <c:ptCount val="9"/>
                <c:pt idx="0">
                  <c:v>125.4373024236038</c:v>
                </c:pt>
                <c:pt idx="1">
                  <c:v>105.26207605344297</c:v>
                </c:pt>
                <c:pt idx="2">
                  <c:v>105.26732673267327</c:v>
                </c:pt>
                <c:pt idx="4">
                  <c:v>105.26732673267327</c:v>
                </c:pt>
                <c:pt idx="5">
                  <c:v>105.26732673267327</c:v>
                </c:pt>
                <c:pt idx="6">
                  <c:v>105.26732673267327</c:v>
                </c:pt>
                <c:pt idx="7">
                  <c:v>105.26732673267327</c:v>
                </c:pt>
                <c:pt idx="8">
                  <c:v>105.26732673267327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67698720"/>
        <c:axId val="967701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'Working Capital'!$B$5</c15:sqref>
                        </c15:formulaRef>
                      </c:ext>
                    </c:extLst>
                    <c:strCache>
                      <c:ptCount val="1"/>
                      <c:pt idx="0">
                        <c:v>Inventory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'Working Capital'!$C$4:$K$4</c15:sqref>
                        </c15:formulaRef>
                      </c:ext>
                    </c:extLst>
                    <c:strCache>
                      <c:ptCount val="9"/>
                      <c:pt idx="0">
                        <c:v>31Jan2017
Actual</c:v>
                      </c:pt>
                      <c:pt idx="1">
                        <c:v>31Jan2018
Actual</c:v>
                      </c:pt>
                      <c:pt idx="2">
                        <c:v>31Jan2019
Actual</c:v>
                      </c:pt>
                      <c:pt idx="4">
                        <c:v>31Jan2020
Forecast</c:v>
                      </c:pt>
                      <c:pt idx="5">
                        <c:v>31Jan2021
Forecast</c:v>
                      </c:pt>
                      <c:pt idx="6">
                        <c:v>31Jan2022
Forecast</c:v>
                      </c:pt>
                      <c:pt idx="7">
                        <c:v>31Jan2023
Forecast</c:v>
                      </c:pt>
                      <c:pt idx="8">
                        <c:v>31Jan2024
Forecast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'Working Capital'!$C$5:$K$5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"/>
                      <c:pt idx="0">
                        <c:v>794000</c:v>
                      </c:pt>
                      <c:pt idx="1">
                        <c:v>796000</c:v>
                      </c:pt>
                      <c:pt idx="2">
                        <c:v>1575000</c:v>
                      </c:pt>
                      <c:pt idx="4">
                        <c:v>2111199.9999999995</c:v>
                      </c:pt>
                      <c:pt idx="5">
                        <c:v>2744559.9999999995</c:v>
                      </c:pt>
                      <c:pt idx="6">
                        <c:v>3567928</c:v>
                      </c:pt>
                      <c:pt idx="7">
                        <c:v>4638306.4000000004</c:v>
                      </c:pt>
                      <c:pt idx="8">
                        <c:v>6029798.3200000012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Capital'!$B$6</c15:sqref>
                        </c15:formulaRef>
                      </c:ext>
                    </c:extLst>
                    <c:strCache>
                      <c:ptCount val="1"/>
                      <c:pt idx="0">
                        <c:v>AR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Capital'!$C$4:$K$4</c15:sqref>
                        </c15:formulaRef>
                      </c:ext>
                    </c:extLst>
                    <c:strCache>
                      <c:ptCount val="9"/>
                      <c:pt idx="0">
                        <c:v>31Jan2017
Actual</c:v>
                      </c:pt>
                      <c:pt idx="1">
                        <c:v>31Jan2018
Actual</c:v>
                      </c:pt>
                      <c:pt idx="2">
                        <c:v>31Jan2019
Actual</c:v>
                      </c:pt>
                      <c:pt idx="4">
                        <c:v>31Jan2020
Forecast</c:v>
                      </c:pt>
                      <c:pt idx="5">
                        <c:v>31Jan2021
Forecast</c:v>
                      </c:pt>
                      <c:pt idx="6">
                        <c:v>31Jan2022
Forecast</c:v>
                      </c:pt>
                      <c:pt idx="7">
                        <c:v>31Jan2023
Forecast</c:v>
                      </c:pt>
                      <c:pt idx="8">
                        <c:v>31Jan2024
Forecast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Capital'!$C$6:$K$6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"/>
                      <c:pt idx="0">
                        <c:v>826000</c:v>
                      </c:pt>
                      <c:pt idx="1">
                        <c:v>1265000</c:v>
                      </c:pt>
                      <c:pt idx="2">
                        <c:v>1424000</c:v>
                      </c:pt>
                      <c:pt idx="4">
                        <c:v>1851199.9999999998</c:v>
                      </c:pt>
                      <c:pt idx="5">
                        <c:v>2406559.9999999995</c:v>
                      </c:pt>
                      <c:pt idx="6">
                        <c:v>3128528</c:v>
                      </c:pt>
                      <c:pt idx="7">
                        <c:v>4067086.4</c:v>
                      </c:pt>
                      <c:pt idx="8">
                        <c:v>5287212.32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Capital'!$B$7</c15:sqref>
                        </c15:formulaRef>
                      </c:ext>
                    </c:extLst>
                    <c:strCache>
                      <c:ptCount val="1"/>
                      <c:pt idx="0">
                        <c:v>AP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Capital'!$C$4:$K$4</c15:sqref>
                        </c15:formulaRef>
                      </c:ext>
                    </c:extLst>
                    <c:strCache>
                      <c:ptCount val="9"/>
                      <c:pt idx="0">
                        <c:v>31Jan2017
Actual</c:v>
                      </c:pt>
                      <c:pt idx="1">
                        <c:v>31Jan2018
Actual</c:v>
                      </c:pt>
                      <c:pt idx="2">
                        <c:v>31Jan2019
Actual</c:v>
                      </c:pt>
                      <c:pt idx="4">
                        <c:v>31Jan2020
Forecast</c:v>
                      </c:pt>
                      <c:pt idx="5">
                        <c:v>31Jan2021
Forecast</c:v>
                      </c:pt>
                      <c:pt idx="6">
                        <c:v>31Jan2022
Forecast</c:v>
                      </c:pt>
                      <c:pt idx="7">
                        <c:v>31Jan2023
Forecast</c:v>
                      </c:pt>
                      <c:pt idx="8">
                        <c:v>31Jan2024
Forecast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Capital'!$C$7:$K$7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9"/>
                      <c:pt idx="0">
                        <c:v>992000</c:v>
                      </c:pt>
                      <c:pt idx="1">
                        <c:v>1138000</c:v>
                      </c:pt>
                      <c:pt idx="2">
                        <c:v>1329000</c:v>
                      </c:pt>
                      <c:pt idx="4">
                        <c:v>1781450.6666666667</c:v>
                      </c:pt>
                      <c:pt idx="5">
                        <c:v>2315885.8666666667</c:v>
                      </c:pt>
                      <c:pt idx="6">
                        <c:v>3010651.6266666669</c:v>
                      </c:pt>
                      <c:pt idx="7">
                        <c:v>3913847.1146666673</c:v>
                      </c:pt>
                      <c:pt idx="8">
                        <c:v>5088001.2490666676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Capital'!$C$4:$K$4</c15:sqref>
                        </c15:formulaRef>
                      </c:ext>
                    </c:extLst>
                    <c:strCache>
                      <c:ptCount val="9"/>
                      <c:pt idx="0">
                        <c:v>31Jan2017
Actual</c:v>
                      </c:pt>
                      <c:pt idx="1">
                        <c:v>31Jan2018
Actual</c:v>
                      </c:pt>
                      <c:pt idx="2">
                        <c:v>31Jan2019
Actual</c:v>
                      </c:pt>
                      <c:pt idx="4">
                        <c:v>31Jan2020
Forecast</c:v>
                      </c:pt>
                      <c:pt idx="5">
                        <c:v>31Jan2021
Forecast</c:v>
                      </c:pt>
                      <c:pt idx="6">
                        <c:v>31Jan2022
Forecast</c:v>
                      </c:pt>
                      <c:pt idx="7">
                        <c:v>31Jan2023
Forecast</c:v>
                      </c:pt>
                      <c:pt idx="8">
                        <c:v>31Jan2024
Forecast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'Working Capital'!$C$9:$K$9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</c15:ser>
            </c15:filteredBarSeries>
          </c:ext>
        </c:extLst>
      </c:barChart>
      <c:catAx>
        <c:axId val="96769872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701440"/>
        <c:crosses val="autoZero"/>
        <c:auto val="1"/>
        <c:lblAlgn val="ctr"/>
        <c:lblOffset val="100"/>
        <c:noMultiLvlLbl val="0"/>
      </c:catAx>
      <c:valAx>
        <c:axId val="9677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698720"/>
        <c:crosses val="autoZero"/>
        <c:crossBetween val="between"/>
      </c:valAx>
      <c:valAx>
        <c:axId val="967694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USD $ (in 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692192"/>
        <c:crosses val="max"/>
        <c:crossBetween val="between"/>
      </c:valAx>
      <c:catAx>
        <c:axId val="96769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7694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82.2B</a:t>
            </a:r>
          </a:p>
        </c:rich>
      </c:tx>
      <c:layout>
        <c:manualLayout>
          <c:xMode val="edge"/>
          <c:yMode val="edge"/>
          <c:x val="0.43179855643044618"/>
          <c:y val="0.3888888888888889"/>
        </c:manualLayout>
      </c:layout>
      <c:overlay val="1"/>
      <c:spPr>
        <a:solidFill>
          <a:srgbClr val="00B050"/>
        </a:solidFill>
        <a:ln w="25400" cap="flat" cmpd="sng" algn="ctr">
          <a:solidFill>
            <a:schemeClr val="accent3">
              <a:shade val="50000"/>
            </a:schemeClr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'DCF Results'!$B$4:$B$7</c15:sqref>
                  </c15:fullRef>
                </c:ext>
              </c:extLst>
              <c:f>'DCF Results'!$B$6:$B$7</c:f>
              <c:strCache>
                <c:ptCount val="2"/>
                <c:pt idx="0">
                  <c:v>% CFs in Forecast</c:v>
                </c:pt>
                <c:pt idx="1">
                  <c:v>% Continuing 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 Results'!$C$4:$C$7</c15:sqref>
                  </c15:fullRef>
                </c:ext>
              </c:extLst>
              <c:f>'DCF Results'!$C$6:$C$7</c:f>
              <c:numCache>
                <c:formatCode>_(* #,##0_);_(* \(#,##0\);_(* "-"??_);_(@_)</c:formatCode>
                <c:ptCount val="2"/>
                <c:pt idx="0" formatCode="0.0%">
                  <c:v>0.3348773691250102</c:v>
                </c:pt>
                <c:pt idx="1" formatCode="0.0%">
                  <c:v>0.66512263087498991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48.6B</a:t>
            </a:r>
          </a:p>
        </c:rich>
      </c:tx>
      <c:layout>
        <c:manualLayout>
          <c:xMode val="edge"/>
          <c:yMode val="edge"/>
          <c:x val="0.43179855643044618"/>
          <c:y val="0.3888888888888889"/>
        </c:manualLayout>
      </c:layout>
      <c:overlay val="1"/>
      <c:spPr>
        <a:solidFill>
          <a:srgbClr val="00B050"/>
        </a:solidFill>
        <a:ln w="25400" cap="flat" cmpd="sng" algn="ctr">
          <a:solidFill>
            <a:schemeClr val="accent3">
              <a:shade val="50000"/>
            </a:schemeClr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'DCF Results'!$H$4:$H$7</c15:sqref>
                  </c15:fullRef>
                </c:ext>
              </c:extLst>
              <c:f>'DCF Results'!$H$6:$H$7</c:f>
              <c:strCache>
                <c:ptCount val="2"/>
                <c:pt idx="0">
                  <c:v>% CFs in Forecast</c:v>
                </c:pt>
                <c:pt idx="1">
                  <c:v>% Continuing 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 Results'!$I$4:$I$7</c15:sqref>
                  </c15:fullRef>
                </c:ext>
              </c:extLst>
              <c:f>'DCF Results'!$I$6:$I$7</c:f>
              <c:numCache>
                <c:formatCode>_(* #,##0_);_(* \(#,##0\);_(* "-"??_);_(@_)</c:formatCode>
                <c:ptCount val="2"/>
                <c:pt idx="0" formatCode="0.0%">
                  <c:v>0.36738692545172824</c:v>
                </c:pt>
                <c:pt idx="1" formatCode="0.0%">
                  <c:v>0.63261307454827176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27.3B</a:t>
            </a:r>
          </a:p>
        </c:rich>
      </c:tx>
      <c:layout>
        <c:manualLayout>
          <c:xMode val="edge"/>
          <c:yMode val="edge"/>
          <c:x val="0.43179855643044618"/>
          <c:y val="0.3888888888888889"/>
        </c:manualLayout>
      </c:layout>
      <c:overlay val="1"/>
      <c:spPr>
        <a:solidFill>
          <a:srgbClr val="00B050"/>
        </a:solidFill>
        <a:ln w="25400" cap="flat" cmpd="sng" algn="ctr">
          <a:solidFill>
            <a:schemeClr val="accent3">
              <a:shade val="50000"/>
            </a:schemeClr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'DCF Results'!$N$4:$N$7</c15:sqref>
                  </c15:fullRef>
                </c:ext>
              </c:extLst>
              <c:f>'DCF Results'!$N$6:$N$7</c:f>
              <c:strCache>
                <c:ptCount val="2"/>
                <c:pt idx="0">
                  <c:v>% CFs in Forecast</c:v>
                </c:pt>
                <c:pt idx="1">
                  <c:v>% Continuing Value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'DCF Results'!$O$4:$O$7</c15:sqref>
                  </c15:fullRef>
                </c:ext>
              </c:extLst>
              <c:f>'DCF Results'!$O$6:$O$7</c:f>
              <c:numCache>
                <c:formatCode>_(* #,##0_);_(* \(#,##0\);_(* "-"??_);_(@_)</c:formatCode>
                <c:ptCount val="2"/>
                <c:pt idx="0" formatCode="0.0%">
                  <c:v>0.40953606056078512</c:v>
                </c:pt>
                <c:pt idx="1" formatCode="0.0%">
                  <c:v>0.59046393943921482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100011</xdr:rowOff>
    </xdr:from>
    <xdr:to>
      <xdr:col>17</xdr:col>
      <xdr:colOff>571500</xdr:colOff>
      <xdr:row>39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47623</xdr:colOff>
      <xdr:row>6</xdr:row>
      <xdr:rowOff>80961</xdr:rowOff>
    </xdr:from>
    <xdr:to>
      <xdr:col>17</xdr:col>
      <xdr:colOff>504824</xdr:colOff>
      <xdr:row>38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571499</xdr:colOff>
      <xdr:row>13</xdr:row>
      <xdr:rowOff>61912</xdr:rowOff>
    </xdr:from>
    <xdr:to>
      <xdr:col>17</xdr:col>
      <xdr:colOff>466724</xdr:colOff>
      <xdr:row>39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7</xdr:row>
      <xdr:rowOff>42862</xdr:rowOff>
    </xdr:from>
    <xdr:to>
      <xdr:col>6</xdr:col>
      <xdr:colOff>904875</xdr:colOff>
      <xdr:row>25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1266825</xdr:colOff>
      <xdr:row>7</xdr:row>
      <xdr:rowOff>38100</xdr:rowOff>
    </xdr:from>
    <xdr:to>
      <xdr:col>12</xdr:col>
      <xdr:colOff>314325</xdr:colOff>
      <xdr:row>25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7</xdr:row>
      <xdr:rowOff>28575</xdr:rowOff>
    </xdr:from>
    <xdr:to>
      <xdr:col>19</xdr:col>
      <xdr:colOff>257175</xdr:colOff>
      <xdr:row>25</xdr:row>
      <xdr:rowOff>28575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N53"/>
  <sheetViews>
    <sheetView zoomScale="90" zoomScaleNormal="90" workbookViewId="0">
      <pane ySplit="6" topLeftCell="A7" activePane="bottomLeft" state="frozen"/>
      <selection pane="bottomLeft" activeCell="B25" sqref="B25"/>
    </sheetView>
  </sheetViews>
  <sheetFormatPr defaultColWidth="9.140625" defaultRowHeight="12"/>
  <cols>
    <col min="1" max="1" width="2" style="4" customWidth="1"/>
    <col min="2" max="2" width="22.140625" style="4" customWidth="1"/>
    <col min="3" max="4" width="10.5703125" style="4" bestFit="1" customWidth="1"/>
    <col min="5" max="5" width="11" style="4" bestFit="1" customWidth="1"/>
    <col min="6" max="6" width="2" style="4" customWidth="1"/>
    <col min="7" max="8" width="11" style="4" bestFit="1" customWidth="1"/>
    <col min="9" max="11" width="11.5703125" style="4" bestFit="1" customWidth="1"/>
    <col min="12" max="12" width="9.140625" style="4"/>
    <col min="13" max="13" width="22.140625" style="4" bestFit="1" customWidth="1"/>
    <col min="14" max="16384" width="9.140625" style="4"/>
  </cols>
  <sheetData>
    <row r="1" spans="2:14" ht="15.75">
      <c r="B1" s="3" t="s">
        <v>146</v>
      </c>
      <c r="G1" s="49" t="s">
        <v>71</v>
      </c>
      <c r="H1" s="4" t="s">
        <v>70</v>
      </c>
    </row>
    <row r="2" spans="2:14">
      <c r="G2" s="47">
        <v>1</v>
      </c>
      <c r="H2" s="4" t="s">
        <v>67</v>
      </c>
    </row>
    <row r="3" spans="2:14">
      <c r="B3" s="4" t="s">
        <v>63</v>
      </c>
      <c r="C3" s="48">
        <v>2</v>
      </c>
      <c r="G3" s="47">
        <v>2</v>
      </c>
      <c r="H3" s="4" t="s">
        <v>68</v>
      </c>
    </row>
    <row r="4" spans="2:14">
      <c r="G4" s="47">
        <v>3</v>
      </c>
      <c r="H4" s="4" t="s">
        <v>69</v>
      </c>
    </row>
    <row r="6" spans="2:14" ht="24.75" thickBot="1">
      <c r="B6" s="14" t="s">
        <v>34</v>
      </c>
      <c r="C6" s="15" t="s">
        <v>52</v>
      </c>
      <c r="D6" s="15" t="s">
        <v>53</v>
      </c>
      <c r="E6" s="15" t="s">
        <v>54</v>
      </c>
      <c r="F6" s="18"/>
      <c r="G6" s="16" t="s">
        <v>55</v>
      </c>
      <c r="H6" s="16" t="s">
        <v>56</v>
      </c>
      <c r="I6" s="16" t="s">
        <v>57</v>
      </c>
      <c r="J6" s="16" t="s">
        <v>58</v>
      </c>
      <c r="K6" s="16" t="s">
        <v>59</v>
      </c>
    </row>
    <row r="7" spans="2:14">
      <c r="B7" s="58" t="s">
        <v>44</v>
      </c>
      <c r="C7" s="10">
        <f>PLdata!D4</f>
        <v>6910000</v>
      </c>
      <c r="D7" s="10">
        <f>PLdata!E4</f>
        <v>9714000</v>
      </c>
      <c r="E7" s="10">
        <f>PLdata!F4</f>
        <v>11716000</v>
      </c>
      <c r="G7" s="23">
        <f>E7*(1+G8)</f>
        <v>15230800</v>
      </c>
      <c r="H7" s="23">
        <f>G7*(1+H8)</f>
        <v>19800040</v>
      </c>
      <c r="I7" s="23">
        <f t="shared" ref="I7:K7" si="0">H7*(1+I8)</f>
        <v>25740052</v>
      </c>
      <c r="J7" s="23">
        <f t="shared" si="0"/>
        <v>33462067.600000001</v>
      </c>
      <c r="K7" s="23">
        <f t="shared" si="0"/>
        <v>43500687.880000003</v>
      </c>
      <c r="N7" s="18"/>
    </row>
    <row r="8" spans="2:14">
      <c r="B8" s="4" t="s">
        <v>78</v>
      </c>
      <c r="C8" s="30"/>
      <c r="D8" s="21">
        <f>D7/C7-1</f>
        <v>0.40578871201157751</v>
      </c>
      <c r="E8" s="21">
        <f>E7/D7-1</f>
        <v>0.20609429689108505</v>
      </c>
      <c r="G8" s="22">
        <f>CHOOSE($C$3,G9,G10,G11)</f>
        <v>0.3</v>
      </c>
      <c r="H8" s="22">
        <f t="shared" ref="H8:K8" si="1">CHOOSE($C$3,H9,H10,H11)</f>
        <v>0.3</v>
      </c>
      <c r="I8" s="22">
        <f t="shared" si="1"/>
        <v>0.3</v>
      </c>
      <c r="J8" s="22">
        <f t="shared" si="1"/>
        <v>0.3</v>
      </c>
      <c r="K8" s="22">
        <f t="shared" si="1"/>
        <v>0.3</v>
      </c>
    </row>
    <row r="9" spans="2:14">
      <c r="B9" s="4" t="s">
        <v>64</v>
      </c>
      <c r="C9" s="46"/>
      <c r="D9" s="46"/>
      <c r="E9" s="46"/>
      <c r="G9" s="22">
        <v>0.4</v>
      </c>
      <c r="H9" s="22">
        <v>0.4</v>
      </c>
      <c r="I9" s="22">
        <v>0.4</v>
      </c>
      <c r="J9" s="22">
        <v>0.4</v>
      </c>
      <c r="K9" s="22">
        <v>0.4</v>
      </c>
    </row>
    <row r="10" spans="2:14">
      <c r="B10" s="4" t="s">
        <v>65</v>
      </c>
      <c r="C10" s="46"/>
      <c r="D10" s="46"/>
      <c r="E10" s="46"/>
      <c r="G10" s="22">
        <v>0.3</v>
      </c>
      <c r="H10" s="22">
        <v>0.3</v>
      </c>
      <c r="I10" s="22">
        <v>0.3</v>
      </c>
      <c r="J10" s="22">
        <v>0.3</v>
      </c>
      <c r="K10" s="22">
        <v>0.3</v>
      </c>
    </row>
    <row r="11" spans="2:14">
      <c r="B11" s="4" t="s">
        <v>66</v>
      </c>
      <c r="C11" s="46"/>
      <c r="D11" s="46"/>
      <c r="E11" s="46"/>
      <c r="G11" s="22">
        <v>0.2</v>
      </c>
      <c r="H11" s="22">
        <v>0.2</v>
      </c>
      <c r="I11" s="22">
        <v>0.2</v>
      </c>
      <c r="J11" s="22">
        <v>0.2</v>
      </c>
      <c r="K11" s="22">
        <v>0.2</v>
      </c>
    </row>
    <row r="12" spans="2:14">
      <c r="G12" s="23"/>
      <c r="H12" s="23"/>
      <c r="I12" s="23"/>
      <c r="J12" s="23"/>
      <c r="K12" s="23"/>
    </row>
    <row r="13" spans="2:14">
      <c r="B13" s="4" t="s">
        <v>72</v>
      </c>
      <c r="C13" s="10">
        <f>PLdata!D5</f>
        <v>0</v>
      </c>
      <c r="D13" s="10">
        <f>PLdata!E5</f>
        <v>0</v>
      </c>
      <c r="E13" s="10">
        <f>PLdata!F5</f>
        <v>0</v>
      </c>
      <c r="G13" s="23">
        <f>E13*(1+G14)</f>
        <v>0</v>
      </c>
      <c r="H13" s="23">
        <f>G13*(1+H14)</f>
        <v>0</v>
      </c>
      <c r="I13" s="23">
        <f t="shared" ref="I13" si="2">H13*(1+I14)</f>
        <v>0</v>
      </c>
      <c r="J13" s="23">
        <f t="shared" ref="J13" si="3">I13*(1+J14)</f>
        <v>0</v>
      </c>
      <c r="K13" s="23">
        <f t="shared" ref="K13" si="4">J13*(1+K14)</f>
        <v>0</v>
      </c>
    </row>
    <row r="14" spans="2:14">
      <c r="B14" s="4" t="s">
        <v>78</v>
      </c>
      <c r="C14" s="50"/>
      <c r="D14" s="50"/>
      <c r="E14" s="50"/>
      <c r="G14" s="22">
        <f>CHOOSE($C$3,G15,G16,G17)</f>
        <v>0</v>
      </c>
      <c r="H14" s="22">
        <f t="shared" ref="H14" si="5">CHOOSE($C$3,H15,H16,H17)</f>
        <v>0</v>
      </c>
      <c r="I14" s="22">
        <f t="shared" ref="I14" si="6">CHOOSE($C$3,I15,I16,I17)</f>
        <v>0</v>
      </c>
      <c r="J14" s="22">
        <f t="shared" ref="J14" si="7">CHOOSE($C$3,J15,J16,J17)</f>
        <v>0</v>
      </c>
      <c r="K14" s="22">
        <f t="shared" ref="K14" si="8">CHOOSE($C$3,K15,K16,K17)</f>
        <v>0</v>
      </c>
    </row>
    <row r="15" spans="2:14">
      <c r="B15" s="4" t="s">
        <v>64</v>
      </c>
      <c r="C15" s="46"/>
      <c r="D15" s="46"/>
      <c r="E15" s="46"/>
      <c r="G15" s="22">
        <v>0</v>
      </c>
      <c r="H15" s="22">
        <v>0</v>
      </c>
      <c r="I15" s="22">
        <v>0</v>
      </c>
      <c r="J15" s="22">
        <v>0</v>
      </c>
      <c r="K15" s="22">
        <v>0</v>
      </c>
    </row>
    <row r="16" spans="2:14">
      <c r="B16" s="4" t="s">
        <v>65</v>
      </c>
      <c r="C16" s="46"/>
      <c r="D16" s="46"/>
      <c r="E16" s="46"/>
      <c r="G16" s="22">
        <v>0</v>
      </c>
      <c r="H16" s="22">
        <v>0</v>
      </c>
      <c r="I16" s="22">
        <v>0</v>
      </c>
      <c r="J16" s="22">
        <v>0</v>
      </c>
      <c r="K16" s="22">
        <v>0</v>
      </c>
    </row>
    <row r="17" spans="2:11">
      <c r="B17" s="4" t="s">
        <v>66</v>
      </c>
      <c r="C17" s="46"/>
      <c r="D17" s="46"/>
      <c r="E17" s="46"/>
      <c r="G17" s="22">
        <v>0</v>
      </c>
      <c r="H17" s="22">
        <v>0</v>
      </c>
      <c r="I17" s="22">
        <v>0</v>
      </c>
      <c r="J17" s="22">
        <v>0</v>
      </c>
      <c r="K17" s="22">
        <v>0</v>
      </c>
    </row>
    <row r="18" spans="2:11">
      <c r="G18" s="23"/>
      <c r="H18" s="23"/>
      <c r="I18" s="23"/>
      <c r="J18" s="23"/>
      <c r="K18" s="23"/>
    </row>
    <row r="19" spans="2:11">
      <c r="B19" s="58" t="s">
        <v>73</v>
      </c>
      <c r="C19" s="10">
        <f>PLdata!D8+PLdata!D9</f>
        <v>-2847000</v>
      </c>
      <c r="D19" s="10">
        <f>PLdata!E8+PLdata!E9</f>
        <v>-3892000</v>
      </c>
      <c r="E19" s="10">
        <f>PLdata!F8+PLdata!F9</f>
        <v>-4545000</v>
      </c>
      <c r="G19" s="31">
        <f>G20*G$7</f>
        <v>-6092320</v>
      </c>
      <c r="H19" s="31">
        <f t="shared" ref="H19:K19" si="9">H20*H$7</f>
        <v>-7920016</v>
      </c>
      <c r="I19" s="31">
        <f t="shared" si="9"/>
        <v>-10296020.800000001</v>
      </c>
      <c r="J19" s="31">
        <f t="shared" si="9"/>
        <v>-13384827.040000001</v>
      </c>
      <c r="K19" s="31">
        <f t="shared" si="9"/>
        <v>-17400275.152000003</v>
      </c>
    </row>
    <row r="20" spans="2:11">
      <c r="B20" s="4" t="s">
        <v>79</v>
      </c>
      <c r="C20" s="21">
        <f>C19/C$7</f>
        <v>-0.41201157742402317</v>
      </c>
      <c r="D20" s="21">
        <f t="shared" ref="D20:E20" si="10">D19/D$7</f>
        <v>-0.40065884290714432</v>
      </c>
      <c r="E20" s="21">
        <f t="shared" si="10"/>
        <v>-0.38793103448275862</v>
      </c>
      <c r="G20" s="22">
        <f>CHOOSE($C$3,G21,G22,G23)</f>
        <v>-0.4</v>
      </c>
      <c r="H20" s="22">
        <f t="shared" ref="H20" si="11">CHOOSE($C$3,H21,H22,H23)</f>
        <v>-0.4</v>
      </c>
      <c r="I20" s="22">
        <f t="shared" ref="I20" si="12">CHOOSE($C$3,I21,I22,I23)</f>
        <v>-0.4</v>
      </c>
      <c r="J20" s="22">
        <f t="shared" ref="J20" si="13">CHOOSE($C$3,J21,J22,J23)</f>
        <v>-0.4</v>
      </c>
      <c r="K20" s="22">
        <f t="shared" ref="K20" si="14">CHOOSE($C$3,K21,K22,K23)</f>
        <v>-0.4</v>
      </c>
    </row>
    <row r="21" spans="2:11">
      <c r="B21" s="4" t="s">
        <v>64</v>
      </c>
      <c r="C21" s="46"/>
      <c r="D21" s="46"/>
      <c r="E21" s="46"/>
      <c r="G21" s="22">
        <v>-0.38</v>
      </c>
      <c r="H21" s="22">
        <v>-0.38</v>
      </c>
      <c r="I21" s="22">
        <v>-0.38</v>
      </c>
      <c r="J21" s="22">
        <v>-0.38</v>
      </c>
      <c r="K21" s="22">
        <v>-0.38</v>
      </c>
    </row>
    <row r="22" spans="2:11">
      <c r="B22" s="4" t="s">
        <v>65</v>
      </c>
      <c r="C22" s="46"/>
      <c r="D22" s="46"/>
      <c r="E22" s="46"/>
      <c r="G22" s="22">
        <v>-0.4</v>
      </c>
      <c r="H22" s="22">
        <v>-0.4</v>
      </c>
      <c r="I22" s="22">
        <v>-0.4</v>
      </c>
      <c r="J22" s="22">
        <v>-0.4</v>
      </c>
      <c r="K22" s="22">
        <v>-0.4</v>
      </c>
    </row>
    <row r="23" spans="2:11">
      <c r="B23" s="4" t="s">
        <v>66</v>
      </c>
      <c r="C23" s="46"/>
      <c r="D23" s="46"/>
      <c r="E23" s="46"/>
      <c r="G23" s="22">
        <v>-0.41</v>
      </c>
      <c r="H23" s="22">
        <v>-0.41</v>
      </c>
      <c r="I23" s="22">
        <v>-0.41</v>
      </c>
      <c r="J23" s="22">
        <v>-0.41</v>
      </c>
      <c r="K23" s="22">
        <v>-0.41</v>
      </c>
    </row>
    <row r="24" spans="2:11">
      <c r="G24" s="23"/>
      <c r="H24" s="23"/>
      <c r="I24" s="23"/>
      <c r="J24" s="23"/>
      <c r="K24" s="23"/>
    </row>
    <row r="25" spans="2:11">
      <c r="B25" s="58" t="s">
        <v>74</v>
      </c>
      <c r="C25" s="10">
        <f>PLdata!D10+PLdata!D11+PLdata!D12</f>
        <v>-2126000</v>
      </c>
      <c r="D25" s="10">
        <f>PLdata!E10+PLdata!E11+PLdata!E12</f>
        <v>-2612000</v>
      </c>
      <c r="E25" s="10">
        <f>PLdata!F10+PLdata!F11+PLdata!F12</f>
        <v>-3367000</v>
      </c>
      <c r="G25" s="31">
        <f>G26*G$7</f>
        <v>-4416932</v>
      </c>
      <c r="H25" s="31">
        <f t="shared" ref="H25:K25" si="15">H26*H$7</f>
        <v>-5742011.5999999996</v>
      </c>
      <c r="I25" s="31">
        <f t="shared" si="15"/>
        <v>-7464615.0799999991</v>
      </c>
      <c r="J25" s="31">
        <f t="shared" si="15"/>
        <v>-9703999.6040000003</v>
      </c>
      <c r="K25" s="31">
        <f t="shared" si="15"/>
        <v>-12615199.485199999</v>
      </c>
    </row>
    <row r="26" spans="2:11">
      <c r="B26" s="4" t="s">
        <v>79</v>
      </c>
      <c r="C26" s="21">
        <f>C25/C$7</f>
        <v>-0.3076700434153401</v>
      </c>
      <c r="D26" s="21">
        <f t="shared" ref="D26" si="16">D25/D$7</f>
        <v>-0.26889026147827877</v>
      </c>
      <c r="E26" s="21">
        <f t="shared" ref="E26" si="17">E25/E$7</f>
        <v>-0.2873847729600546</v>
      </c>
      <c r="G26" s="22">
        <f>CHOOSE($C$3,G27,G28,G29)</f>
        <v>-0.28999999999999998</v>
      </c>
      <c r="H26" s="22">
        <f t="shared" ref="H26" si="18">CHOOSE($C$3,H27,H28,H29)</f>
        <v>-0.28999999999999998</v>
      </c>
      <c r="I26" s="22">
        <f t="shared" ref="I26" si="19">CHOOSE($C$3,I27,I28,I29)</f>
        <v>-0.28999999999999998</v>
      </c>
      <c r="J26" s="22">
        <f t="shared" ref="J26" si="20">CHOOSE($C$3,J27,J28,J29)</f>
        <v>-0.28999999999999998</v>
      </c>
      <c r="K26" s="22">
        <f t="shared" ref="K26" si="21">CHOOSE($C$3,K27,K28,K29)</f>
        <v>-0.28999999999999998</v>
      </c>
    </row>
    <row r="27" spans="2:11">
      <c r="B27" s="4" t="s">
        <v>64</v>
      </c>
      <c r="C27" s="46"/>
      <c r="D27" s="46"/>
      <c r="E27" s="46"/>
      <c r="G27" s="22">
        <v>-0.27</v>
      </c>
      <c r="H27" s="22">
        <v>-0.27</v>
      </c>
      <c r="I27" s="22">
        <v>-0.27</v>
      </c>
      <c r="J27" s="22">
        <v>-0.27</v>
      </c>
      <c r="K27" s="22">
        <v>-0.27</v>
      </c>
    </row>
    <row r="28" spans="2:11">
      <c r="B28" s="4" t="s">
        <v>65</v>
      </c>
      <c r="C28" s="46"/>
      <c r="D28" s="46"/>
      <c r="E28" s="46"/>
      <c r="G28" s="22">
        <v>-0.28999999999999998</v>
      </c>
      <c r="H28" s="22">
        <v>-0.28999999999999998</v>
      </c>
      <c r="I28" s="22">
        <v>-0.28999999999999998</v>
      </c>
      <c r="J28" s="22">
        <v>-0.28999999999999998</v>
      </c>
      <c r="K28" s="22">
        <v>-0.28999999999999998</v>
      </c>
    </row>
    <row r="29" spans="2:11">
      <c r="B29" s="4" t="s">
        <v>66</v>
      </c>
      <c r="C29" s="46"/>
      <c r="D29" s="46"/>
      <c r="E29" s="46"/>
      <c r="G29" s="22">
        <v>-0.31</v>
      </c>
      <c r="H29" s="22">
        <v>-0.31</v>
      </c>
      <c r="I29" s="22">
        <v>-0.31</v>
      </c>
      <c r="J29" s="22">
        <v>-0.31</v>
      </c>
      <c r="K29" s="22">
        <v>-0.31</v>
      </c>
    </row>
    <row r="30" spans="2:11">
      <c r="G30" s="22"/>
      <c r="H30" s="22"/>
      <c r="I30" s="22"/>
      <c r="J30" s="22"/>
      <c r="K30" s="22"/>
    </row>
    <row r="31" spans="2:11">
      <c r="B31" s="4" t="s">
        <v>9</v>
      </c>
      <c r="C31" s="10">
        <f>PLdata!D16</f>
        <v>-187000</v>
      </c>
      <c r="D31" s="10">
        <f>PLdata!E16</f>
        <v>-199000</v>
      </c>
      <c r="E31" s="10">
        <f>PLdata!F16</f>
        <v>-262000</v>
      </c>
      <c r="G31" s="31">
        <f>G32*G$7</f>
        <v>-380770</v>
      </c>
      <c r="H31" s="31">
        <f t="shared" ref="H31:K31" si="22">H32*H$7</f>
        <v>-495001</v>
      </c>
      <c r="I31" s="31">
        <f t="shared" si="22"/>
        <v>-643501.30000000005</v>
      </c>
      <c r="J31" s="31">
        <f t="shared" si="22"/>
        <v>-836551.69000000006</v>
      </c>
      <c r="K31" s="31">
        <f t="shared" si="22"/>
        <v>-1087517.1970000002</v>
      </c>
    </row>
    <row r="32" spans="2:11">
      <c r="B32" s="4" t="s">
        <v>79</v>
      </c>
      <c r="C32" s="21">
        <f>C31/C$7</f>
        <v>-2.7062228654124457E-2</v>
      </c>
      <c r="D32" s="21">
        <f t="shared" ref="D32" si="23">D31/D$7</f>
        <v>-2.0485896644018942E-2</v>
      </c>
      <c r="E32" s="21">
        <f t="shared" ref="E32" si="24">E31/E$7</f>
        <v>-2.2362581085694777E-2</v>
      </c>
      <c r="G32" s="22">
        <f>CHOOSE($C$3,G33,G34,G35)</f>
        <v>-2.5000000000000001E-2</v>
      </c>
      <c r="H32" s="22">
        <f t="shared" ref="H32" si="25">CHOOSE($C$3,H33,H34,H35)</f>
        <v>-2.5000000000000001E-2</v>
      </c>
      <c r="I32" s="22">
        <f t="shared" ref="I32" si="26">CHOOSE($C$3,I33,I34,I35)</f>
        <v>-2.5000000000000001E-2</v>
      </c>
      <c r="J32" s="22">
        <f t="shared" ref="J32" si="27">CHOOSE($C$3,J33,J34,J35)</f>
        <v>-2.5000000000000001E-2</v>
      </c>
      <c r="K32" s="22">
        <f t="shared" ref="K32" si="28">CHOOSE($C$3,K33,K34,K35)</f>
        <v>-2.5000000000000001E-2</v>
      </c>
    </row>
    <row r="33" spans="2:11">
      <c r="B33" s="4" t="s">
        <v>64</v>
      </c>
      <c r="C33" s="46"/>
      <c r="D33" s="46"/>
      <c r="E33" s="46"/>
      <c r="G33" s="22">
        <v>-0.02</v>
      </c>
      <c r="H33" s="22">
        <v>-0.02</v>
      </c>
      <c r="I33" s="22">
        <v>-0.02</v>
      </c>
      <c r="J33" s="22">
        <v>-0.02</v>
      </c>
      <c r="K33" s="22">
        <v>-0.02</v>
      </c>
    </row>
    <row r="34" spans="2:11">
      <c r="B34" s="4" t="s">
        <v>65</v>
      </c>
      <c r="C34" s="46"/>
      <c r="D34" s="46"/>
      <c r="E34" s="46"/>
      <c r="G34" s="22">
        <v>-2.5000000000000001E-2</v>
      </c>
      <c r="H34" s="22">
        <v>-2.5000000000000001E-2</v>
      </c>
      <c r="I34" s="22">
        <v>-2.5000000000000001E-2</v>
      </c>
      <c r="J34" s="22">
        <v>-2.5000000000000001E-2</v>
      </c>
      <c r="K34" s="22">
        <v>-2.5000000000000001E-2</v>
      </c>
    </row>
    <row r="35" spans="2:11">
      <c r="B35" s="4" t="s">
        <v>66</v>
      </c>
      <c r="C35" s="46"/>
      <c r="D35" s="46"/>
      <c r="E35" s="46"/>
      <c r="G35" s="22">
        <v>-0.03</v>
      </c>
      <c r="H35" s="22">
        <v>-0.03</v>
      </c>
      <c r="I35" s="22">
        <v>-0.03</v>
      </c>
      <c r="J35" s="22">
        <v>-0.03</v>
      </c>
      <c r="K35" s="22">
        <v>-0.03</v>
      </c>
    </row>
    <row r="36" spans="2:11">
      <c r="G36" s="22"/>
      <c r="H36" s="22"/>
      <c r="I36" s="22"/>
      <c r="J36" s="22"/>
      <c r="K36" s="22"/>
    </row>
    <row r="37" spans="2:11">
      <c r="B37" s="4" t="s">
        <v>75</v>
      </c>
      <c r="C37" s="10">
        <f>PLdata!D20</f>
        <v>-58000</v>
      </c>
      <c r="D37" s="10">
        <f>PLdata!E20</f>
        <v>-61000</v>
      </c>
      <c r="E37" s="10">
        <f>PLdata!F20</f>
        <v>-58000</v>
      </c>
      <c r="G37" s="23">
        <f>E37*(1+G38)</f>
        <v>-58075.4</v>
      </c>
      <c r="H37" s="23">
        <f>G37*(1+H38)</f>
        <v>-58150.898020000008</v>
      </c>
      <c r="I37" s="23">
        <f t="shared" ref="I37" si="29">H37*(1+I38)</f>
        <v>-58226.494187426011</v>
      </c>
      <c r="J37" s="23">
        <f t="shared" ref="J37" si="30">I37*(1+J38)</f>
        <v>-58302.18862986967</v>
      </c>
      <c r="K37" s="23">
        <f t="shared" ref="K37" si="31">J37*(1+K38)</f>
        <v>-58377.981475088505</v>
      </c>
    </row>
    <row r="38" spans="2:11">
      <c r="B38" s="4" t="s">
        <v>78</v>
      </c>
      <c r="C38" s="50"/>
      <c r="D38" s="50">
        <f>D37/C37-1</f>
        <v>5.1724137931034475E-2</v>
      </c>
      <c r="E38" s="50">
        <f>E37/D37-1</f>
        <v>-4.9180327868852514E-2</v>
      </c>
      <c r="G38" s="22">
        <f>CHOOSE($C$3,G39,G40,G41)</f>
        <v>1.2999999999999999E-3</v>
      </c>
      <c r="H38" s="22">
        <f t="shared" ref="H38" si="32">CHOOSE($C$3,H39,H40,H41)</f>
        <v>1.2999999999999999E-3</v>
      </c>
      <c r="I38" s="22">
        <f t="shared" ref="I38" si="33">CHOOSE($C$3,I39,I40,I41)</f>
        <v>1.2999999999999999E-3</v>
      </c>
      <c r="J38" s="22">
        <f t="shared" ref="J38" si="34">CHOOSE($C$3,J39,J40,J41)</f>
        <v>1.2999999999999999E-3</v>
      </c>
      <c r="K38" s="22">
        <f t="shared" ref="K38" si="35">CHOOSE($C$3,K39,K40,K41)</f>
        <v>1.2999999999999999E-3</v>
      </c>
    </row>
    <row r="39" spans="2:11">
      <c r="B39" s="4" t="s">
        <v>64</v>
      </c>
      <c r="C39" s="46"/>
      <c r="D39" s="46"/>
      <c r="E39" s="46"/>
      <c r="G39" s="22">
        <v>0</v>
      </c>
      <c r="H39" s="22">
        <v>0</v>
      </c>
      <c r="I39" s="22">
        <v>0</v>
      </c>
      <c r="J39" s="22">
        <v>0</v>
      </c>
      <c r="K39" s="22">
        <v>0</v>
      </c>
    </row>
    <row r="40" spans="2:11">
      <c r="B40" s="4" t="s">
        <v>65</v>
      </c>
      <c r="C40" s="46"/>
      <c r="D40" s="46"/>
      <c r="E40" s="46"/>
      <c r="G40" s="22">
        <v>1.2999999999999999E-3</v>
      </c>
      <c r="H40" s="22">
        <v>1.2999999999999999E-3</v>
      </c>
      <c r="I40" s="22">
        <v>1.2999999999999999E-3</v>
      </c>
      <c r="J40" s="22">
        <v>1.2999999999999999E-3</v>
      </c>
      <c r="K40" s="22">
        <v>1.2999999999999999E-3</v>
      </c>
    </row>
    <row r="41" spans="2:11">
      <c r="B41" s="4" t="s">
        <v>66</v>
      </c>
      <c r="C41" s="46"/>
      <c r="D41" s="46"/>
      <c r="E41" s="46"/>
      <c r="G41" s="22">
        <v>0.05</v>
      </c>
      <c r="H41" s="22">
        <v>0.05</v>
      </c>
      <c r="I41" s="22">
        <v>0.05</v>
      </c>
      <c r="J41" s="22">
        <v>0.05</v>
      </c>
      <c r="K41" s="22">
        <v>0.05</v>
      </c>
    </row>
    <row r="42" spans="2:11">
      <c r="G42" s="22"/>
      <c r="H42" s="22"/>
      <c r="I42" s="22"/>
      <c r="J42" s="22"/>
      <c r="K42" s="22"/>
    </row>
    <row r="43" spans="2:11">
      <c r="B43" s="4" t="s">
        <v>76</v>
      </c>
      <c r="C43" s="10">
        <f>PLdata!D21</f>
        <v>28000</v>
      </c>
      <c r="D43" s="10">
        <f>PLdata!E21</f>
        <v>22000</v>
      </c>
      <c r="E43" s="10">
        <f>PLdata!F21</f>
        <v>-14000</v>
      </c>
      <c r="G43" s="31">
        <f>G44*G$7</f>
        <v>30461.600000000002</v>
      </c>
      <c r="H43" s="31">
        <f t="shared" ref="H43" si="36">H44*H$7</f>
        <v>39600.080000000002</v>
      </c>
      <c r="I43" s="31">
        <f t="shared" ref="I43" si="37">I44*I$7</f>
        <v>51480.103999999999</v>
      </c>
      <c r="J43" s="31">
        <f t="shared" ref="J43" si="38">J44*J$7</f>
        <v>66924.135200000004</v>
      </c>
      <c r="K43" s="31">
        <f t="shared" ref="K43" si="39">K44*K$7</f>
        <v>87001.37576000001</v>
      </c>
    </row>
    <row r="44" spans="2:11">
      <c r="B44" s="4" t="s">
        <v>79</v>
      </c>
      <c r="C44" s="21">
        <f>C43/C$7</f>
        <v>4.0520984081041968E-3</v>
      </c>
      <c r="D44" s="21">
        <f t="shared" ref="D44:E44" si="40">D43/D$7</f>
        <v>2.2647724933086266E-3</v>
      </c>
      <c r="E44" s="21">
        <f t="shared" si="40"/>
        <v>-1.1949470809149881E-3</v>
      </c>
      <c r="G44" s="22">
        <f>CHOOSE($C$3,G45,G46,G47)</f>
        <v>2E-3</v>
      </c>
      <c r="H44" s="22">
        <f t="shared" ref="H44" si="41">CHOOSE($C$3,H45,H46,H47)</f>
        <v>2E-3</v>
      </c>
      <c r="I44" s="22">
        <f t="shared" ref="I44" si="42">CHOOSE($C$3,I45,I46,I47)</f>
        <v>2E-3</v>
      </c>
      <c r="J44" s="22">
        <f t="shared" ref="J44" si="43">CHOOSE($C$3,J45,J46,J47)</f>
        <v>2E-3</v>
      </c>
      <c r="K44" s="22">
        <f t="shared" ref="K44" si="44">CHOOSE($C$3,K45,K46,K47)</f>
        <v>2E-3</v>
      </c>
    </row>
    <row r="45" spans="2:11">
      <c r="B45" s="4" t="s">
        <v>64</v>
      </c>
      <c r="C45" s="46"/>
      <c r="D45" s="46"/>
      <c r="E45" s="46"/>
      <c r="G45" s="22">
        <v>4.0000000000000001E-3</v>
      </c>
      <c r="H45" s="22">
        <v>4.0000000000000001E-3</v>
      </c>
      <c r="I45" s="22">
        <v>4.0000000000000001E-3</v>
      </c>
      <c r="J45" s="22">
        <v>4.0000000000000001E-3</v>
      </c>
      <c r="K45" s="22">
        <v>4.0000000000000001E-3</v>
      </c>
    </row>
    <row r="46" spans="2:11">
      <c r="B46" s="4" t="s">
        <v>65</v>
      </c>
      <c r="C46" s="46"/>
      <c r="D46" s="46"/>
      <c r="E46" s="46"/>
      <c r="G46" s="22">
        <v>2E-3</v>
      </c>
      <c r="H46" s="22">
        <v>2E-3</v>
      </c>
      <c r="I46" s="22">
        <v>2E-3</v>
      </c>
      <c r="J46" s="22">
        <v>2E-3</v>
      </c>
      <c r="K46" s="22">
        <v>2E-3</v>
      </c>
    </row>
    <row r="47" spans="2:11">
      <c r="B47" s="4" t="s">
        <v>66</v>
      </c>
      <c r="C47" s="46"/>
      <c r="D47" s="46"/>
      <c r="E47" s="46"/>
      <c r="G47" s="22">
        <v>-1E-3</v>
      </c>
      <c r="H47" s="22">
        <v>-1E-3</v>
      </c>
      <c r="I47" s="22">
        <v>-1E-3</v>
      </c>
      <c r="J47" s="22">
        <v>-1E-3</v>
      </c>
      <c r="K47" s="22">
        <v>-1E-3</v>
      </c>
    </row>
    <row r="48" spans="2:11">
      <c r="G48" s="22"/>
      <c r="H48" s="22"/>
      <c r="I48" s="22"/>
      <c r="J48" s="22"/>
      <c r="K48" s="22"/>
    </row>
    <row r="49" spans="2:11">
      <c r="B49" s="4" t="s">
        <v>14</v>
      </c>
      <c r="C49" s="10">
        <f>PLdata!D25</f>
        <v>-239000</v>
      </c>
      <c r="D49" s="10">
        <f>PLdata!E25</f>
        <v>-149000</v>
      </c>
      <c r="E49" s="10">
        <f>PLdata!F25</f>
        <v>245000</v>
      </c>
      <c r="G49" s="31">
        <f>G50*PL!G19</f>
        <v>-431316.41999999993</v>
      </c>
      <c r="H49" s="31">
        <f>H50*PL!H19</f>
        <v>-562446.05819800007</v>
      </c>
      <c r="I49" s="31">
        <f>I50*PL!I19</f>
        <v>-732916.84298125748</v>
      </c>
      <c r="J49" s="31">
        <f>J50*PL!J19</f>
        <v>-954531.12125701329</v>
      </c>
      <c r="K49" s="31">
        <f>K50*PL!K19</f>
        <v>-1242631.9440084912</v>
      </c>
    </row>
    <row r="50" spans="2:11">
      <c r="B50" s="4" t="s">
        <v>77</v>
      </c>
      <c r="C50" s="51">
        <f>C49/PLdata!D23</f>
        <v>-0.13895348837209304</v>
      </c>
      <c r="D50" s="51">
        <f>D49/PLdata!E23</f>
        <v>-5.0134589502018843E-2</v>
      </c>
      <c r="E50" s="51">
        <f>E49/PLdata!F23</f>
        <v>7.060518731988473E-2</v>
      </c>
      <c r="G50" s="22">
        <f>CHOOSE($C$3,G51,G52,G53)</f>
        <v>-0.1</v>
      </c>
      <c r="H50" s="22">
        <f t="shared" ref="H50" si="45">CHOOSE($C$3,H51,H52,H53)</f>
        <v>-0.1</v>
      </c>
      <c r="I50" s="22">
        <f t="shared" ref="I50" si="46">CHOOSE($C$3,I51,I52,I53)</f>
        <v>-0.1</v>
      </c>
      <c r="J50" s="22">
        <f t="shared" ref="J50" si="47">CHOOSE($C$3,J51,J52,J53)</f>
        <v>-0.1</v>
      </c>
      <c r="K50" s="22">
        <f t="shared" ref="K50" si="48">CHOOSE($C$3,K51,K52,K53)</f>
        <v>-0.1</v>
      </c>
    </row>
    <row r="51" spans="2:11">
      <c r="B51" s="4" t="s">
        <v>64</v>
      </c>
      <c r="C51" s="46"/>
      <c r="D51" s="46"/>
      <c r="E51" s="46"/>
      <c r="G51" s="22">
        <v>-0.05</v>
      </c>
      <c r="H51" s="22">
        <v>-0.05</v>
      </c>
      <c r="I51" s="22">
        <v>-0.05</v>
      </c>
      <c r="J51" s="22">
        <v>-0.05</v>
      </c>
      <c r="K51" s="22">
        <v>-0.05</v>
      </c>
    </row>
    <row r="52" spans="2:11">
      <c r="B52" s="4" t="s">
        <v>65</v>
      </c>
      <c r="C52" s="46"/>
      <c r="D52" s="46"/>
      <c r="E52" s="46"/>
      <c r="G52" s="22">
        <v>-0.1</v>
      </c>
      <c r="H52" s="22">
        <v>-0.1</v>
      </c>
      <c r="I52" s="22">
        <v>-0.1</v>
      </c>
      <c r="J52" s="22">
        <v>-0.1</v>
      </c>
      <c r="K52" s="22">
        <v>-0.1</v>
      </c>
    </row>
    <row r="53" spans="2:11">
      <c r="B53" s="4" t="s">
        <v>66</v>
      </c>
      <c r="C53" s="46"/>
      <c r="D53" s="46"/>
      <c r="E53" s="46"/>
      <c r="G53" s="22">
        <v>-0.2</v>
      </c>
      <c r="H53" s="22">
        <v>-0.2</v>
      </c>
      <c r="I53" s="22">
        <v>-0.2</v>
      </c>
      <c r="J53" s="22">
        <v>-0.2</v>
      </c>
      <c r="K53" s="22">
        <v>-0.2</v>
      </c>
    </row>
  </sheetData>
  <dataValidations count="1">
    <dataValidation type="list" allowBlank="1" showInputMessage="1" showErrorMessage="1" sqref="C3">
      <formula1>$G$2:$G$4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K21"/>
  <sheetViews>
    <sheetView zoomScaleNormal="100" workbookViewId="0">
      <selection activeCell="B1" sqref="B1"/>
    </sheetView>
  </sheetViews>
  <sheetFormatPr defaultColWidth="9.140625" defaultRowHeight="12"/>
  <cols>
    <col min="1" max="1" width="2" style="4" customWidth="1"/>
    <col min="2" max="2" width="20.5703125" style="4" bestFit="1" customWidth="1"/>
    <col min="3" max="3" width="8.5703125" style="4" bestFit="1" customWidth="1"/>
    <col min="4" max="5" width="10" style="4" bestFit="1" customWidth="1"/>
    <col min="6" max="6" width="2" style="4" customWidth="1"/>
    <col min="7" max="11" width="10" style="4" bestFit="1" customWidth="1"/>
    <col min="12" max="16384" width="9.140625" style="4"/>
  </cols>
  <sheetData>
    <row r="1" spans="2:11" ht="15.75">
      <c r="B1" s="3" t="s">
        <v>147</v>
      </c>
    </row>
    <row r="4" spans="2:11" ht="24.75" thickBot="1">
      <c r="B4" s="14" t="s">
        <v>34</v>
      </c>
      <c r="C4" s="15" t="s">
        <v>52</v>
      </c>
      <c r="D4" s="15" t="s">
        <v>53</v>
      </c>
      <c r="E4" s="15" t="s">
        <v>54</v>
      </c>
      <c r="F4" s="18"/>
      <c r="G4" s="16" t="s">
        <v>55</v>
      </c>
      <c r="H4" s="16" t="s">
        <v>56</v>
      </c>
      <c r="I4" s="16" t="s">
        <v>57</v>
      </c>
      <c r="J4" s="16" t="s">
        <v>58</v>
      </c>
      <c r="K4" s="16" t="s">
        <v>59</v>
      </c>
    </row>
    <row r="5" spans="2:11">
      <c r="B5" s="4" t="s">
        <v>80</v>
      </c>
      <c r="C5" s="10">
        <f>BSdata!D11</f>
        <v>826000</v>
      </c>
      <c r="D5" s="10">
        <f>BSdata!E11</f>
        <v>1265000</v>
      </c>
      <c r="E5" s="10">
        <f>BSdata!F11</f>
        <v>1424000</v>
      </c>
      <c r="G5" s="23">
        <f>G6*'P&amp;L assumptions'!G7/360</f>
        <v>1851199.9999999998</v>
      </c>
      <c r="H5" s="23">
        <f>H6*'P&amp;L assumptions'!H7/360</f>
        <v>2406559.9999999995</v>
      </c>
      <c r="I5" s="23">
        <f>I6*'P&amp;L assumptions'!I7/360</f>
        <v>3128528</v>
      </c>
      <c r="J5" s="23">
        <f>J6*'P&amp;L assumptions'!J7/360</f>
        <v>4067086.4</v>
      </c>
      <c r="K5" s="23">
        <f>K6*'P&amp;L assumptions'!K7/360</f>
        <v>5287212.32</v>
      </c>
    </row>
    <row r="6" spans="2:11">
      <c r="B6" s="13" t="s">
        <v>81</v>
      </c>
      <c r="C6" s="52">
        <f>C5/'P&amp;L assumptions'!C7*360</f>
        <v>43.033285094066571</v>
      </c>
      <c r="D6" s="52">
        <f>D5/'P&amp;L assumptions'!D7*360</f>
        <v>46.880790611488571</v>
      </c>
      <c r="E6" s="52">
        <f>E5/'P&amp;L assumptions'!E7*360</f>
        <v>43.755547968589958</v>
      </c>
      <c r="G6" s="33">
        <f>$E$6</f>
        <v>43.755547968589958</v>
      </c>
      <c r="H6" s="33">
        <f t="shared" ref="H6:K6" si="0">$E$6</f>
        <v>43.755547968589958</v>
      </c>
      <c r="I6" s="33">
        <f t="shared" si="0"/>
        <v>43.755547968589958</v>
      </c>
      <c r="J6" s="33">
        <f t="shared" si="0"/>
        <v>43.755547968589958</v>
      </c>
      <c r="K6" s="33">
        <f t="shared" si="0"/>
        <v>43.755547968589958</v>
      </c>
    </row>
    <row r="7" spans="2:11">
      <c r="C7" s="10"/>
      <c r="D7" s="10"/>
      <c r="E7" s="10"/>
      <c r="G7" s="17"/>
      <c r="H7" s="17"/>
      <c r="I7" s="17"/>
      <c r="J7" s="17"/>
      <c r="K7" s="17"/>
    </row>
    <row r="8" spans="2:11">
      <c r="B8" s="4" t="s">
        <v>20</v>
      </c>
      <c r="C8" s="10">
        <f>BSdata!D10</f>
        <v>794000</v>
      </c>
      <c r="D8" s="10">
        <f>BSdata!E10</f>
        <v>796000</v>
      </c>
      <c r="E8" s="10">
        <f>BSdata!F10</f>
        <v>1575000</v>
      </c>
      <c r="G8" s="23">
        <f>-(G9*'P&amp;L assumptions'!G$19/360)</f>
        <v>2111199.9999999995</v>
      </c>
      <c r="H8" s="23">
        <f>-(H9*'P&amp;L assumptions'!H$19/360)</f>
        <v>2744559.9999999995</v>
      </c>
      <c r="I8" s="23">
        <f>-(I9*'P&amp;L assumptions'!I$19/360)</f>
        <v>3567928</v>
      </c>
      <c r="J8" s="23">
        <f>-(J9*'P&amp;L assumptions'!J$19/360)</f>
        <v>4638306.4000000004</v>
      </c>
      <c r="K8" s="23">
        <f>-(K9*'P&amp;L assumptions'!K$19/360)</f>
        <v>6029798.3200000012</v>
      </c>
    </row>
    <row r="9" spans="2:11">
      <c r="B9" s="13" t="s">
        <v>82</v>
      </c>
      <c r="C9" s="52">
        <f>-(C8/'P&amp;L assumptions'!C$19*360)</f>
        <v>100.40042149631191</v>
      </c>
      <c r="D9" s="52">
        <f>-(D8/'P&amp;L assumptions'!D$19*360)</f>
        <v>73.627954779033914</v>
      </c>
      <c r="E9" s="52">
        <f>-(E8/'P&amp;L assumptions'!E$19*360)</f>
        <v>124.75247524752474</v>
      </c>
      <c r="G9" s="33">
        <f>$E$9</f>
        <v>124.75247524752474</v>
      </c>
      <c r="H9" s="33">
        <f t="shared" ref="H9:K9" si="1">$E$9</f>
        <v>124.75247524752474</v>
      </c>
      <c r="I9" s="33">
        <f t="shared" si="1"/>
        <v>124.75247524752474</v>
      </c>
      <c r="J9" s="33">
        <f t="shared" si="1"/>
        <v>124.75247524752474</v>
      </c>
      <c r="K9" s="33">
        <f t="shared" si="1"/>
        <v>124.75247524752474</v>
      </c>
    </row>
    <row r="10" spans="2:11">
      <c r="C10" s="10"/>
      <c r="D10" s="10"/>
      <c r="E10" s="10"/>
      <c r="G10" s="17"/>
      <c r="H10" s="17"/>
      <c r="I10" s="17"/>
      <c r="J10" s="17"/>
      <c r="K10" s="17"/>
    </row>
    <row r="11" spans="2:11">
      <c r="B11" s="4" t="s">
        <v>83</v>
      </c>
      <c r="C11" s="10">
        <f>BSdata!J10</f>
        <v>992000</v>
      </c>
      <c r="D11" s="10">
        <f>BSdata!K10</f>
        <v>1138000</v>
      </c>
      <c r="E11" s="10">
        <f>BSdata!L10</f>
        <v>1329000</v>
      </c>
      <c r="G11" s="23">
        <f>-(G12*'P&amp;L assumptions'!G$19/360)</f>
        <v>1781450.6666666667</v>
      </c>
      <c r="H11" s="23">
        <f>-(H12*'P&amp;L assumptions'!H$19/360)</f>
        <v>2315885.8666666667</v>
      </c>
      <c r="I11" s="23">
        <f>-(I12*'P&amp;L assumptions'!I$19/360)</f>
        <v>3010651.6266666669</v>
      </c>
      <c r="J11" s="23">
        <f>-(J12*'P&amp;L assumptions'!J$19/360)</f>
        <v>3913847.1146666673</v>
      </c>
      <c r="K11" s="23">
        <f>-(K12*'P&amp;L assumptions'!K$19/360)</f>
        <v>5088001.2490666676</v>
      </c>
    </row>
    <row r="12" spans="2:11">
      <c r="B12" s="13" t="s">
        <v>84</v>
      </c>
      <c r="C12" s="52">
        <f>-(C11/'P&amp;L assumptions'!C$19*360)</f>
        <v>125.4373024236038</v>
      </c>
      <c r="D12" s="52">
        <f>-(D11/'P&amp;L assumptions'!D$19*360)</f>
        <v>105.26207605344297</v>
      </c>
      <c r="E12" s="52">
        <f>-(E11/'P&amp;L assumptions'!E$19*360)</f>
        <v>105.26732673267327</v>
      </c>
      <c r="G12" s="33">
        <f>$E$12</f>
        <v>105.26732673267327</v>
      </c>
      <c r="H12" s="33">
        <f t="shared" ref="H12:K12" si="2">$E$12</f>
        <v>105.26732673267327</v>
      </c>
      <c r="I12" s="33">
        <f t="shared" si="2"/>
        <v>105.26732673267327</v>
      </c>
      <c r="J12" s="33">
        <f t="shared" si="2"/>
        <v>105.26732673267327</v>
      </c>
      <c r="K12" s="33">
        <f t="shared" si="2"/>
        <v>105.26732673267327</v>
      </c>
    </row>
    <row r="13" spans="2:11">
      <c r="C13" s="10"/>
      <c r="D13" s="10"/>
      <c r="E13" s="10"/>
      <c r="G13" s="17"/>
      <c r="H13" s="17"/>
      <c r="I13" s="17"/>
      <c r="J13" s="17"/>
      <c r="K13" s="17"/>
    </row>
    <row r="14" spans="2:11">
      <c r="B14" s="4" t="s">
        <v>85</v>
      </c>
      <c r="C14" s="10">
        <f>BSdata!D5</f>
        <v>521000</v>
      </c>
      <c r="D14" s="10">
        <f>BSdata!E5</f>
        <v>997000</v>
      </c>
      <c r="E14" s="10">
        <f>BSdata!F5</f>
        <v>1404000</v>
      </c>
      <c r="G14" s="23">
        <f>G15*'P&amp;L assumptions'!G$7</f>
        <v>1512263.4266167728</v>
      </c>
      <c r="H14" s="23">
        <f>H15*'P&amp;L assumptions'!H$7</f>
        <v>1965942.4546018047</v>
      </c>
      <c r="I14" s="23">
        <f>I15*'P&amp;L assumptions'!I$7</f>
        <v>2555725.190982346</v>
      </c>
      <c r="J14" s="23">
        <f>J15*'P&amp;L assumptions'!J$7</f>
        <v>3322442.74827705</v>
      </c>
      <c r="K14" s="23">
        <f>K15*'P&amp;L assumptions'!K$7</f>
        <v>4319175.5727601657</v>
      </c>
    </row>
    <row r="15" spans="2:11">
      <c r="B15" s="13" t="s">
        <v>79</v>
      </c>
      <c r="C15" s="32">
        <f>C14/'P&amp;L assumptions'!C$7</f>
        <v>7.5397973950795949E-2</v>
      </c>
      <c r="D15" s="32">
        <f>D14/'P&amp;L assumptions'!D$7</f>
        <v>0.1026353716285773</v>
      </c>
      <c r="E15" s="32">
        <f>E14/'P&amp;L assumptions'!E$7</f>
        <v>0.1198361215431888</v>
      </c>
      <c r="G15" s="35">
        <f>AVERAGE($C15:$E15)</f>
        <v>9.9289822374187361E-2</v>
      </c>
      <c r="H15" s="35">
        <f t="shared" ref="H15:K15" si="3">AVERAGE($C15:$E15)</f>
        <v>9.9289822374187361E-2</v>
      </c>
      <c r="I15" s="35">
        <f t="shared" si="3"/>
        <v>9.9289822374187361E-2</v>
      </c>
      <c r="J15" s="35">
        <f t="shared" si="3"/>
        <v>9.9289822374187361E-2</v>
      </c>
      <c r="K15" s="35">
        <f t="shared" si="3"/>
        <v>9.9289822374187361E-2</v>
      </c>
    </row>
    <row r="16" spans="2:11">
      <c r="C16" s="10"/>
      <c r="D16" s="10"/>
      <c r="E16" s="10"/>
      <c r="G16" s="36"/>
      <c r="H16" s="36"/>
      <c r="I16" s="36"/>
      <c r="J16" s="36"/>
      <c r="K16" s="36"/>
    </row>
    <row r="17" spans="2:11">
      <c r="B17" s="4" t="s">
        <v>86</v>
      </c>
      <c r="C17" s="10">
        <f>BSdata!D12</f>
        <v>62000</v>
      </c>
      <c r="D17" s="10">
        <f>BSdata!E12</f>
        <v>319000</v>
      </c>
      <c r="E17" s="10">
        <f>BSdata!F12</f>
        <v>668000</v>
      </c>
      <c r="G17" s="23">
        <f>G18*'P&amp;L assumptions'!G$7</f>
        <v>501741.90434164321</v>
      </c>
      <c r="H17" s="23">
        <f>H18*'P&amp;L assumptions'!H$7</f>
        <v>652264.47564413608</v>
      </c>
      <c r="I17" s="23">
        <f>I18*'P&amp;L assumptions'!I$7</f>
        <v>847943.81833737693</v>
      </c>
      <c r="J17" s="23">
        <f>J18*'P&amp;L assumptions'!J$7</f>
        <v>1102326.9638385901</v>
      </c>
      <c r="K17" s="23">
        <f>K18*'P&amp;L assumptions'!K$7</f>
        <v>1433025.0529901672</v>
      </c>
    </row>
    <row r="18" spans="2:11">
      <c r="B18" s="13" t="s">
        <v>79</v>
      </c>
      <c r="C18" s="32">
        <f>C17/'P&amp;L assumptions'!C$7</f>
        <v>8.9725036179450074E-3</v>
      </c>
      <c r="D18" s="32">
        <f>D17/'P&amp;L assumptions'!D$7</f>
        <v>3.2839201152975089E-2</v>
      </c>
      <c r="E18" s="32">
        <f>E17/'P&amp;L assumptions'!E$7</f>
        <v>5.7016046432229427E-2</v>
      </c>
      <c r="G18" s="35">
        <f>AVERAGE($C18:$E18)</f>
        <v>3.294258373438317E-2</v>
      </c>
      <c r="H18" s="35">
        <f t="shared" ref="H18:K18" si="4">AVERAGE($C18:$E18)</f>
        <v>3.294258373438317E-2</v>
      </c>
      <c r="I18" s="35">
        <f t="shared" si="4"/>
        <v>3.294258373438317E-2</v>
      </c>
      <c r="J18" s="35">
        <f t="shared" si="4"/>
        <v>3.294258373438317E-2</v>
      </c>
      <c r="K18" s="35">
        <f t="shared" si="4"/>
        <v>3.294258373438317E-2</v>
      </c>
    </row>
    <row r="19" spans="2:11">
      <c r="C19" s="10"/>
      <c r="D19" s="10"/>
      <c r="E19" s="10"/>
      <c r="G19" s="36"/>
      <c r="H19" s="36"/>
      <c r="I19" s="36"/>
      <c r="J19" s="36"/>
      <c r="K19" s="36"/>
    </row>
    <row r="20" spans="2:11">
      <c r="B20" s="4" t="s">
        <v>87</v>
      </c>
      <c r="C20" s="10">
        <f>BSdata!J11+BSdata!J12+BSdata!J13</f>
        <v>796000</v>
      </c>
      <c r="D20" s="10">
        <f>BSdata!K11+BSdata!K12+BSdata!K13</f>
        <v>15000</v>
      </c>
      <c r="E20" s="10">
        <f>BSdata!L11+BSdata!L12+BSdata!L13</f>
        <v>0</v>
      </c>
      <c r="G20" s="23">
        <f>G21*'P&amp;L assumptions'!G$7</f>
        <v>592678.82180581719</v>
      </c>
      <c r="H20" s="23">
        <f>H21*'P&amp;L assumptions'!H$7</f>
        <v>770482.46834756224</v>
      </c>
      <c r="I20" s="23">
        <f>I21*'P&amp;L assumptions'!I$7</f>
        <v>1001627.208851831</v>
      </c>
      <c r="J20" s="23">
        <f>J21*'P&amp;L assumptions'!J$7</f>
        <v>1302115.3715073804</v>
      </c>
      <c r="K20" s="23">
        <f>K21*'P&amp;L assumptions'!K$7</f>
        <v>1692749.9829595943</v>
      </c>
    </row>
    <row r="21" spans="2:11">
      <c r="B21" s="13" t="s">
        <v>79</v>
      </c>
      <c r="C21" s="32">
        <f>C20/'P&amp;L assumptions'!C$7</f>
        <v>0.11519536903039074</v>
      </c>
      <c r="D21" s="32">
        <f>D20/'P&amp;L assumptions'!D$7</f>
        <v>1.5441630636195182E-3</v>
      </c>
      <c r="E21" s="32">
        <f>E20/'P&amp;L assumptions'!E$7</f>
        <v>0</v>
      </c>
      <c r="G21" s="35">
        <f>AVERAGE($C21:$E21)</f>
        <v>3.8913177364670086E-2</v>
      </c>
      <c r="H21" s="35">
        <f t="shared" ref="H21:K21" si="5">AVERAGE($C21:$E21)</f>
        <v>3.8913177364670086E-2</v>
      </c>
      <c r="I21" s="35">
        <f t="shared" si="5"/>
        <v>3.8913177364670086E-2</v>
      </c>
      <c r="J21" s="35">
        <f t="shared" si="5"/>
        <v>3.8913177364670086E-2</v>
      </c>
      <c r="K21" s="35">
        <f t="shared" si="5"/>
        <v>3.8913177364670086E-2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K7"/>
  <sheetViews>
    <sheetView workbookViewId="0">
      <selection activeCell="B1" sqref="B1"/>
    </sheetView>
  </sheetViews>
  <sheetFormatPr defaultColWidth="9.140625" defaultRowHeight="12"/>
  <cols>
    <col min="1" max="1" width="2" style="1" customWidth="1"/>
    <col min="2" max="2" width="24.140625" style="1" bestFit="1" customWidth="1"/>
    <col min="3" max="4" width="10" style="1" bestFit="1" customWidth="1"/>
    <col min="5" max="5" width="11" style="1" bestFit="1" customWidth="1"/>
    <col min="6" max="6" width="2" style="1" customWidth="1"/>
    <col min="7" max="11" width="11" style="1" bestFit="1" customWidth="1"/>
    <col min="12" max="16384" width="9.140625" style="1"/>
  </cols>
  <sheetData>
    <row r="1" spans="2:11" ht="15.75">
      <c r="B1" s="2" t="s">
        <v>40</v>
      </c>
    </row>
    <row r="2" spans="2:11" ht="15.75">
      <c r="B2" s="2"/>
    </row>
    <row r="4" spans="2:11" ht="24.75" thickBot="1">
      <c r="B4" s="14" t="s">
        <v>34</v>
      </c>
      <c r="C4" s="15" t="s">
        <v>52</v>
      </c>
      <c r="D4" s="15" t="s">
        <v>53</v>
      </c>
      <c r="E4" s="15" t="s">
        <v>54</v>
      </c>
      <c r="F4" s="75"/>
      <c r="G4" s="16" t="s">
        <v>55</v>
      </c>
      <c r="H4" s="16" t="s">
        <v>56</v>
      </c>
      <c r="I4" s="16" t="s">
        <v>57</v>
      </c>
      <c r="J4" s="16" t="s">
        <v>58</v>
      </c>
      <c r="K4" s="16" t="s">
        <v>59</v>
      </c>
    </row>
    <row r="5" spans="2:11">
      <c r="B5" s="1" t="s">
        <v>44</v>
      </c>
      <c r="C5" s="10">
        <f>PL!C4</f>
        <v>6910000</v>
      </c>
      <c r="D5" s="10">
        <f>PL!D4</f>
        <v>9714000</v>
      </c>
      <c r="E5" s="10">
        <f>PL!E4</f>
        <v>11716000</v>
      </c>
      <c r="F5" s="10"/>
      <c r="G5" s="23">
        <f>PL!G4</f>
        <v>15230800</v>
      </c>
      <c r="H5" s="23">
        <f>PL!H4</f>
        <v>19800040</v>
      </c>
      <c r="I5" s="23">
        <f>PL!I4</f>
        <v>25740052</v>
      </c>
      <c r="J5" s="23">
        <f>PL!J4</f>
        <v>33462067.600000001</v>
      </c>
      <c r="K5" s="23">
        <f>PL!K4</f>
        <v>43500687.880000003</v>
      </c>
    </row>
    <row r="6" spans="2:11">
      <c r="B6" s="1" t="s">
        <v>8</v>
      </c>
      <c r="C6" s="10">
        <f>PL!C12</f>
        <v>1937000</v>
      </c>
      <c r="D6" s="10">
        <f>PL!D12</f>
        <v>3210000</v>
      </c>
      <c r="E6" s="10">
        <f>PL!E12</f>
        <v>3804000</v>
      </c>
      <c r="F6" s="10"/>
      <c r="G6" s="23">
        <f>PL!G12</f>
        <v>4721548</v>
      </c>
      <c r="H6" s="23">
        <f>PL!H12</f>
        <v>6138012.4000000004</v>
      </c>
      <c r="I6" s="23">
        <f>PL!I12</f>
        <v>7979416.1200000001</v>
      </c>
      <c r="J6" s="23">
        <f>PL!J12</f>
        <v>10373240.956000002</v>
      </c>
      <c r="K6" s="23">
        <f>PL!K12</f>
        <v>13485213.242800001</v>
      </c>
    </row>
    <row r="7" spans="2:11">
      <c r="B7" s="1" t="s">
        <v>131</v>
      </c>
      <c r="C7" s="79">
        <f>C6/C5</f>
        <v>0.28031837916063673</v>
      </c>
      <c r="D7" s="79">
        <f t="shared" ref="D7:G7" si="0">D6/D5</f>
        <v>0.33045089561457691</v>
      </c>
      <c r="E7" s="79">
        <f t="shared" si="0"/>
        <v>0.32468419255718678</v>
      </c>
      <c r="F7" s="79"/>
      <c r="G7" s="80">
        <f t="shared" si="0"/>
        <v>0.31</v>
      </c>
      <c r="H7" s="80">
        <f t="shared" ref="H7" si="1">H6/H5</f>
        <v>0.31</v>
      </c>
      <c r="I7" s="80">
        <f t="shared" ref="I7" si="2">I6/I5</f>
        <v>0.31</v>
      </c>
      <c r="J7" s="80">
        <f t="shared" ref="J7" si="3">J6/J5</f>
        <v>0.31000000000000005</v>
      </c>
      <c r="K7" s="80">
        <f t="shared" ref="K7" si="4">K6/K5</f>
        <v>0.31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G6"/>
  <sheetViews>
    <sheetView workbookViewId="0">
      <selection activeCell="C4" sqref="C4"/>
    </sheetView>
  </sheetViews>
  <sheetFormatPr defaultColWidth="9.140625" defaultRowHeight="12"/>
  <cols>
    <col min="1" max="1" width="2" style="1" customWidth="1"/>
    <col min="2" max="2" width="14.28515625" style="1" bestFit="1" customWidth="1"/>
    <col min="3" max="5" width="10" style="1" bestFit="1" customWidth="1"/>
    <col min="6" max="7" width="11" style="1" bestFit="1" customWidth="1"/>
    <col min="8" max="16384" width="9.140625" style="1"/>
  </cols>
  <sheetData>
    <row r="1" spans="2:7" ht="15.75">
      <c r="B1" s="2" t="s">
        <v>143</v>
      </c>
    </row>
    <row r="2" spans="2:7" ht="15.75">
      <c r="B2" s="2"/>
    </row>
    <row r="4" spans="2:7" ht="24.75" thickBot="1">
      <c r="B4" s="14" t="s">
        <v>34</v>
      </c>
      <c r="C4" s="16" t="s">
        <v>55</v>
      </c>
      <c r="D4" s="16" t="s">
        <v>56</v>
      </c>
      <c r="E4" s="16" t="s">
        <v>57</v>
      </c>
      <c r="F4" s="16" t="s">
        <v>58</v>
      </c>
      <c r="G4" s="16" t="s">
        <v>59</v>
      </c>
    </row>
    <row r="5" spans="2:7">
      <c r="B5" s="4" t="s">
        <v>103</v>
      </c>
      <c r="C5" s="23">
        <f>DCF!G8</f>
        <v>4076885.9575140686</v>
      </c>
      <c r="D5" s="23">
        <f>DCF!H8</f>
        <v>4037627.5872542216</v>
      </c>
      <c r="E5" s="23">
        <f>DCF!I8</f>
        <v>5248915.863430487</v>
      </c>
      <c r="F5" s="23">
        <f>DCF!J8</f>
        <v>6823590.6224596342</v>
      </c>
      <c r="G5" s="23">
        <f>DCF!K8</f>
        <v>8870667.8091975208</v>
      </c>
    </row>
    <row r="6" spans="2:7">
      <c r="B6" s="4" t="s">
        <v>132</v>
      </c>
      <c r="C6" s="23">
        <f>DCF!G11</f>
        <v>3706259.9613764258</v>
      </c>
      <c r="D6" s="23">
        <f>DCF!H11</f>
        <v>3336882.303515885</v>
      </c>
      <c r="E6" s="23">
        <f>DCF!I11</f>
        <v>3943588.1768824081</v>
      </c>
      <c r="F6" s="23">
        <f>DCF!J11</f>
        <v>4660604.2090428472</v>
      </c>
      <c r="G6" s="23">
        <f>DCF!K11</f>
        <v>5507986.7925051795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K12"/>
  <sheetViews>
    <sheetView workbookViewId="0">
      <selection activeCell="B1" sqref="B1"/>
    </sheetView>
  </sheetViews>
  <sheetFormatPr defaultColWidth="9.140625" defaultRowHeight="12"/>
  <cols>
    <col min="1" max="1" width="2" style="1" customWidth="1"/>
    <col min="2" max="2" width="18.85546875" style="1" bestFit="1" customWidth="1"/>
    <col min="3" max="5" width="10" style="1" bestFit="1" customWidth="1"/>
    <col min="6" max="6" width="2" style="1" customWidth="1"/>
    <col min="7" max="11" width="10" style="1" bestFit="1" customWidth="1"/>
    <col min="12" max="16384" width="9.140625" style="1"/>
  </cols>
  <sheetData>
    <row r="1" spans="2:11" ht="15.75">
      <c r="B1" s="2" t="s">
        <v>144</v>
      </c>
    </row>
    <row r="4" spans="2:11" ht="24.75" thickBot="1">
      <c r="B4" s="14" t="s">
        <v>34</v>
      </c>
      <c r="C4" s="15" t="s">
        <v>157</v>
      </c>
      <c r="D4" s="15" t="s">
        <v>158</v>
      </c>
      <c r="E4" s="15" t="s">
        <v>159</v>
      </c>
      <c r="F4" s="75"/>
      <c r="G4" s="16" t="s">
        <v>160</v>
      </c>
      <c r="H4" s="16" t="s">
        <v>161</v>
      </c>
      <c r="I4" s="16" t="s">
        <v>162</v>
      </c>
      <c r="J4" s="16" t="s">
        <v>163</v>
      </c>
      <c r="K4" s="16" t="s">
        <v>164</v>
      </c>
    </row>
    <row r="5" spans="2:11">
      <c r="B5" s="8" t="s">
        <v>20</v>
      </c>
      <c r="C5" s="76">
        <f>BS!C8</f>
        <v>794000</v>
      </c>
      <c r="D5" s="76">
        <f>BS!D8</f>
        <v>796000</v>
      </c>
      <c r="E5" s="76">
        <f>BS!E8</f>
        <v>1575000</v>
      </c>
      <c r="F5" s="76"/>
      <c r="G5" s="77">
        <f>BS!G8</f>
        <v>2111199.9999999995</v>
      </c>
      <c r="H5" s="77">
        <f>BS!H8</f>
        <v>2744559.9999999995</v>
      </c>
      <c r="I5" s="77">
        <f>BS!I8</f>
        <v>3567928</v>
      </c>
      <c r="J5" s="77">
        <f>BS!J8</f>
        <v>4638306.4000000004</v>
      </c>
      <c r="K5" s="77">
        <f>BS!K8</f>
        <v>6029798.3200000012</v>
      </c>
    </row>
    <row r="6" spans="2:11">
      <c r="B6" s="1" t="s">
        <v>80</v>
      </c>
      <c r="C6" s="76">
        <f>BS!C9</f>
        <v>826000</v>
      </c>
      <c r="D6" s="76">
        <f>BS!D9</f>
        <v>1265000</v>
      </c>
      <c r="E6" s="76">
        <f>BS!E9</f>
        <v>1424000</v>
      </c>
      <c r="F6" s="76"/>
      <c r="G6" s="77">
        <f>BS!G9</f>
        <v>1851199.9999999998</v>
      </c>
      <c r="H6" s="77">
        <f>BS!H9</f>
        <v>2406559.9999999995</v>
      </c>
      <c r="I6" s="77">
        <f>BS!I9</f>
        <v>3128528</v>
      </c>
      <c r="J6" s="77">
        <f>BS!J9</f>
        <v>4067086.4</v>
      </c>
      <c r="K6" s="77">
        <f>BS!K9</f>
        <v>5287212.32</v>
      </c>
    </row>
    <row r="7" spans="2:11">
      <c r="B7" s="1" t="s">
        <v>83</v>
      </c>
      <c r="C7" s="76">
        <f>BS!C16</f>
        <v>992000</v>
      </c>
      <c r="D7" s="76">
        <f>BS!D16</f>
        <v>1138000</v>
      </c>
      <c r="E7" s="76">
        <f>BS!E16</f>
        <v>1329000</v>
      </c>
      <c r="F7" s="76"/>
      <c r="G7" s="77">
        <f>BS!G16</f>
        <v>1781450.6666666667</v>
      </c>
      <c r="H7" s="77">
        <f>BS!H16</f>
        <v>2315885.8666666667</v>
      </c>
      <c r="I7" s="77">
        <f>BS!I16</f>
        <v>3010651.6266666669</v>
      </c>
      <c r="J7" s="77">
        <f>BS!J16</f>
        <v>3913847.1146666673</v>
      </c>
      <c r="K7" s="77">
        <f>BS!K16</f>
        <v>5088001.2490666676</v>
      </c>
    </row>
    <row r="8" spans="2:11">
      <c r="B8" s="81" t="s">
        <v>41</v>
      </c>
      <c r="C8" s="82">
        <f>C5+C6-C7</f>
        <v>628000</v>
      </c>
      <c r="D8" s="82">
        <f t="shared" ref="D8:G8" si="0">D5+D6-D7</f>
        <v>923000</v>
      </c>
      <c r="E8" s="82">
        <f t="shared" si="0"/>
        <v>1670000</v>
      </c>
      <c r="F8" s="82"/>
      <c r="G8" s="83">
        <f t="shared" si="0"/>
        <v>2180949.3333333321</v>
      </c>
      <c r="H8" s="83">
        <f t="shared" ref="H8" si="1">H5+H6-H7</f>
        <v>2835234.1333333324</v>
      </c>
      <c r="I8" s="83">
        <f t="shared" ref="I8" si="2">I5+I6-I7</f>
        <v>3685804.3733333331</v>
      </c>
      <c r="J8" s="83">
        <f t="shared" ref="J8" si="3">J5+J6-J7</f>
        <v>4791545.6853333339</v>
      </c>
      <c r="K8" s="83">
        <f t="shared" ref="K8" si="4">K5+K6-K7</f>
        <v>6229009.390933333</v>
      </c>
    </row>
    <row r="9" spans="2:11">
      <c r="G9" s="78"/>
      <c r="H9" s="78"/>
      <c r="I9" s="78"/>
      <c r="J9" s="78"/>
      <c r="K9" s="78"/>
    </row>
    <row r="10" spans="2:11">
      <c r="B10" s="8" t="s">
        <v>133</v>
      </c>
      <c r="C10" s="76">
        <f>'BS assumptions'!C6</f>
        <v>43.033285094066571</v>
      </c>
      <c r="D10" s="76">
        <f>'BS assumptions'!D6</f>
        <v>46.880790611488571</v>
      </c>
      <c r="E10" s="76">
        <f>'BS assumptions'!E6</f>
        <v>43.755547968589958</v>
      </c>
      <c r="F10" s="76"/>
      <c r="G10" s="77">
        <f>'BS assumptions'!G6</f>
        <v>43.755547968589958</v>
      </c>
      <c r="H10" s="77">
        <f>'BS assumptions'!H6</f>
        <v>43.755547968589958</v>
      </c>
      <c r="I10" s="77">
        <f>'BS assumptions'!I6</f>
        <v>43.755547968589958</v>
      </c>
      <c r="J10" s="77">
        <f>'BS assumptions'!J6</f>
        <v>43.755547968589958</v>
      </c>
      <c r="K10" s="77">
        <f>'BS assumptions'!K6</f>
        <v>43.755547968589958</v>
      </c>
    </row>
    <row r="11" spans="2:11">
      <c r="B11" s="1" t="s">
        <v>134</v>
      </c>
      <c r="C11" s="76">
        <f>'BS assumptions'!C9</f>
        <v>100.40042149631191</v>
      </c>
      <c r="D11" s="76">
        <f>'BS assumptions'!D9</f>
        <v>73.627954779033914</v>
      </c>
      <c r="E11" s="76">
        <f>'BS assumptions'!E9</f>
        <v>124.75247524752474</v>
      </c>
      <c r="F11" s="76"/>
      <c r="G11" s="77">
        <f>'BS assumptions'!G9</f>
        <v>124.75247524752474</v>
      </c>
      <c r="H11" s="77">
        <f>'BS assumptions'!H9</f>
        <v>124.75247524752474</v>
      </c>
      <c r="I11" s="77">
        <f>'BS assumptions'!I9</f>
        <v>124.75247524752474</v>
      </c>
      <c r="J11" s="77">
        <f>'BS assumptions'!J9</f>
        <v>124.75247524752474</v>
      </c>
      <c r="K11" s="77">
        <f>'BS assumptions'!K9</f>
        <v>124.75247524752474</v>
      </c>
    </row>
    <row r="12" spans="2:11">
      <c r="B12" s="1" t="s">
        <v>135</v>
      </c>
      <c r="C12" s="76">
        <f>'BS assumptions'!C12</f>
        <v>125.4373024236038</v>
      </c>
      <c r="D12" s="76">
        <f>'BS assumptions'!D12</f>
        <v>105.26207605344297</v>
      </c>
      <c r="E12" s="76">
        <f>'BS assumptions'!E12</f>
        <v>105.26732673267327</v>
      </c>
      <c r="F12" s="76"/>
      <c r="G12" s="77">
        <f>'BS assumptions'!G12</f>
        <v>105.26732673267327</v>
      </c>
      <c r="H12" s="77">
        <f>'BS assumptions'!H12</f>
        <v>105.26732673267327</v>
      </c>
      <c r="I12" s="77">
        <f>'BS assumptions'!I12</f>
        <v>105.26732673267327</v>
      </c>
      <c r="J12" s="77">
        <f>'BS assumptions'!J12</f>
        <v>105.26732673267327</v>
      </c>
      <c r="K12" s="77">
        <f>'BS assumptions'!K12</f>
        <v>105.26732673267327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B1:O7"/>
  <sheetViews>
    <sheetView workbookViewId="0">
      <selection activeCell="B1" sqref="B1"/>
    </sheetView>
  </sheetViews>
  <sheetFormatPr defaultColWidth="9.140625" defaultRowHeight="12"/>
  <cols>
    <col min="1" max="1" width="2" style="1" customWidth="1"/>
    <col min="2" max="2" width="19.7109375" style="1" bestFit="1" customWidth="1"/>
    <col min="3" max="3" width="11" style="1" bestFit="1" customWidth="1"/>
    <col min="4" max="6" width="9.140625" style="1"/>
    <col min="7" max="7" width="19.140625" style="1" bestFit="1" customWidth="1"/>
    <col min="8" max="8" width="17.7109375" style="1" bestFit="1" customWidth="1"/>
    <col min="9" max="9" width="11" style="1" bestFit="1" customWidth="1"/>
    <col min="10" max="11" width="9.140625" style="1"/>
    <col min="12" max="12" width="19.140625" style="1" bestFit="1" customWidth="1"/>
    <col min="13" max="13" width="9.140625" style="1"/>
    <col min="14" max="14" width="21" style="1" bestFit="1" customWidth="1"/>
    <col min="15" max="15" width="11" style="1" bestFit="1" customWidth="1"/>
    <col min="16" max="16384" width="9.140625" style="1"/>
  </cols>
  <sheetData>
    <row r="1" spans="2:15" ht="15.75">
      <c r="B1" s="2" t="s">
        <v>142</v>
      </c>
    </row>
    <row r="4" spans="2:15" ht="12.75" thickBot="1">
      <c r="B4" s="84" t="s">
        <v>138</v>
      </c>
      <c r="C4" s="85"/>
      <c r="H4" s="84" t="s">
        <v>139</v>
      </c>
      <c r="I4" s="85"/>
      <c r="N4" s="84" t="s">
        <v>137</v>
      </c>
      <c r="O4" s="85"/>
    </row>
    <row r="5" spans="2:15">
      <c r="B5" s="1" t="s">
        <v>136</v>
      </c>
      <c r="C5" s="86">
        <v>82233122.925134003</v>
      </c>
      <c r="H5" s="1" t="s">
        <v>136</v>
      </c>
      <c r="I5" s="86">
        <v>48640758.926077694</v>
      </c>
      <c r="N5" s="1" t="s">
        <v>136</v>
      </c>
      <c r="O5" s="76">
        <v>27315594.604728736</v>
      </c>
    </row>
    <row r="6" spans="2:15">
      <c r="B6" s="1" t="s">
        <v>141</v>
      </c>
      <c r="C6" s="21">
        <v>0.3348773691250102</v>
      </c>
      <c r="H6" s="1" t="s">
        <v>141</v>
      </c>
      <c r="I6" s="21">
        <v>0.36738692545172824</v>
      </c>
      <c r="N6" s="1" t="s">
        <v>141</v>
      </c>
      <c r="O6" s="21">
        <v>0.40953606056078512</v>
      </c>
    </row>
    <row r="7" spans="2:15">
      <c r="B7" s="1" t="s">
        <v>140</v>
      </c>
      <c r="C7" s="21">
        <v>0.66512263087498991</v>
      </c>
      <c r="H7" s="1" t="s">
        <v>140</v>
      </c>
      <c r="I7" s="21">
        <v>0.63261307454827176</v>
      </c>
      <c r="N7" s="1" t="s">
        <v>140</v>
      </c>
      <c r="O7" s="21">
        <v>0.59046393943921482</v>
      </c>
    </row>
  </sheetData>
  <pageMargins left="0.25" right="0.25" top="0.75" bottom="0.75" header="0.3" footer="0.3"/>
  <pageSetup scale="5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M56"/>
  <sheetViews>
    <sheetView workbookViewId="0">
      <selection activeCell="B1" sqref="B1"/>
    </sheetView>
  </sheetViews>
  <sheetFormatPr defaultColWidth="9.140625" defaultRowHeight="12"/>
  <cols>
    <col min="1" max="1" width="2" style="4" customWidth="1"/>
    <col min="2" max="2" width="18.28515625" style="4" bestFit="1" customWidth="1"/>
    <col min="3" max="4" width="10.5703125" style="4" bestFit="1" customWidth="1"/>
    <col min="5" max="5" width="11" style="4" bestFit="1" customWidth="1"/>
    <col min="6" max="6" width="2" style="4" customWidth="1"/>
    <col min="7" max="8" width="11" style="4" bestFit="1" customWidth="1"/>
    <col min="9" max="11" width="11.5703125" style="4" bestFit="1" customWidth="1"/>
    <col min="12" max="12" width="2" style="4" customWidth="1"/>
    <col min="13" max="13" width="4.7109375" style="4" bestFit="1" customWidth="1"/>
    <col min="14" max="16384" width="9.140625" style="4"/>
  </cols>
  <sheetData>
    <row r="1" spans="2:13" ht="15.75">
      <c r="B1" s="3" t="s">
        <v>1</v>
      </c>
    </row>
    <row r="3" spans="2:13" ht="24.75" thickBot="1">
      <c r="B3" s="14" t="s">
        <v>34</v>
      </c>
      <c r="C3" s="15" t="s">
        <v>52</v>
      </c>
      <c r="D3" s="15" t="s">
        <v>53</v>
      </c>
      <c r="E3" s="15" t="s">
        <v>54</v>
      </c>
      <c r="F3" s="18"/>
      <c r="G3" s="16" t="s">
        <v>55</v>
      </c>
      <c r="H3" s="16" t="s">
        <v>56</v>
      </c>
      <c r="I3" s="16" t="s">
        <v>57</v>
      </c>
      <c r="J3" s="16" t="s">
        <v>58</v>
      </c>
      <c r="K3" s="16" t="s">
        <v>59</v>
      </c>
      <c r="M3" s="19" t="s">
        <v>38</v>
      </c>
    </row>
    <row r="4" spans="2:13">
      <c r="B4" s="4" t="s">
        <v>44</v>
      </c>
      <c r="C4" s="10">
        <f>SUMIF('P&amp;L assumptions'!$B:$B,PL!$B4,'P&amp;L assumptions'!C:C)</f>
        <v>6910000</v>
      </c>
      <c r="D4" s="10">
        <f>SUMIF('P&amp;L assumptions'!$B:$B,PL!$B4,'P&amp;L assumptions'!D:D)</f>
        <v>9714000</v>
      </c>
      <c r="E4" s="10">
        <f>SUMIF('P&amp;L assumptions'!$B:$B,PL!$B4,'P&amp;L assumptions'!E:E)</f>
        <v>11716000</v>
      </c>
      <c r="F4" s="10"/>
      <c r="G4" s="23">
        <f>SUMIF('P&amp;L assumptions'!$B:$B,PL!$B4,'P&amp;L assumptions'!G:G)</f>
        <v>15230800</v>
      </c>
      <c r="H4" s="23">
        <f>SUMIF('P&amp;L assumptions'!$B:$B,PL!$B4,'P&amp;L assumptions'!H:H)</f>
        <v>19800040</v>
      </c>
      <c r="I4" s="23">
        <f>SUMIF('P&amp;L assumptions'!$B:$B,PL!$B4,'P&amp;L assumptions'!I:I)</f>
        <v>25740052</v>
      </c>
      <c r="J4" s="23">
        <f>SUMIF('P&amp;L assumptions'!$B:$B,PL!$B4,'P&amp;L assumptions'!J:J)</f>
        <v>33462067.600000001</v>
      </c>
      <c r="K4" s="23">
        <f>SUMIF('P&amp;L assumptions'!$B:$B,PL!$B4,'P&amp;L assumptions'!K:K)</f>
        <v>43500687.880000003</v>
      </c>
    </row>
    <row r="5" spans="2:13">
      <c r="B5" s="4" t="s">
        <v>45</v>
      </c>
      <c r="C5" s="10">
        <f>SUMIF('P&amp;L assumptions'!$B:$B,PL!$B5,'P&amp;L assumptions'!C:C)</f>
        <v>0</v>
      </c>
      <c r="D5" s="10">
        <f>SUMIF('P&amp;L assumptions'!$B:$B,PL!$B5,'P&amp;L assumptions'!D:D)</f>
        <v>0</v>
      </c>
      <c r="E5" s="10">
        <f>SUMIF('P&amp;L assumptions'!$B:$B,PL!$B5,'P&amp;L assumptions'!E:E)</f>
        <v>0</v>
      </c>
      <c r="F5" s="10"/>
      <c r="G5" s="23">
        <f>SUMIF('P&amp;L assumptions'!$B:$B,PL!$B5,'P&amp;L assumptions'!G:G)</f>
        <v>0</v>
      </c>
      <c r="H5" s="23">
        <f>SUMIF('P&amp;L assumptions'!$B:$B,PL!$B5,'P&amp;L assumptions'!H:H)</f>
        <v>0</v>
      </c>
      <c r="I5" s="23">
        <f>SUMIF('P&amp;L assumptions'!$B:$B,PL!$B5,'P&amp;L assumptions'!I:I)</f>
        <v>0</v>
      </c>
      <c r="J5" s="23">
        <f>SUMIF('P&amp;L assumptions'!$B:$B,PL!$B5,'P&amp;L assumptions'!J:J)</f>
        <v>0</v>
      </c>
      <c r="K5" s="23">
        <f>SUMIF('P&amp;L assumptions'!$B:$B,PL!$B5,'P&amp;L assumptions'!K:K)</f>
        <v>0</v>
      </c>
    </row>
    <row r="6" spans="2:13">
      <c r="B6" s="39" t="s">
        <v>46</v>
      </c>
      <c r="C6" s="40">
        <f>C4+C5</f>
        <v>6910000</v>
      </c>
      <c r="D6" s="40">
        <f t="shared" ref="D6:K6" si="0">D4+D5</f>
        <v>9714000</v>
      </c>
      <c r="E6" s="40">
        <f t="shared" si="0"/>
        <v>11716000</v>
      </c>
      <c r="F6" s="57"/>
      <c r="G6" s="41">
        <f t="shared" si="0"/>
        <v>15230800</v>
      </c>
      <c r="H6" s="41">
        <f t="shared" si="0"/>
        <v>19800040</v>
      </c>
      <c r="I6" s="41">
        <f t="shared" si="0"/>
        <v>25740052</v>
      </c>
      <c r="J6" s="41">
        <f t="shared" si="0"/>
        <v>33462067.600000001</v>
      </c>
      <c r="K6" s="41">
        <f t="shared" si="0"/>
        <v>43500687.880000003</v>
      </c>
    </row>
    <row r="7" spans="2:13">
      <c r="B7" s="20"/>
      <c r="C7" s="28"/>
      <c r="D7" s="28"/>
      <c r="E7" s="28"/>
      <c r="F7" s="29"/>
      <c r="G7" s="23"/>
      <c r="H7" s="23"/>
      <c r="I7" s="23"/>
      <c r="J7" s="23"/>
      <c r="K7" s="23"/>
    </row>
    <row r="8" spans="2:13">
      <c r="B8" s="4" t="s">
        <v>73</v>
      </c>
      <c r="C8" s="10">
        <f>SUMIF('P&amp;L assumptions'!$B:$B,PL!$B8,'P&amp;L assumptions'!C:C)</f>
        <v>-2847000</v>
      </c>
      <c r="D8" s="10">
        <f>SUMIF('P&amp;L assumptions'!$B:$B,PL!$B8,'P&amp;L assumptions'!D:D)</f>
        <v>-3892000</v>
      </c>
      <c r="E8" s="10">
        <f>SUMIF('P&amp;L assumptions'!$B:$B,PL!$B8,'P&amp;L assumptions'!E:E)</f>
        <v>-4545000</v>
      </c>
      <c r="F8" s="10"/>
      <c r="G8" s="23">
        <f>SUMIF('P&amp;L assumptions'!$B:$B,PL!$B8,'P&amp;L assumptions'!G:G)</f>
        <v>-6092320</v>
      </c>
      <c r="H8" s="23">
        <f>SUMIF('P&amp;L assumptions'!$B:$B,PL!$B8,'P&amp;L assumptions'!H:H)</f>
        <v>-7920016</v>
      </c>
      <c r="I8" s="23">
        <f>SUMIF('P&amp;L assumptions'!$B:$B,PL!$B8,'P&amp;L assumptions'!I:I)</f>
        <v>-10296020.800000001</v>
      </c>
      <c r="J8" s="23">
        <f>SUMIF('P&amp;L assumptions'!$B:$B,PL!$B8,'P&amp;L assumptions'!J:J)</f>
        <v>-13384827.040000001</v>
      </c>
      <c r="K8" s="23">
        <f>SUMIF('P&amp;L assumptions'!$B:$B,PL!$B8,'P&amp;L assumptions'!K:K)</f>
        <v>-17400275.152000003</v>
      </c>
    </row>
    <row r="9" spans="2:13">
      <c r="B9" s="39" t="s">
        <v>47</v>
      </c>
      <c r="C9" s="40">
        <f>C6+C8</f>
        <v>4063000</v>
      </c>
      <c r="D9" s="40">
        <f t="shared" ref="D9:K9" si="1">D6+D8</f>
        <v>5822000</v>
      </c>
      <c r="E9" s="40">
        <f t="shared" si="1"/>
        <v>7171000</v>
      </c>
      <c r="F9" s="57"/>
      <c r="G9" s="41">
        <f t="shared" si="1"/>
        <v>9138480</v>
      </c>
      <c r="H9" s="41">
        <f t="shared" si="1"/>
        <v>11880024</v>
      </c>
      <c r="I9" s="41">
        <f t="shared" si="1"/>
        <v>15444031.199999999</v>
      </c>
      <c r="J9" s="41">
        <f t="shared" si="1"/>
        <v>20077240.560000002</v>
      </c>
      <c r="K9" s="41">
        <f t="shared" si="1"/>
        <v>26100412.728</v>
      </c>
    </row>
    <row r="10" spans="2:13">
      <c r="C10" s="34"/>
      <c r="D10" s="34"/>
      <c r="E10" s="34"/>
      <c r="F10" s="34"/>
      <c r="G10" s="56"/>
      <c r="H10" s="56"/>
      <c r="I10" s="56"/>
      <c r="J10" s="56"/>
      <c r="K10" s="56"/>
    </row>
    <row r="11" spans="2:13">
      <c r="B11" s="4" t="s">
        <v>74</v>
      </c>
      <c r="C11" s="10">
        <f>SUMIF('P&amp;L assumptions'!$B:$B,PL!$B11,'P&amp;L assumptions'!C:C)</f>
        <v>-2126000</v>
      </c>
      <c r="D11" s="10">
        <f>SUMIF('P&amp;L assumptions'!$B:$B,PL!$B11,'P&amp;L assumptions'!D:D)</f>
        <v>-2612000</v>
      </c>
      <c r="E11" s="10">
        <f>SUMIF('P&amp;L assumptions'!$B:$B,PL!$B11,'P&amp;L assumptions'!E:E)</f>
        <v>-3367000</v>
      </c>
      <c r="F11" s="10"/>
      <c r="G11" s="23">
        <f>SUMIF('P&amp;L assumptions'!$B:$B,PL!$B11,'P&amp;L assumptions'!G:G)</f>
        <v>-4416932</v>
      </c>
      <c r="H11" s="23">
        <f>SUMIF('P&amp;L assumptions'!$B:$B,PL!$B11,'P&amp;L assumptions'!H:H)</f>
        <v>-5742011.5999999996</v>
      </c>
      <c r="I11" s="23">
        <f>SUMIF('P&amp;L assumptions'!$B:$B,PL!$B11,'P&amp;L assumptions'!I:I)</f>
        <v>-7464615.0799999991</v>
      </c>
      <c r="J11" s="23">
        <f>SUMIF('P&amp;L assumptions'!$B:$B,PL!$B11,'P&amp;L assumptions'!J:J)</f>
        <v>-9703999.6040000003</v>
      </c>
      <c r="K11" s="23">
        <f>SUMIF('P&amp;L assumptions'!$B:$B,PL!$B11,'P&amp;L assumptions'!K:K)</f>
        <v>-12615199.485199999</v>
      </c>
    </row>
    <row r="12" spans="2:13">
      <c r="B12" s="39" t="s">
        <v>8</v>
      </c>
      <c r="C12" s="40">
        <f>C9+C11</f>
        <v>1937000</v>
      </c>
      <c r="D12" s="40">
        <f t="shared" ref="D12:K12" si="2">D9+D11</f>
        <v>3210000</v>
      </c>
      <c r="E12" s="40">
        <f t="shared" si="2"/>
        <v>3804000</v>
      </c>
      <c r="F12" s="57"/>
      <c r="G12" s="41">
        <f t="shared" si="2"/>
        <v>4721548</v>
      </c>
      <c r="H12" s="41">
        <f t="shared" si="2"/>
        <v>6138012.4000000004</v>
      </c>
      <c r="I12" s="41">
        <f t="shared" si="2"/>
        <v>7979416.1200000001</v>
      </c>
      <c r="J12" s="41">
        <f t="shared" si="2"/>
        <v>10373240.956000002</v>
      </c>
      <c r="K12" s="41">
        <f t="shared" si="2"/>
        <v>13485213.242800001</v>
      </c>
    </row>
    <row r="13" spans="2:13">
      <c r="C13" s="10"/>
      <c r="D13" s="10"/>
      <c r="E13" s="10"/>
      <c r="F13" s="10"/>
      <c r="G13" s="23"/>
      <c r="H13" s="23"/>
      <c r="I13" s="23"/>
      <c r="J13" s="23"/>
      <c r="K13" s="23"/>
    </row>
    <row r="14" spans="2:13">
      <c r="B14" s="4" t="s">
        <v>9</v>
      </c>
      <c r="C14" s="10">
        <f>SUMIF('P&amp;L assumptions'!$B:$B,PL!$B14,'P&amp;L assumptions'!C:C)</f>
        <v>-187000</v>
      </c>
      <c r="D14" s="10">
        <f>SUMIF('P&amp;L assumptions'!$B:$B,PL!$B14,'P&amp;L assumptions'!D:D)</f>
        <v>-199000</v>
      </c>
      <c r="E14" s="10">
        <f>SUMIF('P&amp;L assumptions'!$B:$B,PL!$B14,'P&amp;L assumptions'!E:E)</f>
        <v>-262000</v>
      </c>
      <c r="F14" s="10"/>
      <c r="G14" s="23">
        <f>SUMIF('P&amp;L assumptions'!$B:$B,PL!$B14,'P&amp;L assumptions'!G:G)</f>
        <v>-380770</v>
      </c>
      <c r="H14" s="23">
        <f>SUMIF('P&amp;L assumptions'!$B:$B,PL!$B14,'P&amp;L assumptions'!H:H)</f>
        <v>-495001</v>
      </c>
      <c r="I14" s="23">
        <f>SUMIF('P&amp;L assumptions'!$B:$B,PL!$B14,'P&amp;L assumptions'!I:I)</f>
        <v>-643501.30000000005</v>
      </c>
      <c r="J14" s="23">
        <f>SUMIF('P&amp;L assumptions'!$B:$B,PL!$B14,'P&amp;L assumptions'!J:J)</f>
        <v>-836551.69000000006</v>
      </c>
      <c r="K14" s="23">
        <f>SUMIF('P&amp;L assumptions'!$B:$B,PL!$B14,'P&amp;L assumptions'!K:K)</f>
        <v>-1087517.1970000002</v>
      </c>
    </row>
    <row r="15" spans="2:13">
      <c r="B15" s="39" t="s">
        <v>10</v>
      </c>
      <c r="C15" s="40">
        <f>C12+C14</f>
        <v>1750000</v>
      </c>
      <c r="D15" s="40">
        <f t="shared" ref="D15:K15" si="3">D12+D14</f>
        <v>3011000</v>
      </c>
      <c r="E15" s="40">
        <f t="shared" si="3"/>
        <v>3542000</v>
      </c>
      <c r="F15" s="57"/>
      <c r="G15" s="41">
        <f t="shared" si="3"/>
        <v>4340778</v>
      </c>
      <c r="H15" s="41">
        <f t="shared" si="3"/>
        <v>5643011.4000000004</v>
      </c>
      <c r="I15" s="41">
        <f t="shared" si="3"/>
        <v>7335914.8200000003</v>
      </c>
      <c r="J15" s="41">
        <f t="shared" si="3"/>
        <v>9536689.2660000026</v>
      </c>
      <c r="K15" s="41">
        <f t="shared" si="3"/>
        <v>12397696.0458</v>
      </c>
    </row>
    <row r="16" spans="2:13">
      <c r="B16" s="20"/>
      <c r="C16" s="24"/>
      <c r="D16" s="24"/>
      <c r="E16" s="24"/>
      <c r="F16" s="24"/>
      <c r="G16" s="23"/>
      <c r="H16" s="23"/>
      <c r="I16" s="23"/>
      <c r="J16" s="23"/>
      <c r="K16" s="23"/>
    </row>
    <row r="17" spans="2:11">
      <c r="B17" s="4" t="s">
        <v>75</v>
      </c>
      <c r="C17" s="10">
        <f>SUMIF('P&amp;L assumptions'!$B:$B,PL!$B17,'P&amp;L assumptions'!C:C)</f>
        <v>-58000</v>
      </c>
      <c r="D17" s="10">
        <f>SUMIF('P&amp;L assumptions'!$B:$B,PL!$B17,'P&amp;L assumptions'!D:D)</f>
        <v>-61000</v>
      </c>
      <c r="E17" s="10">
        <f>SUMIF('P&amp;L assumptions'!$B:$B,PL!$B17,'P&amp;L assumptions'!E:E)</f>
        <v>-58000</v>
      </c>
      <c r="F17" s="10"/>
      <c r="G17" s="23">
        <f>SUMIF('P&amp;L assumptions'!$B:$B,PL!$B17,'P&amp;L assumptions'!G:G)</f>
        <v>-58075.4</v>
      </c>
      <c r="H17" s="23">
        <f>SUMIF('P&amp;L assumptions'!$B:$B,PL!$B17,'P&amp;L assumptions'!H:H)</f>
        <v>-58150.898020000008</v>
      </c>
      <c r="I17" s="23">
        <f>SUMIF('P&amp;L assumptions'!$B:$B,PL!$B17,'P&amp;L assumptions'!I:I)</f>
        <v>-58226.494187426011</v>
      </c>
      <c r="J17" s="23">
        <f>SUMIF('P&amp;L assumptions'!$B:$B,PL!$B17,'P&amp;L assumptions'!J:J)</f>
        <v>-58302.18862986967</v>
      </c>
      <c r="K17" s="23">
        <f>SUMIF('P&amp;L assumptions'!$B:$B,PL!$B17,'P&amp;L assumptions'!K:K)</f>
        <v>-58377.981475088505</v>
      </c>
    </row>
    <row r="18" spans="2:11">
      <c r="B18" s="4" t="s">
        <v>12</v>
      </c>
      <c r="C18" s="10">
        <f>SUMIF('P&amp;L assumptions'!$B:$B,PL!$B18,'P&amp;L assumptions'!C:C)</f>
        <v>28000</v>
      </c>
      <c r="D18" s="10">
        <f>SUMIF('P&amp;L assumptions'!$B:$B,PL!$B18,'P&amp;L assumptions'!D:D)</f>
        <v>22000</v>
      </c>
      <c r="E18" s="10">
        <f>SUMIF('P&amp;L assumptions'!$B:$B,PL!$B18,'P&amp;L assumptions'!E:E)</f>
        <v>-14000</v>
      </c>
      <c r="F18" s="10"/>
      <c r="G18" s="23">
        <f>SUMIF('P&amp;L assumptions'!$B:$B,PL!$B18,'P&amp;L assumptions'!G:G)</f>
        <v>30461.600000000002</v>
      </c>
      <c r="H18" s="23">
        <f>SUMIF('P&amp;L assumptions'!$B:$B,PL!$B18,'P&amp;L assumptions'!H:H)</f>
        <v>39600.080000000002</v>
      </c>
      <c r="I18" s="23">
        <f>SUMIF('P&amp;L assumptions'!$B:$B,PL!$B18,'P&amp;L assumptions'!I:I)</f>
        <v>51480.103999999999</v>
      </c>
      <c r="J18" s="23">
        <f>SUMIF('P&amp;L assumptions'!$B:$B,PL!$B18,'P&amp;L assumptions'!J:J)</f>
        <v>66924.135200000004</v>
      </c>
      <c r="K18" s="23">
        <f>SUMIF('P&amp;L assumptions'!$B:$B,PL!$B18,'P&amp;L assumptions'!K:K)</f>
        <v>87001.37576000001</v>
      </c>
    </row>
    <row r="19" spans="2:11">
      <c r="B19" s="39" t="s">
        <v>13</v>
      </c>
      <c r="C19" s="40">
        <f>C15+C17+C18</f>
        <v>1720000</v>
      </c>
      <c r="D19" s="40">
        <f t="shared" ref="D19:K19" si="4">D15+D17+D18</f>
        <v>2972000</v>
      </c>
      <c r="E19" s="40">
        <f t="shared" si="4"/>
        <v>3470000</v>
      </c>
      <c r="F19" s="57"/>
      <c r="G19" s="41">
        <f t="shared" si="4"/>
        <v>4313164.1999999993</v>
      </c>
      <c r="H19" s="41">
        <f t="shared" si="4"/>
        <v>5624460.5819800003</v>
      </c>
      <c r="I19" s="41">
        <f t="shared" si="4"/>
        <v>7329168.4298125748</v>
      </c>
      <c r="J19" s="41">
        <f t="shared" si="4"/>
        <v>9545311.2125701327</v>
      </c>
      <c r="K19" s="41">
        <f t="shared" si="4"/>
        <v>12426319.440084912</v>
      </c>
    </row>
    <row r="20" spans="2:11">
      <c r="C20" s="50"/>
      <c r="D20" s="50"/>
      <c r="E20" s="50"/>
      <c r="F20" s="50"/>
      <c r="G20" s="53"/>
      <c r="H20" s="53"/>
      <c r="I20" s="53"/>
      <c r="J20" s="53"/>
      <c r="K20" s="53"/>
    </row>
    <row r="21" spans="2:11">
      <c r="B21" s="4" t="s">
        <v>109</v>
      </c>
      <c r="C21" s="54">
        <f>C22/C19</f>
        <v>-0.13895348837209304</v>
      </c>
      <c r="D21" s="54">
        <f t="shared" ref="D21:E21" si="5">D22/D19</f>
        <v>-5.0134589502018843E-2</v>
      </c>
      <c r="E21" s="54">
        <f t="shared" si="5"/>
        <v>7.060518731988473E-2</v>
      </c>
      <c r="F21" s="51"/>
      <c r="G21" s="55">
        <f>'P&amp;L assumptions'!G50</f>
        <v>-0.1</v>
      </c>
      <c r="H21" s="55">
        <f>'P&amp;L assumptions'!H50</f>
        <v>-0.1</v>
      </c>
      <c r="I21" s="55">
        <f>'P&amp;L assumptions'!I50</f>
        <v>-0.1</v>
      </c>
      <c r="J21" s="55">
        <f>'P&amp;L assumptions'!J50</f>
        <v>-0.1</v>
      </c>
      <c r="K21" s="55">
        <f>'P&amp;L assumptions'!K50</f>
        <v>-0.1</v>
      </c>
    </row>
    <row r="22" spans="2:11">
      <c r="B22" s="4" t="s">
        <v>14</v>
      </c>
      <c r="C22" s="10">
        <f>'P&amp;L assumptions'!C49</f>
        <v>-239000</v>
      </c>
      <c r="D22" s="10">
        <f>'P&amp;L assumptions'!D49</f>
        <v>-149000</v>
      </c>
      <c r="E22" s="10">
        <f>'P&amp;L assumptions'!E49</f>
        <v>245000</v>
      </c>
      <c r="F22" s="10"/>
      <c r="G22" s="23">
        <f>G21*G19</f>
        <v>-431316.41999999993</v>
      </c>
      <c r="H22" s="23">
        <f t="shared" ref="H22:K22" si="6">H21*H19</f>
        <v>-562446.05819800007</v>
      </c>
      <c r="I22" s="23">
        <f t="shared" si="6"/>
        <v>-732916.84298125748</v>
      </c>
      <c r="J22" s="23">
        <f t="shared" si="6"/>
        <v>-954531.12125701329</v>
      </c>
      <c r="K22" s="23">
        <f t="shared" si="6"/>
        <v>-1242631.9440084912</v>
      </c>
    </row>
    <row r="23" spans="2:11">
      <c r="C23" s="10"/>
      <c r="D23" s="10"/>
      <c r="E23" s="10"/>
      <c r="F23" s="10"/>
      <c r="G23" s="23"/>
      <c r="H23" s="23"/>
      <c r="I23" s="23"/>
      <c r="J23" s="23"/>
      <c r="K23" s="23"/>
    </row>
    <row r="24" spans="2:11">
      <c r="B24" s="37" t="s">
        <v>15</v>
      </c>
      <c r="C24" s="38">
        <f>C19+C22</f>
        <v>1481000</v>
      </c>
      <c r="D24" s="38">
        <f t="shared" ref="D24:E24" si="7">D19+D22</f>
        <v>2823000</v>
      </c>
      <c r="E24" s="38">
        <f t="shared" si="7"/>
        <v>3715000</v>
      </c>
      <c r="F24" s="38"/>
      <c r="G24" s="38">
        <f>G19+G22</f>
        <v>3881847.7799999993</v>
      </c>
      <c r="H24" s="38">
        <f t="shared" ref="H24:K24" si="8">H19+H22</f>
        <v>5062014.5237819999</v>
      </c>
      <c r="I24" s="38">
        <f t="shared" si="8"/>
        <v>6596251.5868313173</v>
      </c>
      <c r="J24" s="38">
        <f t="shared" si="8"/>
        <v>8590780.09131312</v>
      </c>
      <c r="K24" s="38">
        <f t="shared" si="8"/>
        <v>11183687.49607642</v>
      </c>
    </row>
    <row r="25" spans="2:11">
      <c r="C25" s="10"/>
      <c r="D25" s="10"/>
      <c r="E25" s="10"/>
      <c r="F25" s="10"/>
    </row>
    <row r="26" spans="2:11">
      <c r="C26" s="10"/>
      <c r="D26" s="10"/>
      <c r="E26" s="10"/>
      <c r="F26" s="10"/>
    </row>
    <row r="27" spans="2:11">
      <c r="C27" s="10"/>
      <c r="D27" s="10"/>
      <c r="E27" s="10"/>
      <c r="F27" s="10"/>
    </row>
    <row r="28" spans="2:11">
      <c r="C28" s="10"/>
      <c r="D28" s="10"/>
      <c r="E28" s="10"/>
      <c r="F28" s="10"/>
      <c r="K28" s="4" t="s">
        <v>48</v>
      </c>
    </row>
    <row r="56" spans="2:2">
      <c r="B56" s="4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M26"/>
  <sheetViews>
    <sheetView workbookViewId="0">
      <selection activeCell="B1" sqref="B1"/>
    </sheetView>
  </sheetViews>
  <sheetFormatPr defaultColWidth="9.140625" defaultRowHeight="12"/>
  <cols>
    <col min="1" max="1" width="2" style="4" customWidth="1"/>
    <col min="2" max="2" width="22.7109375" style="4" bestFit="1" customWidth="1"/>
    <col min="3" max="3" width="10" style="4" bestFit="1" customWidth="1"/>
    <col min="4" max="5" width="11" style="4" bestFit="1" customWidth="1"/>
    <col min="6" max="6" width="2" style="4" customWidth="1"/>
    <col min="7" max="11" width="11" style="4" bestFit="1" customWidth="1"/>
    <col min="12" max="12" width="2" style="4" customWidth="1"/>
    <col min="13" max="13" width="36.85546875" style="4" bestFit="1" customWidth="1"/>
    <col min="14" max="16384" width="9.140625" style="4"/>
  </cols>
  <sheetData>
    <row r="1" spans="2:13" ht="15.75">
      <c r="B1" s="3" t="s">
        <v>39</v>
      </c>
    </row>
    <row r="3" spans="2:13" ht="24.75" thickBot="1">
      <c r="B3" s="14" t="s">
        <v>34</v>
      </c>
      <c r="C3" s="15" t="s">
        <v>52</v>
      </c>
      <c r="D3" s="15" t="s">
        <v>53</v>
      </c>
      <c r="E3" s="15" t="s">
        <v>54</v>
      </c>
      <c r="F3" s="18"/>
      <c r="G3" s="16" t="s">
        <v>55</v>
      </c>
      <c r="H3" s="16" t="s">
        <v>56</v>
      </c>
      <c r="I3" s="16" t="s">
        <v>57</v>
      </c>
      <c r="J3" s="16" t="s">
        <v>58</v>
      </c>
      <c r="K3" s="16" t="s">
        <v>59</v>
      </c>
      <c r="M3" s="19" t="s">
        <v>38</v>
      </c>
    </row>
    <row r="4" spans="2:13">
      <c r="B4" s="4" t="s">
        <v>17</v>
      </c>
      <c r="C4" s="10">
        <f>BSdata!D4</f>
        <v>104000</v>
      </c>
      <c r="D4" s="10">
        <f>BSdata!E4</f>
        <v>52000</v>
      </c>
      <c r="E4" s="10">
        <f>BSdata!F4</f>
        <v>45000</v>
      </c>
      <c r="G4" s="23">
        <f>$E$4</f>
        <v>45000</v>
      </c>
      <c r="H4" s="23">
        <f t="shared" ref="H4:K4" si="0">$E$4</f>
        <v>45000</v>
      </c>
      <c r="I4" s="23">
        <f t="shared" si="0"/>
        <v>45000</v>
      </c>
      <c r="J4" s="23">
        <f t="shared" si="0"/>
        <v>45000</v>
      </c>
      <c r="K4" s="23">
        <f t="shared" si="0"/>
        <v>45000</v>
      </c>
      <c r="M4" s="4" t="s">
        <v>89</v>
      </c>
    </row>
    <row r="5" spans="2:13">
      <c r="B5" s="58" t="s">
        <v>85</v>
      </c>
      <c r="C5" s="10">
        <f>SUMIF('BS assumptions'!$B:$B,BS!$B5,'BS assumptions'!C:C)</f>
        <v>521000</v>
      </c>
      <c r="D5" s="10">
        <f>SUMIF('BS assumptions'!$B:$B,BS!$B5,'BS assumptions'!D:D)</f>
        <v>997000</v>
      </c>
      <c r="E5" s="10">
        <f>SUMIF('BS assumptions'!$B:$B,BS!$B5,'BS assumptions'!E:E)</f>
        <v>1404000</v>
      </c>
      <c r="G5" s="23">
        <f>SUMIF('BS assumptions'!$B:$B,BS!$B5,'BS assumptions'!G:G)</f>
        <v>1512263.4266167728</v>
      </c>
      <c r="H5" s="23">
        <f>SUMIF('BS assumptions'!$B:$B,BS!$B5,'BS assumptions'!H:H)</f>
        <v>1965942.4546018047</v>
      </c>
      <c r="I5" s="23">
        <f>SUMIF('BS assumptions'!$B:$B,BS!$B5,'BS assumptions'!I:I)</f>
        <v>2555725.190982346</v>
      </c>
      <c r="J5" s="23">
        <f>SUMIF('BS assumptions'!$B:$B,BS!$B5,'BS assumptions'!J:J)</f>
        <v>3322442.74827705</v>
      </c>
      <c r="K5" s="23">
        <f>SUMIF('BS assumptions'!$B:$B,BS!$B5,'BS assumptions'!K:K)</f>
        <v>4319175.5727601657</v>
      </c>
    </row>
    <row r="6" spans="2:13">
      <c r="B6" s="4" t="s">
        <v>33</v>
      </c>
      <c r="C6" s="10">
        <f>BSdata!D6</f>
        <v>5768000</v>
      </c>
      <c r="D6" s="10">
        <f>BSdata!E6</f>
        <v>3810000</v>
      </c>
      <c r="E6" s="10">
        <f>BSdata!F6</f>
        <v>7394000</v>
      </c>
      <c r="G6" s="23">
        <f>$E$6</f>
        <v>7394000</v>
      </c>
      <c r="H6" s="23">
        <f t="shared" ref="H6:K6" si="1">$E$6</f>
        <v>7394000</v>
      </c>
      <c r="I6" s="23">
        <f t="shared" si="1"/>
        <v>7394000</v>
      </c>
      <c r="J6" s="23">
        <f t="shared" si="1"/>
        <v>7394000</v>
      </c>
      <c r="K6" s="23">
        <f t="shared" si="1"/>
        <v>7394000</v>
      </c>
      <c r="M6" s="4" t="s">
        <v>89</v>
      </c>
    </row>
    <row r="7" spans="2:13">
      <c r="C7" s="10"/>
      <c r="D7" s="10"/>
      <c r="E7" s="10"/>
      <c r="G7" s="23"/>
      <c r="H7" s="23"/>
      <c r="I7" s="23"/>
      <c r="J7" s="23"/>
      <c r="K7" s="23"/>
    </row>
    <row r="8" spans="2:13">
      <c r="B8" s="58" t="s">
        <v>20</v>
      </c>
      <c r="C8" s="10">
        <f>SUMIF('BS assumptions'!$B:$B,BS!$B8,'BS assumptions'!C:C)</f>
        <v>794000</v>
      </c>
      <c r="D8" s="10">
        <f>SUMIF('BS assumptions'!$B:$B,BS!$B8,'BS assumptions'!D:D)</f>
        <v>796000</v>
      </c>
      <c r="E8" s="10">
        <f>SUMIF('BS assumptions'!$B:$B,BS!$B8,'BS assumptions'!E:E)</f>
        <v>1575000</v>
      </c>
      <c r="G8" s="23">
        <f>SUMIF('BS assumptions'!$B:$B,BS!$B8,'BS assumptions'!G:G)</f>
        <v>2111199.9999999995</v>
      </c>
      <c r="H8" s="23">
        <f>SUMIF('BS assumptions'!$B:$B,BS!$B8,'BS assumptions'!H:H)</f>
        <v>2744559.9999999995</v>
      </c>
      <c r="I8" s="23">
        <f>SUMIF('BS assumptions'!$B:$B,BS!$B8,'BS assumptions'!I:I)</f>
        <v>3567928</v>
      </c>
      <c r="J8" s="23">
        <f>SUMIF('BS assumptions'!$B:$B,BS!$B8,'BS assumptions'!J:J)</f>
        <v>4638306.4000000004</v>
      </c>
      <c r="K8" s="23">
        <f>SUMIF('BS assumptions'!$B:$B,BS!$B8,'BS assumptions'!K:K)</f>
        <v>6029798.3200000012</v>
      </c>
    </row>
    <row r="9" spans="2:13">
      <c r="B9" s="58" t="s">
        <v>80</v>
      </c>
      <c r="C9" s="10">
        <f>SUMIF('BS assumptions'!$B:$B,BS!$B9,'BS assumptions'!C:C)</f>
        <v>826000</v>
      </c>
      <c r="D9" s="10">
        <f>SUMIF('BS assumptions'!$B:$B,BS!$B9,'BS assumptions'!D:D)</f>
        <v>1265000</v>
      </c>
      <c r="E9" s="10">
        <f>SUMIF('BS assumptions'!$B:$B,BS!$B9,'BS assumptions'!E:E)</f>
        <v>1424000</v>
      </c>
      <c r="G9" s="23">
        <f>SUMIF('BS assumptions'!$B:$B,BS!$B9,'BS assumptions'!G:G)</f>
        <v>1851199.9999999998</v>
      </c>
      <c r="H9" s="23">
        <f>SUMIF('BS assumptions'!$B:$B,BS!$B9,'BS assumptions'!H:H)</f>
        <v>2406559.9999999995</v>
      </c>
      <c r="I9" s="23">
        <f>SUMIF('BS assumptions'!$B:$B,BS!$B9,'BS assumptions'!I:I)</f>
        <v>3128528</v>
      </c>
      <c r="J9" s="23">
        <f>SUMIF('BS assumptions'!$B:$B,BS!$B9,'BS assumptions'!J:J)</f>
        <v>4067086.4</v>
      </c>
      <c r="K9" s="23">
        <f>SUMIF('BS assumptions'!$B:$B,BS!$B9,'BS assumptions'!K:K)</f>
        <v>5287212.32</v>
      </c>
    </row>
    <row r="10" spans="2:13">
      <c r="B10" s="58" t="s">
        <v>19</v>
      </c>
      <c r="C10" s="10">
        <f>SUMIF('BS assumptions'!$B:$B,BS!$B10,'BS assumptions'!C:C)</f>
        <v>62000</v>
      </c>
      <c r="D10" s="10">
        <f>SUMIF('BS assumptions'!$B:$B,BS!$B10,'BS assumptions'!D:D)</f>
        <v>319000</v>
      </c>
      <c r="E10" s="10">
        <f>SUMIF('BS assumptions'!$B:$B,BS!$B10,'BS assumptions'!E:E)</f>
        <v>668000</v>
      </c>
      <c r="G10" s="23">
        <f>SUMIF('BS assumptions'!$B:$B,BS!$B10,'BS assumptions'!G:G)</f>
        <v>501741.90434164321</v>
      </c>
      <c r="H10" s="23">
        <f>SUMIF('BS assumptions'!$B:$B,BS!$B10,'BS assumptions'!H:H)</f>
        <v>652264.47564413608</v>
      </c>
      <c r="I10" s="23">
        <f>SUMIF('BS assumptions'!$B:$B,BS!$B10,'BS assumptions'!I:I)</f>
        <v>847943.81833737693</v>
      </c>
      <c r="J10" s="23">
        <f>SUMIF('BS assumptions'!$B:$B,BS!$B10,'BS assumptions'!J:J)</f>
        <v>1102326.9638385901</v>
      </c>
      <c r="K10" s="23">
        <f>SUMIF('BS assumptions'!$B:$B,BS!$B10,'BS assumptions'!K:K)</f>
        <v>1433025.0529901672</v>
      </c>
    </row>
    <row r="11" spans="2:13">
      <c r="C11" s="10"/>
      <c r="D11" s="10"/>
      <c r="E11" s="10"/>
      <c r="G11" s="23"/>
      <c r="H11" s="23"/>
      <c r="I11" s="23"/>
      <c r="J11" s="23"/>
      <c r="K11" s="23"/>
    </row>
    <row r="12" spans="2:13">
      <c r="B12" s="4" t="s">
        <v>21</v>
      </c>
      <c r="C12" s="10">
        <f>BSdata!D14</f>
        <v>1766000</v>
      </c>
      <c r="D12" s="10">
        <f>BSdata!E14</f>
        <v>4002000</v>
      </c>
      <c r="E12" s="10">
        <f>BSdata!F14</f>
        <v>782000</v>
      </c>
      <c r="G12" s="23">
        <f>E12+CF!G29</f>
        <v>4803571.9375140686</v>
      </c>
      <c r="H12" s="23">
        <f>G12+CF!H29</f>
        <v>8784903.7085502893</v>
      </c>
      <c r="I12" s="23">
        <f>H12+CF!I29</f>
        <v>13976267.716812093</v>
      </c>
      <c r="J12" s="23">
        <f>I12+CF!J29</f>
        <v>20740693.955984846</v>
      </c>
      <c r="K12" s="23">
        <f>J12+CF!K29</f>
        <v>29550121.444278784</v>
      </c>
      <c r="M12" s="4" t="s">
        <v>92</v>
      </c>
    </row>
    <row r="13" spans="2:13">
      <c r="G13" s="23"/>
      <c r="H13" s="23"/>
      <c r="I13" s="23"/>
      <c r="J13" s="23"/>
      <c r="K13" s="23"/>
    </row>
    <row r="14" spans="2:13" ht="12.75" thickBot="1">
      <c r="B14" s="42" t="s">
        <v>22</v>
      </c>
      <c r="C14" s="43">
        <f>SUM(C4:C12)</f>
        <v>9841000</v>
      </c>
      <c r="D14" s="43">
        <f t="shared" ref="D14:K14" si="2">SUM(D4:D12)</f>
        <v>11241000</v>
      </c>
      <c r="E14" s="43">
        <f t="shared" si="2"/>
        <v>13292000</v>
      </c>
      <c r="F14" s="44"/>
      <c r="G14" s="45">
        <f t="shared" si="2"/>
        <v>18218977.268472485</v>
      </c>
      <c r="H14" s="45">
        <f t="shared" si="2"/>
        <v>23993230.638796233</v>
      </c>
      <c r="I14" s="45">
        <f t="shared" si="2"/>
        <v>31515392.726131815</v>
      </c>
      <c r="J14" s="45">
        <f t="shared" si="2"/>
        <v>41309856.468100488</v>
      </c>
      <c r="K14" s="45">
        <f t="shared" si="2"/>
        <v>54058332.710029118</v>
      </c>
    </row>
    <row r="15" spans="2:13">
      <c r="C15" s="10"/>
      <c r="D15" s="10"/>
      <c r="E15" s="10"/>
      <c r="F15" s="10"/>
      <c r="G15" s="23"/>
      <c r="H15" s="23"/>
      <c r="I15" s="23"/>
      <c r="J15" s="23"/>
      <c r="K15" s="23"/>
    </row>
    <row r="16" spans="2:13">
      <c r="B16" s="58" t="s">
        <v>83</v>
      </c>
      <c r="C16" s="10">
        <f>SUMIF('BS assumptions'!$B:$B,BS!$B16,'BS assumptions'!C:C)</f>
        <v>992000</v>
      </c>
      <c r="D16" s="10">
        <f>SUMIF('BS assumptions'!$B:$B,BS!$B16,'BS assumptions'!D:D)</f>
        <v>1138000</v>
      </c>
      <c r="E16" s="10">
        <f>SUMIF('BS assumptions'!$B:$B,BS!$B16,'BS assumptions'!E:E)</f>
        <v>1329000</v>
      </c>
      <c r="F16" s="10"/>
      <c r="G16" s="23">
        <f>SUMIF('BS assumptions'!$B:$B,BS!$B16,'BS assumptions'!G:G)</f>
        <v>1781450.6666666667</v>
      </c>
      <c r="H16" s="23">
        <f>SUMIF('BS assumptions'!$B:$B,BS!$B16,'BS assumptions'!H:H)</f>
        <v>2315885.8666666667</v>
      </c>
      <c r="I16" s="23">
        <f>SUMIF('BS assumptions'!$B:$B,BS!$B16,'BS assumptions'!I:I)</f>
        <v>3010651.6266666669</v>
      </c>
      <c r="J16" s="23">
        <f>SUMIF('BS assumptions'!$B:$B,BS!$B16,'BS assumptions'!J:J)</f>
        <v>3913847.1146666673</v>
      </c>
      <c r="K16" s="23">
        <f>SUMIF('BS assumptions'!$B:$B,BS!$B16,'BS assumptions'!K:K)</f>
        <v>5088001.2490666676</v>
      </c>
    </row>
    <row r="17" spans="2:13">
      <c r="B17" s="58" t="s">
        <v>27</v>
      </c>
      <c r="C17" s="10">
        <f>SUMIF('BS assumptions'!$B:$B,BS!$B17,'BS assumptions'!C:C)</f>
        <v>796000</v>
      </c>
      <c r="D17" s="10">
        <f>SUMIF('BS assumptions'!$B:$B,BS!$B17,'BS assumptions'!D:D)</f>
        <v>15000</v>
      </c>
      <c r="E17" s="10">
        <f>SUMIF('BS assumptions'!$B:$B,BS!$B17,'BS assumptions'!E:E)</f>
        <v>0</v>
      </c>
      <c r="F17" s="10"/>
      <c r="G17" s="23">
        <f>SUMIF('BS assumptions'!$B:$B,BS!$B17,'BS assumptions'!G:G)</f>
        <v>592678.82180581719</v>
      </c>
      <c r="H17" s="23">
        <f>SUMIF('BS assumptions'!$B:$B,BS!$B17,'BS assumptions'!H:H)</f>
        <v>770482.46834756224</v>
      </c>
      <c r="I17" s="23">
        <f>SUMIF('BS assumptions'!$B:$B,BS!$B17,'BS assumptions'!I:I)</f>
        <v>1001627.208851831</v>
      </c>
      <c r="J17" s="23">
        <f>SUMIF('BS assumptions'!$B:$B,BS!$B17,'BS assumptions'!J:J)</f>
        <v>1302115.3715073804</v>
      </c>
      <c r="K17" s="23">
        <f>SUMIF('BS assumptions'!$B:$B,BS!$B17,'BS assumptions'!K:K)</f>
        <v>1692749.9829595943</v>
      </c>
    </row>
    <row r="18" spans="2:13">
      <c r="C18" s="10"/>
      <c r="D18" s="10"/>
      <c r="E18" s="10"/>
      <c r="F18" s="10"/>
      <c r="G18" s="23"/>
      <c r="H18" s="23"/>
      <c r="I18" s="23"/>
      <c r="J18" s="23"/>
      <c r="K18" s="23"/>
    </row>
    <row r="19" spans="2:13">
      <c r="B19" s="4" t="s">
        <v>49</v>
      </c>
      <c r="C19" s="10">
        <f>BSdata!J15+BSdata!J16</f>
        <v>2291000</v>
      </c>
      <c r="D19" s="10">
        <f>BSdata!K15+BSdata!K16</f>
        <v>2617000</v>
      </c>
      <c r="E19" s="10">
        <f>BSdata!L15+BSdata!L16</f>
        <v>2621000</v>
      </c>
      <c r="F19" s="10"/>
      <c r="G19" s="23">
        <f>$E$19</f>
        <v>2621000</v>
      </c>
      <c r="H19" s="23">
        <f t="shared" ref="H19:K19" si="3">$E$19</f>
        <v>2621000</v>
      </c>
      <c r="I19" s="23">
        <f t="shared" si="3"/>
        <v>2621000</v>
      </c>
      <c r="J19" s="23">
        <f t="shared" si="3"/>
        <v>2621000</v>
      </c>
      <c r="K19" s="23">
        <f t="shared" si="3"/>
        <v>2621000</v>
      </c>
      <c r="M19" s="4" t="s">
        <v>90</v>
      </c>
    </row>
    <row r="20" spans="2:13">
      <c r="C20" s="10"/>
      <c r="D20" s="10"/>
      <c r="E20" s="10"/>
      <c r="F20" s="10"/>
      <c r="G20" s="23"/>
      <c r="H20" s="23"/>
      <c r="I20" s="23"/>
      <c r="J20" s="23"/>
      <c r="K20" s="23"/>
    </row>
    <row r="21" spans="2:13">
      <c r="B21" s="4" t="s">
        <v>50</v>
      </c>
      <c r="C21" s="10">
        <f>BSdata!J8</f>
        <v>5762000</v>
      </c>
      <c r="D21" s="10">
        <f>BSdata!K8</f>
        <v>7471000</v>
      </c>
      <c r="E21" s="10">
        <f>BSdata!L8</f>
        <v>9342000</v>
      </c>
      <c r="F21" s="10"/>
      <c r="G21" s="23">
        <f>E21+PL!G24</f>
        <v>13223847.779999999</v>
      </c>
      <c r="H21" s="23">
        <f>G21+PL!H24</f>
        <v>18285862.303782001</v>
      </c>
      <c r="I21" s="23">
        <f>H21+PL!I24</f>
        <v>24882113.890613317</v>
      </c>
      <c r="J21" s="23">
        <f>I21+PL!J24</f>
        <v>33472893.981926437</v>
      </c>
      <c r="K21" s="23">
        <f>J21+PL!K24</f>
        <v>44656581.478002861</v>
      </c>
      <c r="M21" s="4" t="s">
        <v>91</v>
      </c>
    </row>
    <row r="22" spans="2:13">
      <c r="C22" s="10"/>
      <c r="D22" s="10"/>
      <c r="E22" s="10"/>
      <c r="F22" s="10"/>
      <c r="G22" s="23"/>
      <c r="H22" s="23"/>
      <c r="I22" s="23"/>
      <c r="J22" s="23"/>
      <c r="K22" s="23"/>
    </row>
    <row r="23" spans="2:13" ht="12.75" thickBot="1">
      <c r="B23" s="42" t="s">
        <v>51</v>
      </c>
      <c r="C23" s="43">
        <f>SUM(C16:C21)</f>
        <v>9841000</v>
      </c>
      <c r="D23" s="43">
        <f t="shared" ref="D23:K23" si="4">SUM(D16:D21)</f>
        <v>11241000</v>
      </c>
      <c r="E23" s="43">
        <f t="shared" si="4"/>
        <v>13292000</v>
      </c>
      <c r="F23" s="44"/>
      <c r="G23" s="45">
        <f t="shared" si="4"/>
        <v>18218977.268472485</v>
      </c>
      <c r="H23" s="45">
        <f t="shared" si="4"/>
        <v>23993230.638796229</v>
      </c>
      <c r="I23" s="45">
        <f t="shared" si="4"/>
        <v>31515392.726131815</v>
      </c>
      <c r="J23" s="45">
        <f t="shared" si="4"/>
        <v>41309856.468100488</v>
      </c>
      <c r="K23" s="45">
        <f t="shared" si="4"/>
        <v>54058332.710029125</v>
      </c>
    </row>
    <row r="24" spans="2:13">
      <c r="G24" s="10"/>
      <c r="H24" s="10"/>
      <c r="I24" s="10"/>
      <c r="J24" s="10"/>
      <c r="K24" s="10"/>
    </row>
    <row r="25" spans="2:13">
      <c r="B25" s="4" t="s">
        <v>88</v>
      </c>
      <c r="C25" s="4">
        <f>C14-C23</f>
        <v>0</v>
      </c>
      <c r="D25" s="4">
        <f t="shared" ref="D25:K25" si="5">D14-D23</f>
        <v>0</v>
      </c>
      <c r="E25" s="4">
        <f t="shared" si="5"/>
        <v>0</v>
      </c>
      <c r="G25" s="4">
        <f t="shared" si="5"/>
        <v>0</v>
      </c>
      <c r="H25" s="4">
        <f t="shared" si="5"/>
        <v>0</v>
      </c>
      <c r="I25" s="4">
        <f t="shared" si="5"/>
        <v>0</v>
      </c>
      <c r="J25" s="4">
        <f t="shared" si="5"/>
        <v>0</v>
      </c>
      <c r="K25" s="4">
        <f t="shared" si="5"/>
        <v>0</v>
      </c>
    </row>
    <row r="26" spans="2:13">
      <c r="G26" s="10"/>
      <c r="H26" s="10"/>
      <c r="I26" s="10"/>
      <c r="J26" s="10"/>
      <c r="K26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M34"/>
  <sheetViews>
    <sheetView workbookViewId="0">
      <selection activeCell="B1" sqref="B1"/>
    </sheetView>
  </sheetViews>
  <sheetFormatPr defaultColWidth="9.140625" defaultRowHeight="12"/>
  <cols>
    <col min="1" max="1" width="2" style="8" customWidth="1"/>
    <col min="2" max="2" width="33" style="8" bestFit="1" customWidth="1"/>
    <col min="3" max="3" width="9.140625" style="8" customWidth="1"/>
    <col min="4" max="5" width="12" style="8" bestFit="1" customWidth="1"/>
    <col min="6" max="6" width="2" style="8" customWidth="1"/>
    <col min="7" max="8" width="11.42578125" style="8" bestFit="1" customWidth="1"/>
    <col min="9" max="11" width="12.42578125" style="8" bestFit="1" customWidth="1"/>
    <col min="12" max="12" width="2" style="8" customWidth="1"/>
    <col min="13" max="13" width="10.5703125" style="8" bestFit="1" customWidth="1"/>
    <col min="14" max="16384" width="9.140625" style="8"/>
  </cols>
  <sheetData>
    <row r="1" spans="2:13" ht="15.75">
      <c r="B1" s="9" t="s">
        <v>16</v>
      </c>
      <c r="C1" s="9"/>
    </row>
    <row r="2" spans="2:13">
      <c r="B2" s="8" t="s">
        <v>43</v>
      </c>
    </row>
    <row r="3" spans="2:13" ht="24.75" thickBot="1">
      <c r="B3" s="14" t="s">
        <v>34</v>
      </c>
      <c r="C3" s="15"/>
      <c r="D3" s="15" t="s">
        <v>53</v>
      </c>
      <c r="E3" s="15" t="s">
        <v>54</v>
      </c>
      <c r="F3" s="18"/>
      <c r="G3" s="16" t="s">
        <v>55</v>
      </c>
      <c r="H3" s="16" t="s">
        <v>56</v>
      </c>
      <c r="I3" s="16" t="s">
        <v>57</v>
      </c>
      <c r="J3" s="16" t="s">
        <v>58</v>
      </c>
      <c r="K3" s="16" t="s">
        <v>59</v>
      </c>
      <c r="L3" s="4"/>
      <c r="M3" s="19" t="s">
        <v>38</v>
      </c>
    </row>
    <row r="4" spans="2:13">
      <c r="B4" s="8" t="s">
        <v>10</v>
      </c>
      <c r="D4" s="8">
        <f>PL!D15</f>
        <v>3011000</v>
      </c>
      <c r="E4" s="8">
        <f>PL!E15</f>
        <v>3542000</v>
      </c>
      <c r="G4" s="62">
        <f>PL!G15</f>
        <v>4340778</v>
      </c>
      <c r="H4" s="62">
        <f>PL!H15</f>
        <v>5643011.4000000004</v>
      </c>
      <c r="I4" s="62">
        <f>PL!I15</f>
        <v>7335914.8200000003</v>
      </c>
      <c r="J4" s="62">
        <f>PL!J15</f>
        <v>9536689.2660000026</v>
      </c>
      <c r="K4" s="62">
        <f>PL!K15</f>
        <v>12397696.0458</v>
      </c>
    </row>
    <row r="5" spans="2:13">
      <c r="B5" s="8" t="s">
        <v>93</v>
      </c>
      <c r="D5" s="8">
        <f>D6*D4</f>
        <v>-150955.24899057875</v>
      </c>
      <c r="E5" s="8">
        <f>E6*E4</f>
        <v>250083.57348703171</v>
      </c>
      <c r="G5" s="62">
        <f>G6*G4</f>
        <v>-434077.80000000005</v>
      </c>
      <c r="H5" s="62">
        <f>H6*H4</f>
        <v>-564301.14</v>
      </c>
      <c r="I5" s="62">
        <f>I6*I4</f>
        <v>-733591.48200000008</v>
      </c>
      <c r="J5" s="62">
        <f>J6*J4</f>
        <v>-953668.92660000036</v>
      </c>
      <c r="K5" s="62">
        <f>K6*K4</f>
        <v>-1239769.60458</v>
      </c>
    </row>
    <row r="6" spans="2:13">
      <c r="B6" s="8" t="s">
        <v>94</v>
      </c>
      <c r="D6" s="51">
        <f>PL!D21</f>
        <v>-5.0134589502018843E-2</v>
      </c>
      <c r="E6" s="51">
        <f>PL!E21</f>
        <v>7.060518731988473E-2</v>
      </c>
      <c r="F6" s="51"/>
      <c r="G6" s="55">
        <f>PL!G21</f>
        <v>-0.1</v>
      </c>
      <c r="H6" s="55">
        <f>PL!H21</f>
        <v>-0.1</v>
      </c>
      <c r="I6" s="55">
        <f>PL!I21</f>
        <v>-0.1</v>
      </c>
      <c r="J6" s="55">
        <f>PL!J21</f>
        <v>-0.1</v>
      </c>
      <c r="K6" s="55">
        <f>PL!K21</f>
        <v>-0.1</v>
      </c>
    </row>
    <row r="7" spans="2:13">
      <c r="B7" s="60" t="s">
        <v>95</v>
      </c>
      <c r="C7" s="60"/>
      <c r="D7" s="60">
        <f>SUM(D4:D5)</f>
        <v>2860044.7510094214</v>
      </c>
      <c r="E7" s="60">
        <f>SUM(E4:E5)</f>
        <v>3792083.5734870317</v>
      </c>
      <c r="F7" s="60"/>
      <c r="G7" s="63">
        <f>SUM(G4:G5)</f>
        <v>3906700.2</v>
      </c>
      <c r="H7" s="63">
        <f>SUM(H4:H5)</f>
        <v>5078710.2600000007</v>
      </c>
      <c r="I7" s="63">
        <f>SUM(I4:I5)</f>
        <v>6602323.3380000005</v>
      </c>
      <c r="J7" s="63">
        <f>SUM(J4:J5)</f>
        <v>8583020.3394000027</v>
      </c>
      <c r="K7" s="63">
        <f>SUM(K4:K5)</f>
        <v>11157926.44122</v>
      </c>
    </row>
    <row r="8" spans="2:13">
      <c r="G8" s="62"/>
      <c r="H8" s="62"/>
      <c r="I8" s="62"/>
      <c r="J8" s="62"/>
      <c r="K8" s="62"/>
    </row>
    <row r="9" spans="2:13">
      <c r="B9" s="8" t="s">
        <v>96</v>
      </c>
      <c r="D9" s="8">
        <f>-PL!D14</f>
        <v>199000</v>
      </c>
      <c r="E9" s="8">
        <f>-PL!E14</f>
        <v>262000</v>
      </c>
      <c r="G9" s="62">
        <f>-PL!G14</f>
        <v>380770</v>
      </c>
      <c r="H9" s="62">
        <f>-PL!H14</f>
        <v>495001</v>
      </c>
      <c r="I9" s="62">
        <f>-PL!I14</f>
        <v>643501.30000000005</v>
      </c>
      <c r="J9" s="62">
        <f>-PL!J14</f>
        <v>836551.69000000006</v>
      </c>
      <c r="K9" s="62">
        <f>-PL!K14</f>
        <v>1087517.1970000002</v>
      </c>
    </row>
    <row r="10" spans="2:13">
      <c r="B10" s="60" t="s">
        <v>97</v>
      </c>
      <c r="C10" s="60"/>
      <c r="D10" s="60">
        <f>SUM(D7,D9)</f>
        <v>3059044.7510094214</v>
      </c>
      <c r="E10" s="60">
        <f>SUM(E7,E9)</f>
        <v>4054083.5734870317</v>
      </c>
      <c r="F10" s="60"/>
      <c r="G10" s="63">
        <f>SUM(G7,G9)</f>
        <v>4287470.2</v>
      </c>
      <c r="H10" s="63">
        <f>SUM(H7,H9)</f>
        <v>5573711.2600000007</v>
      </c>
      <c r="I10" s="63">
        <f>SUM(I7,I9)</f>
        <v>7245824.6380000003</v>
      </c>
      <c r="J10" s="63">
        <f>SUM(J7,J9)</f>
        <v>9419572.0294000022</v>
      </c>
      <c r="K10" s="63">
        <f>SUM(K7,K9)</f>
        <v>12245443.638220001</v>
      </c>
      <c r="M10" s="8" t="s">
        <v>110</v>
      </c>
    </row>
    <row r="11" spans="2:13">
      <c r="G11" s="62"/>
      <c r="H11" s="62"/>
      <c r="I11" s="62"/>
      <c r="J11" s="62"/>
      <c r="K11" s="62"/>
    </row>
    <row r="12" spans="2:13">
      <c r="B12" s="8" t="s">
        <v>20</v>
      </c>
      <c r="D12" s="8">
        <f>-(BS!D8-BS!C8)</f>
        <v>-2000</v>
      </c>
      <c r="E12" s="8">
        <f>-(BS!E8-BS!D8)</f>
        <v>-779000</v>
      </c>
      <c r="G12" s="62">
        <f>-(BS!G8-BS!E8)</f>
        <v>-536199.99999999953</v>
      </c>
      <c r="H12" s="62">
        <f>-(BS!H8-BS!G8)</f>
        <v>-633360</v>
      </c>
      <c r="I12" s="62">
        <f>-(BS!I8-BS!H8)</f>
        <v>-823368.00000000047</v>
      </c>
      <c r="J12" s="62">
        <f>-(BS!J8-BS!I8)</f>
        <v>-1070378.4000000004</v>
      </c>
      <c r="K12" s="62">
        <f>-(BS!K8-BS!J8)</f>
        <v>-1391491.9200000009</v>
      </c>
    </row>
    <row r="13" spans="2:13">
      <c r="B13" s="8" t="s">
        <v>80</v>
      </c>
      <c r="D13" s="8">
        <f>-(BS!D9-BS!C9)</f>
        <v>-439000</v>
      </c>
      <c r="E13" s="8">
        <f>-(BS!E9-BS!D9)</f>
        <v>-159000</v>
      </c>
      <c r="G13" s="62">
        <f>-(BS!G9-BS!E9)</f>
        <v>-427199.99999999977</v>
      </c>
      <c r="H13" s="62">
        <f>-(BS!H9-BS!G9)</f>
        <v>-555359.99999999977</v>
      </c>
      <c r="I13" s="62">
        <f>-(BS!I9-BS!H9)</f>
        <v>-721968.00000000047</v>
      </c>
      <c r="J13" s="62">
        <f>-(BS!J9-BS!I9)</f>
        <v>-938558.39999999991</v>
      </c>
      <c r="K13" s="62">
        <f>-(BS!K9-BS!J9)</f>
        <v>-1220125.9200000004</v>
      </c>
    </row>
    <row r="14" spans="2:13">
      <c r="B14" s="8" t="s">
        <v>83</v>
      </c>
      <c r="D14" s="8">
        <f>BS!D16-BS!C16</f>
        <v>146000</v>
      </c>
      <c r="E14" s="8">
        <f>BS!E16-BS!D16</f>
        <v>191000</v>
      </c>
      <c r="G14" s="62">
        <f>BS!G16-BS!E16</f>
        <v>452450.66666666674</v>
      </c>
      <c r="H14" s="62">
        <f>BS!H16-BS!G16</f>
        <v>534435.19999999995</v>
      </c>
      <c r="I14" s="62">
        <f>BS!I16-BS!H16</f>
        <v>694765.76000000024</v>
      </c>
      <c r="J14" s="62">
        <f>BS!J16-BS!I16</f>
        <v>903195.48800000036</v>
      </c>
      <c r="K14" s="62">
        <f>BS!K16-BS!J16</f>
        <v>1174154.1344000003</v>
      </c>
    </row>
    <row r="15" spans="2:13">
      <c r="B15" s="60" t="s">
        <v>98</v>
      </c>
      <c r="C15" s="60"/>
      <c r="D15" s="60">
        <f>SUM(D12:D14)</f>
        <v>-295000</v>
      </c>
      <c r="E15" s="60">
        <f>SUM(E12:E14)</f>
        <v>-747000</v>
      </c>
      <c r="F15" s="60"/>
      <c r="G15" s="63">
        <f>SUM(G12:G14)</f>
        <v>-510949.33333333256</v>
      </c>
      <c r="H15" s="63">
        <f>SUM(H12:H14)</f>
        <v>-654284.79999999981</v>
      </c>
      <c r="I15" s="63">
        <f>SUM(I12:I14)</f>
        <v>-850570.24000000069</v>
      </c>
      <c r="J15" s="63">
        <f>SUM(J12:J14)</f>
        <v>-1105741.3119999999</v>
      </c>
      <c r="K15" s="63">
        <f>SUM(K12:K14)</f>
        <v>-1437463.7056000009</v>
      </c>
      <c r="M15" s="8" t="s">
        <v>111</v>
      </c>
    </row>
    <row r="16" spans="2:13">
      <c r="B16" s="59" t="s">
        <v>99</v>
      </c>
      <c r="C16" s="59"/>
      <c r="D16" s="59">
        <f>-(BS!D10-BS!C10)+BS!D17-BS!C17</f>
        <v>-1038000</v>
      </c>
      <c r="E16" s="59">
        <f>-(BS!E10-BS!D10)+BS!E17-BS!D17</f>
        <v>-364000</v>
      </c>
      <c r="F16" s="59"/>
      <c r="G16" s="64">
        <f>-(BS!G10-BS!E10)+BS!G17-BS!E17</f>
        <v>758936.91746417398</v>
      </c>
      <c r="H16" s="64">
        <f>-(BS!H10-BS!G10)+BS!H17-BS!G17</f>
        <v>27281.075239252183</v>
      </c>
      <c r="I16" s="64">
        <f>-(BS!I10-BS!H10)+BS!I17-BS!H17</f>
        <v>35465.397811027942</v>
      </c>
      <c r="J16" s="64">
        <f>-(BS!J10-BS!I10)+BS!J17-BS!I17</f>
        <v>46105.017154336208</v>
      </c>
      <c r="K16" s="64">
        <f>-(BS!K10-BS!J10)+BS!K17-BS!J17</f>
        <v>59936.522300636861</v>
      </c>
      <c r="M16" s="8" t="s">
        <v>112</v>
      </c>
    </row>
    <row r="17" spans="2:13">
      <c r="G17" s="62"/>
      <c r="H17" s="62"/>
      <c r="I17" s="62"/>
      <c r="J17" s="62"/>
      <c r="K17" s="62"/>
    </row>
    <row r="18" spans="2:13">
      <c r="B18" s="59" t="s">
        <v>100</v>
      </c>
      <c r="C18" s="59"/>
      <c r="D18" s="59">
        <f>-(BS!D5-BS!C5)+PL!D14</f>
        <v>-675000</v>
      </c>
      <c r="E18" s="59">
        <f>-(BS!E5-BS!D5)+PL!E14</f>
        <v>-669000</v>
      </c>
      <c r="F18" s="59"/>
      <c r="G18" s="64">
        <f>-(BS!G5-BS!E5)+PL!G14</f>
        <v>-489033.42661677278</v>
      </c>
      <c r="H18" s="64">
        <f>-(BS!H5-BS!G5)+PL!H14</f>
        <v>-948680.02798503195</v>
      </c>
      <c r="I18" s="64">
        <f>-(BS!I5-BS!H5)+PL!I14</f>
        <v>-1233284.0363805413</v>
      </c>
      <c r="J18" s="64">
        <f>-(BS!J5-BS!I5)+PL!J14</f>
        <v>-1603269.247294704</v>
      </c>
      <c r="K18" s="64">
        <f>-(BS!K5-BS!J5)+PL!K14</f>
        <v>-2084250.0214831159</v>
      </c>
      <c r="M18" s="8" t="s">
        <v>113</v>
      </c>
    </row>
    <row r="19" spans="2:13">
      <c r="B19" s="59" t="s">
        <v>101</v>
      </c>
      <c r="C19" s="59"/>
      <c r="D19" s="59">
        <f>-(BS!D4-BS!C4)-(BS!D6-BS!C6)</f>
        <v>2010000</v>
      </c>
      <c r="E19" s="59">
        <f>-(BS!E4-BS!D4)-(BS!E6-BS!D6)</f>
        <v>-3577000</v>
      </c>
      <c r="F19" s="59"/>
      <c r="G19" s="64">
        <f>-(BS!G4-BS!E4)-(BS!G6-BS!E6)</f>
        <v>0</v>
      </c>
      <c r="H19" s="64">
        <f>-(BS!H4-BS!G4)-(BS!H6-BS!G6)</f>
        <v>0</v>
      </c>
      <c r="I19" s="64">
        <f>-(BS!I4-BS!H4)-(BS!I6-BS!H6)</f>
        <v>0</v>
      </c>
      <c r="J19" s="64">
        <f>-(BS!J4-BS!I4)-(BS!J6-BS!I6)</f>
        <v>0</v>
      </c>
      <c r="K19" s="64">
        <f>-(BS!K4-BS!J4)-(BS!K6-BS!J6)</f>
        <v>0</v>
      </c>
      <c r="M19" s="8" t="s">
        <v>114</v>
      </c>
    </row>
    <row r="20" spans="2:13">
      <c r="G20" s="62"/>
      <c r="H20" s="62"/>
      <c r="I20" s="62"/>
      <c r="J20" s="62"/>
      <c r="K20" s="62"/>
    </row>
    <row r="21" spans="2:13">
      <c r="B21" s="59" t="s">
        <v>102</v>
      </c>
      <c r="C21" s="59"/>
      <c r="D21" s="59">
        <f>PL!D18</f>
        <v>22000</v>
      </c>
      <c r="E21" s="59">
        <f>PL!E18</f>
        <v>-14000</v>
      </c>
      <c r="F21" s="59"/>
      <c r="G21" s="64">
        <f>PL!G18</f>
        <v>30461.600000000002</v>
      </c>
      <c r="H21" s="64">
        <f>PL!H18</f>
        <v>39600.080000000002</v>
      </c>
      <c r="I21" s="64">
        <f>PL!I18</f>
        <v>51480.103999999999</v>
      </c>
      <c r="J21" s="64">
        <f>PL!J18</f>
        <v>66924.135200000004</v>
      </c>
      <c r="K21" s="64">
        <f>PL!K18</f>
        <v>87001.37576000001</v>
      </c>
      <c r="M21" s="8" t="s">
        <v>115</v>
      </c>
    </row>
    <row r="22" spans="2:13">
      <c r="G22" s="62"/>
      <c r="H22" s="62"/>
      <c r="I22" s="62"/>
      <c r="J22" s="62"/>
      <c r="K22" s="62"/>
    </row>
    <row r="23" spans="2:13">
      <c r="B23" s="61" t="s">
        <v>103</v>
      </c>
      <c r="C23" s="61"/>
      <c r="D23" s="61">
        <f>SUM(D10,D15,D16,D18,D19,D21)</f>
        <v>3083044.7510094214</v>
      </c>
      <c r="E23" s="61">
        <f>SUM(E10,E15,E16,E18,E19,E21)</f>
        <v>-1316916.4265129683</v>
      </c>
      <c r="F23" s="61"/>
      <c r="G23" s="61">
        <f>SUM(G10,G15,G16,G18,G19,G21)</f>
        <v>4076885.9575140686</v>
      </c>
      <c r="H23" s="61">
        <f>SUM(H10,H15,H16,H18,H19,H21)</f>
        <v>4037627.5872542216</v>
      </c>
      <c r="I23" s="61">
        <f>SUM(I10,I15,I16,I18,I19,I21)</f>
        <v>5248915.863430487</v>
      </c>
      <c r="J23" s="61">
        <f>SUM(J10,J15,J16,J18,J19,J21)</f>
        <v>6823590.6224596342</v>
      </c>
      <c r="K23" s="61">
        <f>SUM(K10,K15,K16,K18,K19,K21)</f>
        <v>8870667.8091975208</v>
      </c>
      <c r="M23" s="8" t="s">
        <v>116</v>
      </c>
    </row>
    <row r="24" spans="2:13">
      <c r="G24" s="64"/>
      <c r="H24" s="64"/>
      <c r="I24" s="64"/>
      <c r="J24" s="64"/>
      <c r="K24" s="64"/>
    </row>
    <row r="25" spans="2:13">
      <c r="B25" s="8" t="s">
        <v>104</v>
      </c>
      <c r="D25" s="8">
        <f>PL!D17</f>
        <v>-61000</v>
      </c>
      <c r="E25" s="8">
        <f>PL!E17</f>
        <v>-58000</v>
      </c>
      <c r="G25" s="64">
        <f>PL!G17</f>
        <v>-58075.4</v>
      </c>
      <c r="H25" s="64">
        <f>PL!H17</f>
        <v>-58150.898020000008</v>
      </c>
      <c r="I25" s="64">
        <f>PL!I17</f>
        <v>-58226.494187426011</v>
      </c>
      <c r="J25" s="64">
        <f>PL!J17</f>
        <v>-58302.18862986967</v>
      </c>
      <c r="K25" s="64">
        <f>PL!K17</f>
        <v>-58377.981475088505</v>
      </c>
    </row>
    <row r="26" spans="2:13">
      <c r="B26" s="8" t="s">
        <v>105</v>
      </c>
      <c r="D26" s="8">
        <f>PL!D22-D5</f>
        <v>1955.2489905787515</v>
      </c>
      <c r="E26" s="8">
        <f>PL!E22-E5</f>
        <v>-5083.5734870317101</v>
      </c>
      <c r="G26" s="64">
        <f>PL!G22-G5</f>
        <v>2761.3800000001211</v>
      </c>
      <c r="H26" s="64">
        <f>PL!H22-H5</f>
        <v>1855.0818019999424</v>
      </c>
      <c r="I26" s="64">
        <f>PL!I22-I5</f>
        <v>674.63901874260046</v>
      </c>
      <c r="J26" s="64">
        <f>PL!J22-J5</f>
        <v>-862.19465701293666</v>
      </c>
      <c r="K26" s="64">
        <f>PL!K22-K5</f>
        <v>-2862.3394284911919</v>
      </c>
    </row>
    <row r="27" spans="2:13">
      <c r="B27" s="8" t="s">
        <v>106</v>
      </c>
      <c r="D27" s="8">
        <f>BS!D19-BS!C19</f>
        <v>326000</v>
      </c>
      <c r="E27" s="8">
        <f>BS!E19-BS!D19</f>
        <v>4000</v>
      </c>
      <c r="G27" s="64">
        <f>BS!G19-BS!E19</f>
        <v>0</v>
      </c>
      <c r="H27" s="64">
        <f>BS!H19-BS!G19</f>
        <v>0</v>
      </c>
      <c r="I27" s="64">
        <f>BS!I19-BS!H19</f>
        <v>0</v>
      </c>
      <c r="J27" s="64">
        <f>BS!J19-BS!I19</f>
        <v>0</v>
      </c>
      <c r="K27" s="64">
        <f>BS!K19-BS!J19</f>
        <v>0</v>
      </c>
    </row>
    <row r="28" spans="2:13">
      <c r="B28" s="8" t="s">
        <v>107</v>
      </c>
      <c r="D28" s="8">
        <f>BS!D21-BS!C21-PL!D24</f>
        <v>-1114000</v>
      </c>
      <c r="E28" s="8">
        <f>BS!E21-BS!D21-PL!E24</f>
        <v>-1844000</v>
      </c>
      <c r="G28" s="64">
        <f>BS!G21-BS!E21-PL!G24</f>
        <v>0</v>
      </c>
      <c r="H28" s="64">
        <f>BS!H21-BS!G21-PL!H24</f>
        <v>0</v>
      </c>
      <c r="I28" s="64">
        <f>BS!I21-BS!H21-PL!I24</f>
        <v>0</v>
      </c>
      <c r="J28" s="64">
        <f>BS!J21-BS!I21-PL!J24</f>
        <v>0</v>
      </c>
      <c r="K28" s="64">
        <f>BS!K21-BS!J21-PL!K24</f>
        <v>0</v>
      </c>
    </row>
    <row r="29" spans="2:13">
      <c r="B29" s="61" t="s">
        <v>108</v>
      </c>
      <c r="C29" s="61"/>
      <c r="D29" s="61">
        <f>SUM(D23,D25:D28)</f>
        <v>2236000</v>
      </c>
      <c r="E29" s="61">
        <f>SUM(E23,E25:E28)</f>
        <v>-3220000</v>
      </c>
      <c r="F29" s="61"/>
      <c r="G29" s="61">
        <f>SUM(G23,G25:G28)</f>
        <v>4021571.9375140686</v>
      </c>
      <c r="H29" s="61">
        <f>SUM(H23,H25:H28)</f>
        <v>3981331.7710362212</v>
      </c>
      <c r="I29" s="61">
        <f>SUM(I23,I25:I28)</f>
        <v>5191364.0082618035</v>
      </c>
      <c r="J29" s="61">
        <f>SUM(J23,J25:J28)</f>
        <v>6764426.239172752</v>
      </c>
      <c r="K29" s="61">
        <f>SUM(K23,K25:K28)</f>
        <v>8809427.4882939402</v>
      </c>
    </row>
    <row r="31" spans="2:13">
      <c r="B31" s="8" t="s">
        <v>117</v>
      </c>
      <c r="D31" s="8">
        <f>BS!C12</f>
        <v>1766000</v>
      </c>
      <c r="E31" s="8">
        <f>BS!D12</f>
        <v>4002000</v>
      </c>
      <c r="G31" s="8">
        <f>BS!E12</f>
        <v>782000</v>
      </c>
      <c r="H31" s="8">
        <f>BS!G12</f>
        <v>4803571.9375140686</v>
      </c>
      <c r="I31" s="8">
        <f>BS!H12</f>
        <v>8784903.7085502893</v>
      </c>
      <c r="J31" s="8">
        <f>BS!I12</f>
        <v>13976267.716812093</v>
      </c>
      <c r="K31" s="8">
        <f>BS!J12</f>
        <v>20740693.955984846</v>
      </c>
    </row>
    <row r="32" spans="2:13">
      <c r="B32" s="8" t="s">
        <v>118</v>
      </c>
      <c r="D32" s="8">
        <f>D31+D29</f>
        <v>4002000</v>
      </c>
      <c r="E32" s="8">
        <f>E31+E29</f>
        <v>782000</v>
      </c>
      <c r="G32" s="8">
        <f>G31+G29</f>
        <v>4803571.9375140686</v>
      </c>
      <c r="H32" s="8">
        <f>H31+H29</f>
        <v>8784903.7085502893</v>
      </c>
      <c r="I32" s="8">
        <f>I31+I29</f>
        <v>13976267.716812093</v>
      </c>
      <c r="J32" s="8">
        <f>J31+J29</f>
        <v>20740693.955984846</v>
      </c>
      <c r="K32" s="8">
        <f>K31+K29</f>
        <v>29550121.444278784</v>
      </c>
    </row>
    <row r="34" spans="2:11">
      <c r="B34" s="8" t="s">
        <v>88</v>
      </c>
      <c r="D34" s="8">
        <f>D32-BS!D12</f>
        <v>0</v>
      </c>
      <c r="E34" s="8">
        <f>E32-BS!E12</f>
        <v>0</v>
      </c>
      <c r="G34" s="8">
        <f>G32-BS!G12</f>
        <v>0</v>
      </c>
      <c r="H34" s="8">
        <f>H32-BS!H12</f>
        <v>0</v>
      </c>
      <c r="I34" s="8">
        <f>I32-BS!I12</f>
        <v>0</v>
      </c>
      <c r="J34" s="8">
        <f>J32-BS!J12</f>
        <v>0</v>
      </c>
      <c r="K34" s="8">
        <f>K32-BS!K12</f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M26"/>
  <sheetViews>
    <sheetView tabSelected="1" workbookViewId="0">
      <selection activeCell="C25" sqref="C25"/>
    </sheetView>
  </sheetViews>
  <sheetFormatPr defaultColWidth="9.140625" defaultRowHeight="12"/>
  <cols>
    <col min="1" max="1" width="2" style="4" customWidth="1"/>
    <col min="2" max="2" width="19.7109375" style="4" bestFit="1" customWidth="1"/>
    <col min="3" max="3" width="14.42578125" style="4" bestFit="1" customWidth="1"/>
    <col min="4" max="4" width="10" style="4" bestFit="1" customWidth="1"/>
    <col min="5" max="5" width="10.5703125" style="4" bestFit="1" customWidth="1"/>
    <col min="6" max="6" width="2.5703125" style="4" bestFit="1" customWidth="1"/>
    <col min="7" max="7" width="12.42578125" style="4" bestFit="1" customWidth="1"/>
    <col min="8" max="9" width="13.5703125" style="4" bestFit="1" customWidth="1"/>
    <col min="10" max="11" width="12.42578125" style="4" bestFit="1" customWidth="1"/>
    <col min="12" max="12" width="2" style="4" customWidth="1"/>
    <col min="13" max="13" width="15.42578125" style="4" bestFit="1" customWidth="1"/>
    <col min="14" max="16384" width="9.140625" style="4"/>
  </cols>
  <sheetData>
    <row r="1" spans="2:13" ht="15.75">
      <c r="B1" s="3" t="s">
        <v>0</v>
      </c>
    </row>
    <row r="4" spans="2:13">
      <c r="B4" s="65" t="s">
        <v>119</v>
      </c>
      <c r="C4" s="74">
        <v>0.1</v>
      </c>
    </row>
    <row r="5" spans="2:13">
      <c r="B5" s="65" t="s">
        <v>120</v>
      </c>
      <c r="C5" s="74">
        <v>0.02</v>
      </c>
    </row>
    <row r="6" spans="2:13">
      <c r="G6" s="4">
        <v>1</v>
      </c>
      <c r="H6" s="4">
        <v>2</v>
      </c>
      <c r="I6" s="4">
        <v>3</v>
      </c>
      <c r="J6" s="4">
        <v>4</v>
      </c>
      <c r="K6" s="4">
        <v>5</v>
      </c>
    </row>
    <row r="7" spans="2:13" ht="24.75" thickBot="1">
      <c r="B7" s="14" t="s">
        <v>34</v>
      </c>
      <c r="C7" s="15" t="s">
        <v>52</v>
      </c>
      <c r="D7" s="15" t="s">
        <v>53</v>
      </c>
      <c r="E7" s="15" t="s">
        <v>54</v>
      </c>
      <c r="F7" s="18"/>
      <c r="G7" s="16" t="s">
        <v>55</v>
      </c>
      <c r="H7" s="16" t="s">
        <v>56</v>
      </c>
      <c r="I7" s="16" t="s">
        <v>57</v>
      </c>
      <c r="J7" s="16" t="s">
        <v>58</v>
      </c>
      <c r="K7" s="16" t="s">
        <v>59</v>
      </c>
      <c r="M7" s="19" t="s">
        <v>38</v>
      </c>
    </row>
    <row r="8" spans="2:13">
      <c r="B8" s="4" t="s">
        <v>103</v>
      </c>
      <c r="D8" s="10">
        <f>CF!D23</f>
        <v>3083044.7510094214</v>
      </c>
      <c r="E8" s="10">
        <f>CF!E23</f>
        <v>-1316916.4265129683</v>
      </c>
      <c r="F8" s="10"/>
      <c r="G8" s="23">
        <f>CF!G23</f>
        <v>4076885.9575140686</v>
      </c>
      <c r="H8" s="23">
        <f>CF!H23</f>
        <v>4037627.5872542216</v>
      </c>
      <c r="I8" s="23">
        <f>CF!I23</f>
        <v>5248915.863430487</v>
      </c>
      <c r="J8" s="23">
        <f>CF!J23</f>
        <v>6823590.6224596342</v>
      </c>
      <c r="K8" s="23">
        <f>CF!K23</f>
        <v>8870667.8091975208</v>
      </c>
    </row>
    <row r="9" spans="2:13">
      <c r="G9" s="17"/>
      <c r="H9" s="17"/>
      <c r="I9" s="17"/>
      <c r="J9" s="17"/>
      <c r="K9" s="17"/>
    </row>
    <row r="10" spans="2:13">
      <c r="B10" s="4" t="s">
        <v>121</v>
      </c>
      <c r="G10" s="56">
        <f>1/(1+$C$4)^G6</f>
        <v>0.90909090909090906</v>
      </c>
      <c r="H10" s="56">
        <f t="shared" ref="H10:K10" si="0">1/(1+$C$4)^H6</f>
        <v>0.82644628099173545</v>
      </c>
      <c r="I10" s="56">
        <f t="shared" si="0"/>
        <v>0.75131480090157754</v>
      </c>
      <c r="J10" s="56">
        <f t="shared" si="0"/>
        <v>0.68301345536507052</v>
      </c>
      <c r="K10" s="56">
        <f t="shared" si="0"/>
        <v>0.62092132305915493</v>
      </c>
    </row>
    <row r="11" spans="2:13">
      <c r="B11" s="26" t="s">
        <v>122</v>
      </c>
      <c r="C11" s="66"/>
      <c r="D11" s="66"/>
      <c r="E11" s="66"/>
      <c r="F11" s="66"/>
      <c r="G11" s="67">
        <f>G10*G8</f>
        <v>3706259.9613764258</v>
      </c>
      <c r="H11" s="67">
        <f t="shared" ref="H11:K11" si="1">H10*H8</f>
        <v>3336882.303515885</v>
      </c>
      <c r="I11" s="67">
        <f t="shared" si="1"/>
        <v>3943588.1768824081</v>
      </c>
      <c r="J11" s="67">
        <f t="shared" si="1"/>
        <v>4660604.2090428472</v>
      </c>
      <c r="K11" s="67">
        <f t="shared" si="1"/>
        <v>5507986.7925051795</v>
      </c>
    </row>
    <row r="14" spans="2:13">
      <c r="B14" s="88" t="s">
        <v>0</v>
      </c>
      <c r="C14" s="88"/>
      <c r="D14" s="88"/>
      <c r="E14" s="88"/>
      <c r="F14" s="88"/>
      <c r="G14" s="88"/>
      <c r="H14" s="88"/>
      <c r="I14" s="88"/>
      <c r="J14" s="88"/>
      <c r="K14" s="88"/>
    </row>
    <row r="15" spans="2:13">
      <c r="B15" s="4" t="s">
        <v>123</v>
      </c>
      <c r="C15" s="68">
        <f>SUM(G11:K11)</f>
        <v>21155321.443322744</v>
      </c>
      <c r="E15" s="69">
        <f>C15/C18</f>
        <v>0.23150386303839046</v>
      </c>
    </row>
    <row r="16" spans="2:13">
      <c r="B16" s="4" t="s">
        <v>126</v>
      </c>
      <c r="C16" s="68">
        <f>(K8*(1+C5))/(C4-C5)</f>
        <v>113101014.56726839</v>
      </c>
      <c r="E16" s="69"/>
      <c r="M16" s="4" t="s">
        <v>124</v>
      </c>
    </row>
    <row r="17" spans="2:11">
      <c r="B17" s="4" t="s">
        <v>125</v>
      </c>
      <c r="C17" s="68">
        <f>C16*K10</f>
        <v>70226831.604441047</v>
      </c>
      <c r="E17" s="69">
        <f>C17/C18</f>
        <v>0.76849613696160946</v>
      </c>
    </row>
    <row r="18" spans="2:11">
      <c r="B18" s="26" t="s">
        <v>127</v>
      </c>
      <c r="C18" s="70">
        <f>C17+C15</f>
        <v>91382153.047763795</v>
      </c>
      <c r="D18" s="66"/>
    </row>
    <row r="19" spans="2:11">
      <c r="B19" s="4" t="s">
        <v>128</v>
      </c>
      <c r="C19" s="4">
        <f>-BS!E19</f>
        <v>-2621000</v>
      </c>
    </row>
    <row r="20" spans="2:11">
      <c r="B20" s="4" t="s">
        <v>129</v>
      </c>
      <c r="C20" s="4">
        <f>BS!E12</f>
        <v>782000</v>
      </c>
      <c r="H20" s="88" t="s">
        <v>119</v>
      </c>
      <c r="I20" s="88"/>
      <c r="J20" s="88"/>
      <c r="K20" s="88"/>
    </row>
    <row r="21" spans="2:11">
      <c r="B21" s="26" t="s">
        <v>130</v>
      </c>
      <c r="C21" s="70">
        <f>SUM(C18:C20)</f>
        <v>89543153.047763795</v>
      </c>
      <c r="D21" s="66"/>
      <c r="G21" s="71">
        <f>C18</f>
        <v>91382153.047763795</v>
      </c>
      <c r="H21" s="73">
        <v>0.08</v>
      </c>
      <c r="I21" s="73">
        <v>0.1</v>
      </c>
      <c r="J21" s="73">
        <v>0.16</v>
      </c>
      <c r="K21" s="73">
        <v>0.18</v>
      </c>
    </row>
    <row r="22" spans="2:11">
      <c r="F22" s="89" t="s">
        <v>120</v>
      </c>
      <c r="G22" s="72">
        <v>0.01</v>
      </c>
      <c r="H22" s="4">
        <f t="dataTable" ref="H22:K25" dt2D="1" dtr="1" r1="C4" r2="C5"/>
        <v>109564605.78829589</v>
      </c>
      <c r="I22" s="4">
        <v>82967173.225880876</v>
      </c>
      <c r="J22" s="4">
        <v>46307810.89594689</v>
      </c>
      <c r="K22" s="4">
        <v>39983002.982239261</v>
      </c>
    </row>
    <row r="23" spans="2:11">
      <c r="B23" s="90" t="s">
        <v>165</v>
      </c>
      <c r="C23" s="92">
        <v>612000</v>
      </c>
      <c r="F23" s="89"/>
      <c r="G23" s="72">
        <v>0.02</v>
      </c>
      <c r="H23" s="4">
        <v>125088904.96448803</v>
      </c>
      <c r="I23" s="4">
        <v>91382153.047763795</v>
      </c>
      <c r="J23" s="4">
        <v>48640758.926077694</v>
      </c>
      <c r="K23" s="4">
        <v>41665132.309868857</v>
      </c>
    </row>
    <row r="24" spans="2:11">
      <c r="F24" s="89"/>
      <c r="G24" s="72">
        <v>0.03</v>
      </c>
      <c r="H24" s="4">
        <v>146822923.81115699</v>
      </c>
      <c r="I24" s="4">
        <v>102201412.81875612</v>
      </c>
      <c r="J24" s="4">
        <v>51332622.037767082</v>
      </c>
      <c r="K24" s="4">
        <v>43571545.547849089</v>
      </c>
    </row>
    <row r="25" spans="2:11" ht="12.75" thickBot="1">
      <c r="B25" s="65" t="s">
        <v>166</v>
      </c>
      <c r="C25" s="91">
        <f>C21/C23</f>
        <v>146.31234158131338</v>
      </c>
      <c r="F25" s="89"/>
      <c r="G25" s="72">
        <v>0.04</v>
      </c>
      <c r="H25" s="4">
        <v>179423952.08116046</v>
      </c>
      <c r="I25" s="4">
        <v>116627092.51341254</v>
      </c>
      <c r="J25" s="4">
        <v>54473129.001404703</v>
      </c>
      <c r="K25" s="4">
        <v>45750303.534112193</v>
      </c>
    </row>
    <row r="26" spans="2:11" ht="12.75" thickTop="1"/>
  </sheetData>
  <mergeCells count="3">
    <mergeCell ref="B14:K14"/>
    <mergeCell ref="H20:K20"/>
    <mergeCell ref="F22:F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1:M27"/>
  <sheetViews>
    <sheetView zoomScaleNormal="100" workbookViewId="0">
      <selection activeCell="B1" sqref="B1"/>
    </sheetView>
  </sheetViews>
  <sheetFormatPr defaultColWidth="9.140625" defaultRowHeight="12"/>
  <cols>
    <col min="1" max="1" width="2" style="4" customWidth="1"/>
    <col min="2" max="2" width="23.5703125" style="4" bestFit="1" customWidth="1"/>
    <col min="3" max="3" width="9.140625" style="4"/>
    <col min="4" max="5" width="10.5703125" style="4" bestFit="1" customWidth="1"/>
    <col min="6" max="6" width="11" style="4" bestFit="1" customWidth="1"/>
    <col min="7" max="16384" width="9.140625" style="4"/>
  </cols>
  <sheetData>
    <row r="1" spans="2:13" ht="15.75">
      <c r="B1" s="3" t="s">
        <v>145</v>
      </c>
    </row>
    <row r="3" spans="2:13" ht="24">
      <c r="B3" s="5" t="s">
        <v>35</v>
      </c>
      <c r="C3" s="5"/>
      <c r="D3" s="6" t="s">
        <v>60</v>
      </c>
      <c r="E3" s="6" t="s">
        <v>61</v>
      </c>
      <c r="F3" s="6" t="s">
        <v>62</v>
      </c>
    </row>
    <row r="4" spans="2:13">
      <c r="B4" s="4" t="s">
        <v>3</v>
      </c>
      <c r="D4" s="10">
        <v>6910000</v>
      </c>
      <c r="E4" s="10">
        <v>9714000</v>
      </c>
      <c r="F4" s="10">
        <v>11716000</v>
      </c>
    </row>
    <row r="5" spans="2:13">
      <c r="B5" s="4" t="s">
        <v>2</v>
      </c>
      <c r="D5" s="10">
        <v>0</v>
      </c>
      <c r="E5" s="10">
        <v>0</v>
      </c>
      <c r="F5" s="10">
        <v>0</v>
      </c>
      <c r="J5" s="34"/>
      <c r="K5" s="34"/>
      <c r="L5" s="34"/>
      <c r="M5" s="34"/>
    </row>
    <row r="6" spans="2:13">
      <c r="B6" s="26" t="s">
        <v>3</v>
      </c>
      <c r="C6" s="26"/>
      <c r="D6" s="27">
        <f>D4+D5</f>
        <v>6910000</v>
      </c>
      <c r="E6" s="27">
        <f>E4+E5</f>
        <v>9714000</v>
      </c>
      <c r="F6" s="27">
        <f>F4+F5</f>
        <v>11716000</v>
      </c>
    </row>
    <row r="7" spans="2:13">
      <c r="D7" s="10"/>
      <c r="E7" s="10"/>
      <c r="F7" s="10"/>
    </row>
    <row r="8" spans="2:13">
      <c r="B8" s="4" t="s">
        <v>4</v>
      </c>
      <c r="D8" s="10">
        <v>0</v>
      </c>
      <c r="E8" s="10">
        <v>0</v>
      </c>
      <c r="F8" s="10">
        <v>0</v>
      </c>
    </row>
    <row r="9" spans="2:13">
      <c r="B9" s="4" t="s">
        <v>42</v>
      </c>
      <c r="D9" s="10">
        <v>-2847000</v>
      </c>
      <c r="E9" s="10">
        <v>-3892000</v>
      </c>
      <c r="F9" s="10">
        <v>-4545000</v>
      </c>
    </row>
    <row r="10" spans="2:13">
      <c r="B10" s="4" t="s">
        <v>5</v>
      </c>
      <c r="D10" s="10">
        <v>-663000</v>
      </c>
      <c r="E10" s="10">
        <v>-815000</v>
      </c>
      <c r="F10" s="10">
        <v>-991000</v>
      </c>
    </row>
    <row r="11" spans="2:13">
      <c r="B11" s="4" t="s">
        <v>6</v>
      </c>
      <c r="D11" s="10">
        <v>0</v>
      </c>
      <c r="E11" s="10">
        <v>0</v>
      </c>
      <c r="F11" s="10">
        <v>0</v>
      </c>
    </row>
    <row r="12" spans="2:13">
      <c r="B12" s="4" t="s">
        <v>7</v>
      </c>
      <c r="D12" s="10">
        <v>-1463000</v>
      </c>
      <c r="E12" s="10">
        <v>-1797000</v>
      </c>
      <c r="F12" s="10">
        <v>-2376000</v>
      </c>
    </row>
    <row r="13" spans="2:13">
      <c r="D13" s="10"/>
      <c r="E13" s="10"/>
      <c r="F13" s="10"/>
    </row>
    <row r="14" spans="2:13">
      <c r="B14" s="26" t="s">
        <v>8</v>
      </c>
      <c r="C14" s="26"/>
      <c r="D14" s="27">
        <f>D6+SUM(D8:D12)</f>
        <v>1937000</v>
      </c>
      <c r="E14" s="27">
        <f>E6+SUM(E8:E12)</f>
        <v>3210000</v>
      </c>
      <c r="F14" s="27">
        <f>F6+SUM(F8:F12)</f>
        <v>3804000</v>
      </c>
    </row>
    <row r="15" spans="2:13">
      <c r="D15" s="10"/>
      <c r="E15" s="10"/>
      <c r="F15" s="10"/>
    </row>
    <row r="16" spans="2:13">
      <c r="B16" s="4" t="s">
        <v>9</v>
      </c>
      <c r="D16" s="10">
        <f>-(187000)</f>
        <v>-187000</v>
      </c>
      <c r="E16" s="10">
        <f>-(199000)</f>
        <v>-199000</v>
      </c>
      <c r="F16" s="10">
        <v>-262000</v>
      </c>
    </row>
    <row r="17" spans="2:6">
      <c r="D17" s="10"/>
      <c r="E17" s="10"/>
      <c r="F17" s="10"/>
    </row>
    <row r="18" spans="2:6">
      <c r="B18" s="26" t="s">
        <v>10</v>
      </c>
      <c r="C18" s="26"/>
      <c r="D18" s="27">
        <f>D14+D16</f>
        <v>1750000</v>
      </c>
      <c r="E18" s="27">
        <f>E14+E16</f>
        <v>3011000</v>
      </c>
      <c r="F18" s="27">
        <f>F14+F16</f>
        <v>3542000</v>
      </c>
    </row>
    <row r="19" spans="2:6">
      <c r="D19" s="10"/>
      <c r="E19" s="10"/>
      <c r="F19" s="10"/>
    </row>
    <row r="20" spans="2:6">
      <c r="B20" s="4" t="s">
        <v>11</v>
      </c>
      <c r="D20" s="10">
        <v>-58000</v>
      </c>
      <c r="E20" s="10">
        <v>-61000</v>
      </c>
      <c r="F20" s="10">
        <v>-58000</v>
      </c>
    </row>
    <row r="21" spans="2:6">
      <c r="B21" s="4" t="s">
        <v>12</v>
      </c>
      <c r="D21" s="10">
        <v>28000</v>
      </c>
      <c r="E21" s="10">
        <v>22000</v>
      </c>
      <c r="F21" s="10">
        <v>-14000</v>
      </c>
    </row>
    <row r="22" spans="2:6">
      <c r="D22" s="10"/>
      <c r="E22" s="10"/>
      <c r="F22" s="10"/>
    </row>
    <row r="23" spans="2:6">
      <c r="B23" s="26" t="s">
        <v>13</v>
      </c>
      <c r="C23" s="26"/>
      <c r="D23" s="27">
        <f>D18+D21+D20</f>
        <v>1720000</v>
      </c>
      <c r="E23" s="27">
        <f>E18+E21+E20</f>
        <v>2972000</v>
      </c>
      <c r="F23" s="27">
        <f>F18+F21+F20</f>
        <v>3470000</v>
      </c>
    </row>
    <row r="24" spans="2:6">
      <c r="D24" s="10"/>
      <c r="E24" s="10"/>
      <c r="F24" s="10"/>
    </row>
    <row r="25" spans="2:6">
      <c r="B25" s="4" t="s">
        <v>14</v>
      </c>
      <c r="D25" s="10">
        <v>-239000</v>
      </c>
      <c r="E25" s="10">
        <v>-149000</v>
      </c>
      <c r="F25" s="10">
        <v>245000</v>
      </c>
    </row>
    <row r="26" spans="2:6">
      <c r="D26" s="10"/>
      <c r="E26" s="10"/>
      <c r="F26" s="10"/>
    </row>
    <row r="27" spans="2:6" ht="12.75" thickBot="1">
      <c r="B27" s="7" t="s">
        <v>15</v>
      </c>
      <c r="C27" s="7"/>
      <c r="D27" s="11">
        <f>D23+D25</f>
        <v>1481000</v>
      </c>
      <c r="E27" s="11">
        <f>E23+E25</f>
        <v>2823000</v>
      </c>
      <c r="F27" s="11">
        <f>F23+F25</f>
        <v>3715000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1:M22"/>
  <sheetViews>
    <sheetView workbookViewId="0">
      <selection activeCell="B1" sqref="B1"/>
    </sheetView>
  </sheetViews>
  <sheetFormatPr defaultColWidth="9.140625" defaultRowHeight="12"/>
  <cols>
    <col min="1" max="1" width="2" style="4" customWidth="1"/>
    <col min="2" max="2" width="19" style="4" bestFit="1" customWidth="1"/>
    <col min="3" max="3" width="9.140625" style="4"/>
    <col min="4" max="4" width="10" style="4" bestFit="1" customWidth="1"/>
    <col min="5" max="6" width="11" style="4" bestFit="1" customWidth="1"/>
    <col min="7" max="7" width="9.140625" style="4"/>
    <col min="8" max="8" width="34" style="4" bestFit="1" customWidth="1"/>
    <col min="9" max="9" width="9.140625" style="4"/>
    <col min="10" max="10" width="10.5703125" style="4" bestFit="1" customWidth="1"/>
    <col min="11" max="12" width="11" style="4" bestFit="1" customWidth="1"/>
    <col min="13" max="13" width="7.7109375" style="4" bestFit="1" customWidth="1"/>
    <col min="14" max="16384" width="9.140625" style="4"/>
  </cols>
  <sheetData>
    <row r="1" spans="2:13" ht="15.75">
      <c r="B1" s="3" t="s">
        <v>39</v>
      </c>
    </row>
    <row r="3" spans="2:13" ht="48">
      <c r="B3" s="5" t="s">
        <v>35</v>
      </c>
      <c r="C3" s="5"/>
      <c r="D3" s="6" t="s">
        <v>148</v>
      </c>
      <c r="E3" s="6" t="s">
        <v>149</v>
      </c>
      <c r="F3" s="6" t="s">
        <v>150</v>
      </c>
      <c r="H3" s="5" t="s">
        <v>35</v>
      </c>
      <c r="I3" s="5"/>
      <c r="J3" s="6" t="s">
        <v>148</v>
      </c>
      <c r="K3" s="6" t="s">
        <v>149</v>
      </c>
      <c r="L3" s="6" t="s">
        <v>150</v>
      </c>
      <c r="M3" s="87" t="s">
        <v>156</v>
      </c>
    </row>
    <row r="4" spans="2:13">
      <c r="B4" s="4" t="s">
        <v>17</v>
      </c>
      <c r="D4" s="10">
        <v>104000</v>
      </c>
      <c r="E4" s="10">
        <v>52000</v>
      </c>
      <c r="F4" s="10">
        <v>45000</v>
      </c>
      <c r="G4" s="10"/>
      <c r="H4" s="10" t="s">
        <v>152</v>
      </c>
      <c r="I4" s="10"/>
      <c r="J4" s="10">
        <v>-5039000</v>
      </c>
      <c r="K4" s="10">
        <v>-6650000</v>
      </c>
      <c r="L4" s="10">
        <v>-9263000</v>
      </c>
    </row>
    <row r="5" spans="2:13">
      <c r="B5" s="4" t="s">
        <v>25</v>
      </c>
      <c r="D5" s="10">
        <v>521000</v>
      </c>
      <c r="E5" s="10">
        <v>997000</v>
      </c>
      <c r="F5" s="10">
        <v>1404000</v>
      </c>
      <c r="G5" s="10"/>
      <c r="H5" s="10" t="s">
        <v>23</v>
      </c>
      <c r="I5" s="10"/>
      <c r="J5" s="10">
        <v>-15000</v>
      </c>
      <c r="K5" s="10">
        <v>-17000</v>
      </c>
      <c r="L5" s="10">
        <v>-11000</v>
      </c>
    </row>
    <row r="6" spans="2:13">
      <c r="B6" s="4" t="s">
        <v>33</v>
      </c>
      <c r="D6" s="10">
        <v>5768000</v>
      </c>
      <c r="E6" s="10">
        <v>3810000</v>
      </c>
      <c r="F6" s="10">
        <v>7394000</v>
      </c>
      <c r="G6" s="10"/>
      <c r="H6" s="10" t="s">
        <v>151</v>
      </c>
      <c r="I6" s="10"/>
      <c r="J6" s="10">
        <v>6108000</v>
      </c>
      <c r="K6" s="10">
        <v>8787000</v>
      </c>
      <c r="L6" s="10">
        <v>12565000</v>
      </c>
    </row>
    <row r="7" spans="2:13">
      <c r="D7" s="10"/>
      <c r="E7" s="10"/>
      <c r="F7" s="10"/>
      <c r="G7" s="10"/>
      <c r="H7" s="10" t="s">
        <v>153</v>
      </c>
      <c r="I7" s="10"/>
      <c r="J7" s="10">
        <v>4708000</v>
      </c>
      <c r="K7" s="10">
        <v>5351000</v>
      </c>
      <c r="L7" s="10">
        <v>6051000</v>
      </c>
    </row>
    <row r="8" spans="2:13" ht="12.75" thickBot="1">
      <c r="B8" s="7" t="s">
        <v>36</v>
      </c>
      <c r="C8" s="12"/>
      <c r="D8" s="11">
        <f>D6+D5+D4</f>
        <v>6393000</v>
      </c>
      <c r="E8" s="11">
        <f>E6+E5+E4</f>
        <v>4859000</v>
      </c>
      <c r="F8" s="11">
        <f>F6+F5+F4</f>
        <v>8843000</v>
      </c>
      <c r="G8" s="10"/>
      <c r="H8" s="11" t="s">
        <v>24</v>
      </c>
      <c r="I8" s="25"/>
      <c r="J8" s="11">
        <f>SUM(J4:J7)</f>
        <v>5762000</v>
      </c>
      <c r="K8" s="11">
        <f>SUM(K4:K7)</f>
        <v>7471000</v>
      </c>
      <c r="L8" s="11">
        <f>SUM(L4:L7)</f>
        <v>9342000</v>
      </c>
    </row>
    <row r="9" spans="2:13">
      <c r="D9" s="10"/>
      <c r="E9" s="10"/>
      <c r="F9" s="10"/>
      <c r="G9" s="10"/>
      <c r="H9" s="10"/>
      <c r="I9" s="10"/>
      <c r="J9" s="10"/>
      <c r="K9" s="10"/>
      <c r="L9" s="10"/>
    </row>
    <row r="10" spans="2:13">
      <c r="B10" s="4" t="s">
        <v>20</v>
      </c>
      <c r="D10" s="10">
        <v>794000</v>
      </c>
      <c r="E10" s="10">
        <v>796000</v>
      </c>
      <c r="F10" s="10">
        <v>1575000</v>
      </c>
      <c r="G10" s="10"/>
      <c r="H10" s="10" t="s">
        <v>26</v>
      </c>
      <c r="I10" s="10"/>
      <c r="J10" s="10">
        <v>992000</v>
      </c>
      <c r="K10" s="10">
        <v>1138000</v>
      </c>
      <c r="L10" s="10">
        <v>1329000</v>
      </c>
    </row>
    <row r="11" spans="2:13">
      <c r="B11" s="4" t="s">
        <v>18</v>
      </c>
      <c r="D11" s="10">
        <v>826000</v>
      </c>
      <c r="E11" s="10">
        <v>1265000</v>
      </c>
      <c r="F11" s="10">
        <v>1424000</v>
      </c>
      <c r="G11" s="10"/>
      <c r="H11" s="10" t="s">
        <v>155</v>
      </c>
      <c r="I11" s="10"/>
      <c r="J11" s="10">
        <v>796000</v>
      </c>
      <c r="K11" s="10">
        <v>15000</v>
      </c>
      <c r="L11" s="10">
        <v>0</v>
      </c>
    </row>
    <row r="12" spans="2:13">
      <c r="B12" s="4" t="s">
        <v>19</v>
      </c>
      <c r="D12" s="10">
        <v>62000</v>
      </c>
      <c r="E12" s="10">
        <v>319000</v>
      </c>
      <c r="F12" s="10">
        <v>668000</v>
      </c>
      <c r="G12" s="10"/>
      <c r="H12" s="10" t="s">
        <v>32</v>
      </c>
      <c r="I12" s="10"/>
      <c r="J12" s="10">
        <v>0</v>
      </c>
      <c r="K12" s="10">
        <v>0</v>
      </c>
      <c r="L12" s="10">
        <v>0</v>
      </c>
    </row>
    <row r="13" spans="2:13">
      <c r="D13" s="10"/>
      <c r="E13" s="10"/>
      <c r="F13" s="10"/>
      <c r="G13" s="10"/>
      <c r="H13" s="10" t="s">
        <v>28</v>
      </c>
      <c r="I13" s="10"/>
      <c r="J13" s="10">
        <v>0</v>
      </c>
      <c r="K13" s="10">
        <v>0</v>
      </c>
      <c r="L13" s="10">
        <v>0</v>
      </c>
    </row>
    <row r="14" spans="2:13">
      <c r="B14" s="4" t="s">
        <v>21</v>
      </c>
      <c r="D14" s="10">
        <v>1766000</v>
      </c>
      <c r="E14" s="10">
        <v>4002000</v>
      </c>
      <c r="F14" s="10">
        <v>782000</v>
      </c>
      <c r="G14" s="10"/>
      <c r="H14" s="10"/>
      <c r="I14" s="10"/>
      <c r="J14" s="10"/>
      <c r="K14" s="10"/>
      <c r="L14" s="10"/>
    </row>
    <row r="15" spans="2:13" ht="12.75" thickBot="1">
      <c r="B15" s="7" t="s">
        <v>37</v>
      </c>
      <c r="C15" s="12"/>
      <c r="D15" s="11">
        <f>+D14+D12+D11+D10</f>
        <v>3448000</v>
      </c>
      <c r="E15" s="11">
        <f>+E14+E12+E11+E10</f>
        <v>6382000</v>
      </c>
      <c r="F15" s="11">
        <f>+F14+F12+F11+F10</f>
        <v>4449000</v>
      </c>
      <c r="G15" s="10"/>
      <c r="H15" s="10" t="s">
        <v>29</v>
      </c>
      <c r="I15" s="10"/>
      <c r="J15" s="10">
        <v>0</v>
      </c>
      <c r="K15" s="10">
        <v>0</v>
      </c>
      <c r="L15" s="10">
        <v>0</v>
      </c>
    </row>
    <row r="16" spans="2:13">
      <c r="D16" s="10"/>
      <c r="E16" s="10"/>
      <c r="F16" s="10"/>
      <c r="G16" s="10"/>
      <c r="H16" s="10" t="s">
        <v>154</v>
      </c>
      <c r="I16" s="10"/>
      <c r="J16" s="10">
        <v>2291000</v>
      </c>
      <c r="K16" s="10">
        <v>2617000</v>
      </c>
      <c r="L16" s="10">
        <v>2621000</v>
      </c>
    </row>
    <row r="17" spans="2:12" ht="12.75" thickBot="1">
      <c r="D17" s="10"/>
      <c r="E17" s="10"/>
      <c r="F17" s="10"/>
      <c r="G17" s="10"/>
      <c r="H17" s="11" t="s">
        <v>30</v>
      </c>
      <c r="I17" s="25"/>
      <c r="J17" s="11">
        <f>J16+J15+SUM(J10:J13)</f>
        <v>4079000</v>
      </c>
      <c r="K17" s="11">
        <f>K16+K15+SUM(K10:K13)</f>
        <v>3770000</v>
      </c>
      <c r="L17" s="11">
        <f>L16+L15+SUM(L10:L13)</f>
        <v>3950000</v>
      </c>
    </row>
    <row r="18" spans="2:12">
      <c r="D18" s="10"/>
      <c r="E18" s="10"/>
      <c r="F18" s="10"/>
      <c r="G18" s="10"/>
      <c r="H18" s="10"/>
      <c r="I18" s="10"/>
      <c r="J18" s="10"/>
      <c r="K18" s="10"/>
      <c r="L18" s="10"/>
    </row>
    <row r="19" spans="2:12" ht="12.75" thickBot="1">
      <c r="B19" s="7" t="s">
        <v>22</v>
      </c>
      <c r="C19" s="12"/>
      <c r="D19" s="11">
        <f>D15+D8</f>
        <v>9841000</v>
      </c>
      <c r="E19" s="11">
        <f>E15+E8</f>
        <v>11241000</v>
      </c>
      <c r="F19" s="11">
        <f>F15+F8</f>
        <v>13292000</v>
      </c>
      <c r="G19" s="10"/>
      <c r="H19" s="11" t="s">
        <v>31</v>
      </c>
      <c r="I19" s="25"/>
      <c r="J19" s="11">
        <f>J17+J8</f>
        <v>9841000</v>
      </c>
      <c r="K19" s="11">
        <f>K17+K8</f>
        <v>11241000</v>
      </c>
      <c r="L19" s="11">
        <f>L17+L8</f>
        <v>13292000</v>
      </c>
    </row>
    <row r="22" spans="2:12">
      <c r="H22" s="4" t="s">
        <v>88</v>
      </c>
      <c r="J22" s="4">
        <f>J19-D19</f>
        <v>0</v>
      </c>
      <c r="K22" s="4">
        <f>K19-E19</f>
        <v>0</v>
      </c>
      <c r="L22" s="4">
        <f>L19-F19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P&amp;L assumptions</vt:lpstr>
      <vt:lpstr>BS assumptions</vt:lpstr>
      <vt:lpstr>Rev &amp; EBITDA</vt:lpstr>
      <vt:lpstr>Cash Flows</vt:lpstr>
      <vt:lpstr>Working Capital</vt:lpstr>
      <vt:lpstr>DCF Results</vt:lpstr>
      <vt:lpstr>PL</vt:lpstr>
      <vt:lpstr>BS</vt:lpstr>
      <vt:lpstr>CF</vt:lpstr>
      <vt:lpstr>DCF</vt:lpstr>
      <vt:lpstr>PLdata</vt:lpstr>
      <vt:lpstr>BSdata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kinakem</dc:creator>
  <cp:lastModifiedBy>x</cp:lastModifiedBy>
  <cp:lastPrinted>2020-01-28T01:28:40Z</cp:lastPrinted>
  <dcterms:created xsi:type="dcterms:W3CDTF">2006-09-16T00:00:00Z</dcterms:created>
  <dcterms:modified xsi:type="dcterms:W3CDTF">2020-01-29T01:41:16Z</dcterms:modified>
</cp:coreProperties>
</file>