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showInkAnnotation="0" defaultThemeVersion="124226"/>
  <mc:AlternateContent xmlns:mc="http://schemas.openxmlformats.org/markup-compatibility/2006">
    <mc:Choice Requires="x15">
      <x15ac:absPath xmlns:x15ac="http://schemas.microsoft.com/office/spreadsheetml/2010/11/ac" url="/Users/gregmonty/Downloads/"/>
    </mc:Choice>
  </mc:AlternateContent>
  <xr:revisionPtr revIDLastSave="0" documentId="13_ncr:1_{6E8A4142-B6D1-3F44-858C-1CC0662B3D29}" xr6:coauthVersionLast="47" xr6:coauthVersionMax="47" xr10:uidLastSave="{00000000-0000-0000-0000-000000000000}"/>
  <bookViews>
    <workbookView xWindow="0" yWindow="500" windowWidth="14180" windowHeight="16100" xr2:uid="{00000000-000D-0000-FFFF-FFFF00000000}"/>
  </bookViews>
  <sheets>
    <sheet name="Budget Template" sheetId="1" r:id="rId1"/>
  </sheets>
  <definedNames>
    <definedName name="_xlnm.Print_Area" localSheetId="0">'Budget Template'!$A$1:$K$80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2" i="1" l="1"/>
  <c r="E72" i="1" s="1"/>
  <c r="F72" i="1" s="1"/>
  <c r="B17" i="1"/>
  <c r="D21" i="1"/>
  <c r="C21" i="1"/>
  <c r="G49" i="1"/>
  <c r="F68" i="1" l="1"/>
  <c r="E68" i="1"/>
  <c r="D68" i="1"/>
  <c r="C68" i="1"/>
  <c r="D66" i="1"/>
  <c r="I40" i="1"/>
  <c r="I57" i="1"/>
  <c r="I58" i="1"/>
  <c r="I59" i="1"/>
  <c r="I60" i="1"/>
  <c r="I61" i="1"/>
  <c r="I62" i="1"/>
  <c r="D22" i="1" l="1"/>
  <c r="C22" i="1"/>
  <c r="D33" i="1"/>
  <c r="G51" i="1"/>
  <c r="I51" i="1" s="1"/>
  <c r="F33" i="1"/>
  <c r="G56" i="1" l="1"/>
  <c r="I56" i="1" s="1"/>
  <c r="G69" i="1"/>
  <c r="I69" i="1" s="1"/>
  <c r="E18" i="1"/>
  <c r="F43" i="1"/>
  <c r="D43" i="1"/>
  <c r="C43" i="1"/>
  <c r="G55" i="1"/>
  <c r="I55" i="1" s="1"/>
  <c r="G50" i="1"/>
  <c r="I50" i="1" s="1"/>
  <c r="D12" i="1"/>
  <c r="F18" i="1" l="1"/>
  <c r="E12" i="1"/>
  <c r="F12" i="1" s="1"/>
  <c r="C54" i="1"/>
  <c r="G54" i="1" s="1"/>
  <c r="I54" i="1" s="1"/>
  <c r="C24" i="1"/>
  <c r="D24" i="1" s="1"/>
  <c r="B11" i="1"/>
  <c r="C11" i="1" s="1"/>
  <c r="B10" i="1"/>
  <c r="C10" i="1" s="1"/>
  <c r="B9" i="1"/>
  <c r="B8" i="1"/>
  <c r="E24" i="1" l="1"/>
  <c r="F24" i="1" s="1"/>
  <c r="G18" i="1"/>
  <c r="F66" i="1" l="1"/>
  <c r="E66" i="1"/>
  <c r="C66" i="1"/>
  <c r="G61" i="1" l="1"/>
  <c r="G60" i="1"/>
  <c r="G59" i="1"/>
  <c r="C20" i="1"/>
  <c r="C19" i="1"/>
  <c r="C17" i="1"/>
  <c r="G52" i="1"/>
  <c r="I52" i="1" s="1"/>
  <c r="C9" i="1"/>
  <c r="G48" i="1"/>
  <c r="I48" i="1" s="1"/>
  <c r="D20" i="1" l="1"/>
  <c r="D19" i="1"/>
  <c r="D17" i="1"/>
  <c r="G73" i="1"/>
  <c r="I73" i="1" s="1"/>
  <c r="E21" i="1"/>
  <c r="G68" i="1"/>
  <c r="I68" i="1" s="1"/>
  <c r="G67" i="1"/>
  <c r="G64" i="1"/>
  <c r="I64" i="1" s="1"/>
  <c r="G66" i="1"/>
  <c r="I66" i="1" s="1"/>
  <c r="G65" i="1"/>
  <c r="I65" i="1" s="1"/>
  <c r="G62" i="1"/>
  <c r="C8" i="1"/>
  <c r="E20" i="1" l="1"/>
  <c r="F20" i="1" s="1"/>
  <c r="F21" i="1"/>
  <c r="E17" i="1"/>
  <c r="F17" i="1" s="1"/>
  <c r="G42" i="1"/>
  <c r="I42" i="1" s="1"/>
  <c r="E43" i="1"/>
  <c r="D74" i="1"/>
  <c r="C74" i="1"/>
  <c r="E22" i="1"/>
  <c r="E19" i="1"/>
  <c r="D11" i="1"/>
  <c r="G75" i="1"/>
  <c r="G63" i="1"/>
  <c r="I63" i="1" s="1"/>
  <c r="G58" i="1"/>
  <c r="G57" i="1"/>
  <c r="G53" i="1"/>
  <c r="I53" i="1" s="1"/>
  <c r="G47" i="1"/>
  <c r="I47" i="1" s="1"/>
  <c r="G46" i="1"/>
  <c r="I46" i="1" s="1"/>
  <c r="G45" i="1"/>
  <c r="I45" i="1" s="1"/>
  <c r="G44" i="1"/>
  <c r="I44" i="1" s="1"/>
  <c r="G41" i="1"/>
  <c r="I41" i="1" s="1"/>
  <c r="G39" i="1"/>
  <c r="I39" i="1" s="1"/>
  <c r="G38" i="1"/>
  <c r="I38" i="1" s="1"/>
  <c r="G37" i="1"/>
  <c r="I37" i="1" s="1"/>
  <c r="G36" i="1"/>
  <c r="I36" i="1" s="1"/>
  <c r="G34" i="1"/>
  <c r="I34" i="1" s="1"/>
  <c r="G33" i="1"/>
  <c r="I33" i="1" s="1"/>
  <c r="G32" i="1"/>
  <c r="G31" i="1"/>
  <c r="G29" i="1"/>
  <c r="G28" i="1"/>
  <c r="G27" i="1"/>
  <c r="G26" i="1"/>
  <c r="G16" i="1"/>
  <c r="G15" i="1"/>
  <c r="D10" i="1"/>
  <c r="D9" i="1"/>
  <c r="D8" i="1"/>
  <c r="C13" i="1"/>
  <c r="D13" i="1" s="1"/>
  <c r="F35" i="1"/>
  <c r="E35" i="1"/>
  <c r="D35" i="1"/>
  <c r="F30" i="1"/>
  <c r="E30" i="1"/>
  <c r="D30" i="1"/>
  <c r="G20" i="1" l="1"/>
  <c r="G17" i="1"/>
  <c r="F22" i="1"/>
  <c r="E8" i="1"/>
  <c r="F8" i="1" s="1"/>
  <c r="E13" i="1"/>
  <c r="F13" i="1" s="1"/>
  <c r="E9" i="1"/>
  <c r="F9" i="1" s="1"/>
  <c r="G9" i="1" s="1"/>
  <c r="E10" i="1"/>
  <c r="F10" i="1" s="1"/>
  <c r="G10" i="1" s="1"/>
  <c r="F74" i="1"/>
  <c r="E11" i="1"/>
  <c r="F11" i="1" s="1"/>
  <c r="E74" i="1"/>
  <c r="G22" i="1"/>
  <c r="F19" i="1"/>
  <c r="G12" i="1"/>
  <c r="C30" i="1"/>
  <c r="G30" i="1" s="1"/>
  <c r="G43" i="1"/>
  <c r="I43" i="1" s="1"/>
  <c r="G74" i="1" l="1"/>
  <c r="I74" i="1" s="1"/>
  <c r="G11" i="1"/>
  <c r="G13" i="1"/>
  <c r="G72" i="1"/>
  <c r="I72" i="1" s="1"/>
  <c r="G8" i="1"/>
  <c r="G19" i="1"/>
  <c r="C35" i="1"/>
  <c r="G35" i="1" l="1"/>
  <c r="I35" i="1" s="1"/>
  <c r="D14" i="1"/>
  <c r="C14" i="1"/>
  <c r="C23" i="1" s="1"/>
  <c r="D23" i="1" l="1"/>
  <c r="E14" i="1"/>
  <c r="E23" i="1" s="1"/>
  <c r="F14" i="1"/>
  <c r="F23" i="1" s="1"/>
  <c r="G14" i="1" l="1"/>
  <c r="D25" i="1"/>
  <c r="C25" i="1"/>
  <c r="C76" i="1" s="1"/>
  <c r="C77" i="1" s="1"/>
  <c r="F25" i="1"/>
  <c r="F76" i="1" s="1"/>
  <c r="F77" i="1" s="1"/>
  <c r="D76" i="1" l="1"/>
  <c r="G24" i="1"/>
  <c r="E25" i="1"/>
  <c r="E76" i="1" s="1"/>
  <c r="E77" i="1" s="1"/>
  <c r="G21" i="1"/>
  <c r="I15" i="1" s="1"/>
  <c r="G23" i="1"/>
  <c r="F78" i="1"/>
  <c r="F79" i="1" s="1"/>
  <c r="R7" i="1" l="1"/>
  <c r="D77" i="1"/>
  <c r="E78" i="1"/>
  <c r="E79" i="1" s="1"/>
  <c r="G25" i="1"/>
  <c r="G76" i="1"/>
  <c r="D78" i="1" l="1"/>
  <c r="G77" i="1"/>
  <c r="C78" i="1"/>
  <c r="D79" i="1" l="1"/>
  <c r="C79" i="1"/>
  <c r="G78" i="1"/>
  <c r="G79" i="1" l="1"/>
  <c r="H81" i="1" s="1"/>
  <c r="J67" i="1" l="1"/>
  <c r="J57" i="1"/>
  <c r="J69" i="1"/>
  <c r="J50" i="1"/>
  <c r="J55" i="1"/>
  <c r="J54" i="1"/>
  <c r="J52" i="1"/>
  <c r="J61" i="1"/>
  <c r="J60" i="1"/>
  <c r="J59" i="1"/>
  <c r="J72" i="1"/>
  <c r="J66" i="1"/>
  <c r="J62" i="1"/>
  <c r="J43" i="1"/>
  <c r="J65" i="1"/>
  <c r="J58" i="1"/>
  <c r="J48" i="1"/>
  <c r="J35" i="1"/>
  <c r="J74" i="1"/>
  <c r="J68" i="1"/>
  <c r="J64" i="1"/>
  <c r="J47" i="1"/>
  <c r="J30" i="1"/>
  <c r="J73" i="1"/>
  <c r="J63" i="1"/>
  <c r="J53" i="1"/>
  <c r="J46" i="1"/>
  <c r="J25" i="1"/>
  <c r="J78" i="1"/>
</calcChain>
</file>

<file path=xl/sharedStrings.xml><?xml version="1.0" encoding="utf-8"?>
<sst xmlns="http://schemas.openxmlformats.org/spreadsheetml/2006/main" count="130" uniqueCount="122">
  <si>
    <t>Subsistence (Per-Diem: Meals/Lodging)</t>
  </si>
  <si>
    <t>Item B.</t>
  </si>
  <si>
    <t>Total Senior/Key Personnel</t>
  </si>
  <si>
    <t>B. Other Personnel</t>
  </si>
  <si>
    <t>A. Senior/Key Personnel</t>
  </si>
  <si>
    <t>Item A.</t>
  </si>
  <si>
    <t>Program Applying to:</t>
  </si>
  <si>
    <t>Total Personnel</t>
  </si>
  <si>
    <t>Total Equipment</t>
  </si>
  <si>
    <t>Total Travel</t>
  </si>
  <si>
    <t>G. Other Direct Costs</t>
  </si>
  <si>
    <t>Total Other Direct Costs</t>
  </si>
  <si>
    <t>1.) Materials and Supplies</t>
  </si>
  <si>
    <t>2.) Publication Costs</t>
  </si>
  <si>
    <t>Year 1</t>
  </si>
  <si>
    <t>Domestic</t>
  </si>
  <si>
    <t>Foreign</t>
  </si>
  <si>
    <t>Cumulative</t>
  </si>
  <si>
    <t>Travel</t>
  </si>
  <si>
    <t>Total Participant Support Costs</t>
  </si>
  <si>
    <t>Project Period Dates:</t>
  </si>
  <si>
    <t>Name of Project:</t>
  </si>
  <si>
    <t xml:space="preserve">PI: </t>
  </si>
  <si>
    <t>E. Travel Senior &amp; Other Personnel</t>
  </si>
  <si>
    <t xml:space="preserve">F. Participant Support </t>
  </si>
  <si>
    <t>H.) Total Direct Costs</t>
  </si>
  <si>
    <t>J. Total Indirect &amp; Direct Cost</t>
  </si>
  <si>
    <t>Institutional Base Salary</t>
  </si>
  <si>
    <t xml:space="preserve">    Fringe Benefits 7.65% (Part Time Staff)</t>
  </si>
  <si>
    <t>D. Major Equipment &gt;$5000 per unit</t>
  </si>
  <si>
    <t>I.) Indirect Costs (F&amp;A) 44%</t>
  </si>
  <si>
    <t xml:space="preserve">6.) Tuition </t>
  </si>
  <si>
    <r>
      <t xml:space="preserve">Modified Total Direct Costs (MTDC): Excludes Major Equipment </t>
    </r>
    <r>
      <rPr>
        <u/>
        <sz val="10"/>
        <rFont val="Arial"/>
        <family val="2"/>
      </rPr>
      <t>&gt;</t>
    </r>
    <r>
      <rPr>
        <sz val="10"/>
        <rFont val="Arial"/>
        <family val="2"/>
      </rPr>
      <t>$5,000, Participant Support, Subaward in excess of $25K, Tuition</t>
    </r>
  </si>
  <si>
    <t>C. Fringe Benefits 36% (Full Time Personnel)</t>
  </si>
  <si>
    <t>Year 2</t>
  </si>
  <si>
    <t>Year 3</t>
  </si>
  <si>
    <t>Year 4</t>
  </si>
  <si>
    <t>Dr. Balu Gokaraju</t>
  </si>
  <si>
    <t>EDA- Good Jobs Challenge</t>
  </si>
  <si>
    <t>Regional Cluster of Futuristic Clean Energy Industry for Manufacturing</t>
  </si>
  <si>
    <t>PI- Gokaraju</t>
  </si>
  <si>
    <t>Co-PI- Monty</t>
  </si>
  <si>
    <t>Co-PI- Tesiero</t>
  </si>
  <si>
    <t>Co-PI- Desai</t>
  </si>
  <si>
    <t>5) Subawards- Growth Sector</t>
  </si>
  <si>
    <t>Student Support</t>
  </si>
  <si>
    <t>5) Subawards-NCSU (BACKBONE)</t>
  </si>
  <si>
    <t>5) Subawards-UNCC (BACKBONE)</t>
  </si>
  <si>
    <t>Additional Wrap Around Services for Participants</t>
  </si>
  <si>
    <t>Administrative Support</t>
  </si>
  <si>
    <t>2 summer months + 20% AY effort</t>
  </si>
  <si>
    <t>1.2 CY months</t>
  </si>
  <si>
    <t>2 summer months</t>
  </si>
  <si>
    <t>% of budget</t>
  </si>
  <si>
    <t>4 CY months</t>
  </si>
  <si>
    <t>Equipment for Trainees in Halifax, NC Coastal, and Charlotte Areas</t>
  </si>
  <si>
    <t>Travel for coordinators and travel to other partners</t>
  </si>
  <si>
    <t>10/1/2022 - 09/30/2023</t>
  </si>
  <si>
    <t>10/1/2023 - 09/30/2024</t>
  </si>
  <si>
    <t>10/1/2024 - 09/30/2025</t>
  </si>
  <si>
    <t>10/1/2025 - 09/30/2026</t>
  </si>
  <si>
    <t xml:space="preserve">5) Subawards-App State </t>
  </si>
  <si>
    <t>5) Subawards-NCSEA (BACKBONE)</t>
  </si>
  <si>
    <t>5) Subawards-e4Carolinas (BACKBONE)</t>
  </si>
  <si>
    <t>5) Subawards-Advanced Energy (BACKBONE)</t>
  </si>
  <si>
    <t>10/1/2022-09/30/2026</t>
  </si>
  <si>
    <t>5) Subawards-Community Colleges Partnerships</t>
  </si>
  <si>
    <t>Increase all Personnel by 5%.</t>
  </si>
  <si>
    <t>5% escalation rate in Y1 (state approved)</t>
  </si>
  <si>
    <t>Faculty Member- TBD</t>
  </si>
  <si>
    <t>3.) Contract Services- Online Module Development</t>
  </si>
  <si>
    <t>Other Support- Tuition for Participants</t>
  </si>
  <si>
    <t>4.) Consultant- Apprenticeship Administrator (n=1)</t>
  </si>
  <si>
    <t>3.) Contract Services: Mobile Unit Driver</t>
  </si>
  <si>
    <t>Post Doc (n=2)</t>
  </si>
  <si>
    <t>5) Industry Partner</t>
  </si>
  <si>
    <t>4) Consultant: Trainer-Workshops</t>
  </si>
  <si>
    <t>$60k/PD, full time, 100% effort, first year only 9 months as it will take time to hire the candidate.</t>
  </si>
  <si>
    <t>will support the Project Mgr directly and handle many financial, planning, and execution tasks for the project.</t>
  </si>
  <si>
    <t>NCAT Project Manager to oversee Project Tasks, working directly for Dr. Gokaraju, PI.  
Will be a key person to coordinate with all the vertical CE Sector activities and horizontal cross-sector support Thrusts.  
Will also coordinate with PPC, the overall Program Manager for STEPs4Growth.  
Also, will have an administrative assistant support reporting directly to them.</t>
  </si>
  <si>
    <t>5, supporting each co-PI, gathering research data, reporting, analysis</t>
  </si>
  <si>
    <t>5, given specific tasks to support PI, co-Pis, research, data gatherin, reporting , analysis</t>
  </si>
  <si>
    <t>purchase equipment for NCA&amp;T Reg TC, will spend $200k in Y1 (specific to EE Sector), and $700k in Y2 (to put in equp for all 4 CE sectors</t>
  </si>
  <si>
    <t>Travel for all STEPs4GROWTH meetings, recruitment, outreach, promotional activities.  One major conference each year for all participants, stakeholders and industry.
Travel for STEPs4GROWTH will all be submitted to NCAT and reimbursed to our partners in the project.</t>
  </si>
  <si>
    <t>Tuition costs not covered by ApprenticeshipNC CC System.  This amount can be used in University tuition reimbursement.  This tuition budget line item is not sufficient to cover all costs of tuition for all students.  Industry will be counted on to support as well, and some tuition costs may be born by participants.</t>
  </si>
  <si>
    <t>teaching materials for curriculum, meeting materials, safety gear and protective clothing</t>
  </si>
  <si>
    <t>Publication for outreach, recruiting, marketing, and publication of scholarly work</t>
  </si>
  <si>
    <t>$60,000 for a full-time instructor for Mobile units.  Will needed one instructor for two mobile units in the third year when the mobile units are put into action.  By Y4, 2 instructors will be needed for mobile labs, and higher volume of students</t>
  </si>
  <si>
    <t>Y2 - Y4, for food, travel, support for single parents, daycare, career coaching.  Wrap-around service organization will work closely with both the STEPs4GROWTH Student Support Specialists and local CC career services departments.
Est. based on $3000/yr provided by NC state budgets per student in K-12 education, and assuming that only 1/2 of students might need wrap-around services on average.</t>
  </si>
  <si>
    <t>contracted Mobile Lab Drivers (n=1 in Y3, n-2 in Y4) to be hired, used in Y3 (one driver for two mobile units) and Y4 (tow drivers for two mobile units) primarily in the 10 Tier 1 counties in eastern NC.</t>
  </si>
  <si>
    <t>external evaluator to assess the Management of the STEPs4GROWTH team and it completion of Goals, Obj, Tasks, Deliverables, Milestones.</t>
  </si>
  <si>
    <t>4.) Consultant- External Evaluator (who TBD)</t>
  </si>
  <si>
    <t>4). Consultant- CE Regional Coordinators (n=4)</t>
  </si>
  <si>
    <t>FTE for Apprenticeship administration to support state ApprenticeshipNC activity (establishing new pre-Apprenticeships and Apprenticeships), Will support the Articulation agreement activity.</t>
  </si>
  <si>
    <t xml:space="preserve">4 individuals, one for each region, to coordinate all regional stakeholders in project:  CCs, WDBs, CoCs, HS, RTCs, Mobile Training centers if in their region, Universities, ApprenticeshipNC.  Directly reports to PI.  Will gather data on project performance, participant success factors, demographics, and all other participant data.  Will be active in Recruiting of students and industry partners.  </t>
  </si>
  <si>
    <t>To develop curriculum for online delivery and self-paced instruction.  Modules will be tailored from existing course materials to be useable across the state of NC in the regions.  This account line is meant to augment budget given directly to CCs to develop online and self-paced course materials.</t>
  </si>
  <si>
    <t xml:space="preserve">Train the trainer workshops to bring all teachers/instructors to same level for consistent instruction.  </t>
  </si>
  <si>
    <t>Convene meeting of various horizontal Team Leads involving organizations, apprenticeship programs, community colleges, and industries, Workforce Development Boards, Chamber of Commerce, in your CE sectoral region to Clean Energy meetings for strategy design, plan, Pyramid Model, and implementation.
•	Arrange periodic Meetings in Clean Energy Program initiatives through conferences, annual meetings, discussions etc.
•	Seek Industry Partners to be interested in checking the successful apprentices.
•	Supervising the training programs and tracking their progress for establishing the clean energy certifications, training equipment needs, instructor needs, and AAS degrees.
•	Mention and leverage the established years of professional/training programs in your CE sector (Some backbones).
•	Ensure the summer pilots are in place for Year 2023 for major 4 exclusive sectors.
•	Ensure the full apprenticeships established for Year 2024 for multiple sub sectors.
•	Ensure the full apprenticeships established for Year 2025</t>
  </si>
  <si>
    <t>same</t>
  </si>
  <si>
    <t>•	Will lead and manage both the 4-Verticals (backbone organizations) and 10-Horizontals (5 Professors and 4 NFP Leads) with Processes, Design and Goals.
•	Will report to the System Lead Entity—NCAT (Balu &amp; Greg)
•	Will convene bi weekly meetings of all the leads to ensure the deliverables, goals are being met and evaluate the performance metrics 
•	PPC will share the execution plan and timelines with all 14 Leads during the System development-Phase1 and program design-Phase2 (19 months).
•	The upkeep of tracking the status of the program buildup and implementation in all 4 regions will start from summer 2024 to end of summer 2026.
•	Lead the DEIA team: PPC is also identified to lead the DEIA team to ensure the Diversity, Equity, inclusion, and Accessibility activities are provided to all the 4 verticals in a consistent manner to both participants and industry employers. 
•	DEIA team is supported by JobsForFuture (1-FTE) with execution plan to cater for participants and employers. Accessibility-Autistic appren</t>
  </si>
  <si>
    <t>Horizontal Wrap-Around Services Thrust leader.  Growth Sector; a leader in Student Support Specialist (SSS) models that focus on the social, educational, and financial needs of cohorts.  Growth Sector will organize, train, and manage SSSs in all 4 regions in the project.  Jobs For the Future (JFF) will work with Growth Sector to develop wrap-around services.</t>
  </si>
  <si>
    <t>1)  Sector Strategy Coaching and Other Technical Assistance : 2) Outreach and Recruitment Strategies Coordination and Support</t>
  </si>
  <si>
    <t>NCBCE Career &amp; Employment Specialist will lead the Job Placement Team. This Team will be supported by JFF, LINC-IT/Accessibility Coordinator, Growth Sector, career-service coordinators at 17 community colleges, and regional program coordinators. 
LinC-IT/Accessibility Coordinator will lead the autism-spectrum apprentices program in Clean Energy skills toward Building Energy Management and Cybersecurity for the Grid.
NCBCE Career &amp; Employment Specialist will perform as one-stop liaison between industries and all apprenticeship programs. The support functions from NCWorks, Apprenticeship</t>
  </si>
  <si>
    <t>2 semesters, 5 GSs, at $8500/semester for tuition scholarship per year</t>
  </si>
  <si>
    <t>Internal and External Adv. Board mtgs.  Preparation, scheduling, sharing of all documents, etc.</t>
  </si>
  <si>
    <t>Phase 1 assumption</t>
  </si>
  <si>
    <t>Phase 2 assumption</t>
  </si>
  <si>
    <t>Phase 2 Costs (1 full year)</t>
  </si>
  <si>
    <t>Phase 1 Costs (7 months to 30Apr)</t>
  </si>
  <si>
    <t>Phase 3 Costs (29 months)</t>
  </si>
  <si>
    <t>5) Subawards-PPC, Precise Process Consulting</t>
  </si>
  <si>
    <t>5) Subawards-JFF (Jobs For the Future)</t>
  </si>
  <si>
    <t>5) Subawards-NCBCE (NC Business Committee for Education) ; n=2</t>
  </si>
  <si>
    <t>5) Subawards-NCEast Alliance</t>
  </si>
  <si>
    <t>6.) Advisory Board Meetings</t>
  </si>
  <si>
    <t>17 CCs $50k/yr for Administrative Support and Curriculum development.  4 SSSs in each region at specific CCs.  $200k for equipment in Y1 for 3 RTCs.  $600k for equipment in Y2 for 3 RTCs, and $750k for equipment in two Mobile units.  Total equipment costs will be $800k/RTC, and per mobile unit.
Additionally, the SSSs assigned to each of the 4 regions will have direct communication with the student participants and will track their progress through STEPs4GROWTH.  In Y1 the SSS will work only 9 months as it will take time to hire SSSs.  This will include gathering data related to their education, work-experiences, and job placements.  The SSSs will additionally track the students after employment for a few years to understand student pathways.  Appoint a point person and attend bi weekly meetings for curriculum development, establishing certifications.
Appoint a point person for career services to the apprentices like career awareness, career coaching and counseling, resume building, mock-up interviews etc.
Commit Space of ~1200 Sq. Ft for situating the CE Regional Tech. Center equipment on campus.
Supervising the training programs and tracking their progress for establishing the clean energy certifications, training equipment needs, instructor needs, and AAS degrees.
Collaboration with other counties in GJC to share curriculum/experiences
Conduct the summer pilot apprenticeships for Year 2023 for major 4 exclusive sectors.
Conduct the full apprenticeships established for Year 2024 for multiple sub sectors.
Conduct the full apprenticeships established for Year 2025 replicating same standardized curriculum for all CE sectors in all regions using Hybrid-Online mode of instruction.
Summer bridge program implementation
Articulation agreements to 4-year institutions and from High School’s Vocational Courses.
Advisory board participation by one of your College Rep., or Faculty.
Recruit students from HS toward our apprenticeship programs</t>
  </si>
  <si>
    <t>Consultant:  Robert Powell (retired energy Prof. at NCAT) -SLE assistant</t>
  </si>
  <si>
    <t>Grants Manager</t>
  </si>
  <si>
    <t>Undergraduate RA (n=4)</t>
  </si>
  <si>
    <t>3.) Contract Services- Mobile Unit Instructors</t>
  </si>
  <si>
    <t>Graduate Student (n=5)</t>
  </si>
  <si>
    <t>3.) Consultant: Program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</si>
</sst>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1" formatCode="_(* #,##0_);_(* \(#,##0\);_(* &quot;-&quot;_);_(@_)"/>
    <numFmt numFmtId="44" formatCode="_(&quot;$&quot;* #,##0.00_);_(&quot;$&quot;* \(#,##0.00\);_(&quot;$&quot;* &quot;-&quot;??_);_(@_)"/>
    <numFmt numFmtId="43" formatCode="_(* #,##0.00_);_(* \(#,##0.00\);_(* &quot;-&quot;??_);_(@_)"/>
    <numFmt numFmtId="164" formatCode="mm/dd/yy;@"/>
    <numFmt numFmtId="165" formatCode="_(* #,##0_);_(* \(#,##0\);_(* &quot;-&quot;??_);_(@_)"/>
  </numFmts>
  <fonts count="21" x14ac:knownFonts="1">
    <font>
      <sz val="10"/>
      <name val="Arial"/>
    </font>
    <font>
      <sz val="10"/>
      <name val="Arial"/>
      <family val="2"/>
    </font>
    <font>
      <b/>
      <sz val="10"/>
      <name val="Arial"/>
      <family val="2"/>
    </font>
    <font>
      <b/>
      <i/>
      <sz val="10"/>
      <name val="Arial"/>
      <family val="2"/>
    </font>
    <font>
      <sz val="8"/>
      <name val="Arial"/>
      <family val="2"/>
    </font>
    <font>
      <i/>
      <sz val="10"/>
      <name val="Arial"/>
      <family val="2"/>
    </font>
    <font>
      <u val="doubleAccounting"/>
      <sz val="10"/>
      <name val="Arial"/>
      <family val="2"/>
    </font>
    <font>
      <sz val="10"/>
      <name val="Arial"/>
      <family val="2"/>
    </font>
    <font>
      <u/>
      <sz val="10"/>
      <name val="Arial"/>
      <family val="2"/>
    </font>
    <font>
      <sz val="10"/>
      <name val="Arial"/>
      <family val="2"/>
    </font>
    <font>
      <strike/>
      <sz val="10"/>
      <name val="Arial"/>
      <family val="2"/>
    </font>
    <font>
      <b/>
      <sz val="10"/>
      <color rgb="FFFF0000"/>
      <name val="Arial"/>
      <family val="2"/>
    </font>
    <font>
      <sz val="12"/>
      <color rgb="FF000000"/>
      <name val="Times New Roman"/>
      <family val="1"/>
    </font>
    <font>
      <sz val="10"/>
      <color theme="1"/>
      <name val="Arial"/>
      <family val="2"/>
    </font>
    <font>
      <i/>
      <sz val="10"/>
      <color rgb="FFFF0000"/>
      <name val="Arial"/>
      <family val="2"/>
    </font>
    <font>
      <b/>
      <sz val="10"/>
      <color theme="1"/>
      <name val="Arial"/>
      <family val="2"/>
    </font>
    <font>
      <b/>
      <i/>
      <sz val="10"/>
      <color theme="1"/>
      <name val="Arial"/>
      <family val="2"/>
    </font>
    <font>
      <sz val="10"/>
      <name val="Arial"/>
      <family val="2"/>
    </font>
    <font>
      <sz val="10"/>
      <color rgb="FFFF0000"/>
      <name val="Arial"/>
      <family val="2"/>
    </font>
    <font>
      <b/>
      <i/>
      <sz val="10"/>
      <color rgb="FF92D050"/>
      <name val="Arial"/>
      <family val="2"/>
    </font>
    <font>
      <b/>
      <i/>
      <sz val="10"/>
      <color rgb="FF0070C0"/>
      <name val="Arial"/>
      <family val="2"/>
    </font>
  </fonts>
  <fills count="1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42"/>
        <bgColor indexed="64"/>
      </patternFill>
    </fill>
    <fill>
      <patternFill patternType="solid">
        <fgColor indexed="47"/>
        <bgColor indexed="64"/>
      </patternFill>
    </fill>
    <fill>
      <patternFill patternType="solid">
        <fgColor indexed="31"/>
        <bgColor indexed="64"/>
      </patternFill>
    </fill>
    <fill>
      <patternFill patternType="solid">
        <fgColor indexed="43"/>
        <bgColor indexed="64"/>
      </patternFill>
    </fill>
    <fill>
      <patternFill patternType="solid">
        <fgColor theme="0" tint="-0.249977111117893"/>
        <bgColor indexed="64"/>
      </patternFill>
    </fill>
    <fill>
      <patternFill patternType="solid">
        <fgColor rgb="FFFFCC99"/>
        <bgColor indexed="64"/>
      </patternFill>
    </fill>
    <fill>
      <patternFill patternType="solid">
        <fgColor rgb="FFFFFF99"/>
        <bgColor indexed="64"/>
      </patternFill>
    </fill>
    <fill>
      <patternFill patternType="solid">
        <fgColor rgb="FFCCFFCC"/>
        <bgColor indexed="64"/>
      </patternFill>
    </fill>
    <fill>
      <patternFill patternType="solid">
        <fgColor rgb="FFFFC000"/>
        <bgColor indexed="64"/>
      </patternFill>
    </fill>
    <fill>
      <patternFill patternType="solid">
        <fgColor theme="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diagonalUp="1" diagonalDown="1">
      <left/>
      <right/>
      <top/>
      <bottom/>
      <diagonal style="thin">
        <color auto="1"/>
      </diagonal>
    </border>
  </borders>
  <cellStyleXfs count="4">
    <xf numFmtId="0" fontId="0" fillId="0" borderId="0"/>
    <xf numFmtId="44" fontId="1" fillId="0" borderId="0" applyFont="0" applyFill="0" applyBorder="0" applyAlignment="0" applyProtection="0"/>
    <xf numFmtId="9" fontId="9" fillId="0" borderId="0" applyFont="0" applyFill="0" applyBorder="0" applyAlignment="0" applyProtection="0"/>
    <xf numFmtId="43" fontId="17" fillId="0" borderId="0" applyFont="0" applyFill="0" applyBorder="0" applyAlignment="0" applyProtection="0"/>
  </cellStyleXfs>
  <cellXfs count="234">
    <xf numFmtId="0" fontId="0" fillId="0" borderId="0" xfId="0"/>
    <xf numFmtId="0" fontId="3" fillId="0" borderId="0" xfId="0" applyFont="1" applyProtection="1">
      <protection locked="0"/>
    </xf>
    <xf numFmtId="0" fontId="0" fillId="0" borderId="0" xfId="0" applyProtection="1">
      <protection locked="0"/>
    </xf>
    <xf numFmtId="0" fontId="2" fillId="0" borderId="0" xfId="0" applyFont="1" applyProtection="1">
      <protection locked="0"/>
    </xf>
    <xf numFmtId="0" fontId="5" fillId="0" borderId="0" xfId="0" applyFont="1" applyProtection="1">
      <protection locked="0"/>
    </xf>
    <xf numFmtId="0" fontId="6" fillId="0" borderId="0" xfId="0" applyFont="1" applyProtection="1">
      <protection locked="0"/>
    </xf>
    <xf numFmtId="0" fontId="2" fillId="0" borderId="0" xfId="0" applyFont="1" applyAlignment="1" applyProtection="1">
      <alignment vertical="top" wrapText="1" shrinkToFit="1"/>
      <protection locked="0"/>
    </xf>
    <xf numFmtId="0" fontId="2" fillId="0" borderId="0" xfId="0" applyFont="1" applyAlignment="1" applyProtection="1">
      <alignment horizontal="left"/>
      <protection locked="0"/>
    </xf>
    <xf numFmtId="14" fontId="3" fillId="0" borderId="0" xfId="0" applyNumberFormat="1" applyFont="1" applyProtection="1">
      <protection locked="0"/>
    </xf>
    <xf numFmtId="0" fontId="2" fillId="0" borderId="0" xfId="0" applyFont="1" applyAlignment="1" applyProtection="1">
      <alignment horizontal="center"/>
      <protection locked="0"/>
    </xf>
    <xf numFmtId="0" fontId="7" fillId="0" borderId="0" xfId="0" applyFont="1" applyProtection="1">
      <protection locked="0"/>
    </xf>
    <xf numFmtId="4" fontId="0" fillId="4" borderId="0" xfId="0" applyNumberFormat="1" applyFill="1" applyBorder="1" applyProtection="1">
      <protection locked="0"/>
    </xf>
    <xf numFmtId="4" fontId="0" fillId="0" borderId="0" xfId="0" applyNumberFormat="1" applyBorder="1" applyProtection="1">
      <protection locked="0"/>
    </xf>
    <xf numFmtId="4" fontId="0" fillId="5" borderId="0" xfId="0" applyNumberFormat="1" applyFill="1" applyBorder="1" applyProtection="1">
      <protection locked="0"/>
    </xf>
    <xf numFmtId="4" fontId="0" fillId="6" borderId="0" xfId="0" applyNumberFormat="1" applyFill="1" applyBorder="1" applyProtection="1">
      <protection locked="0"/>
    </xf>
    <xf numFmtId="4" fontId="0" fillId="7" borderId="3" xfId="0" applyNumberFormat="1" applyFill="1" applyBorder="1" applyProtection="1">
      <protection locked="0"/>
    </xf>
    <xf numFmtId="4" fontId="2" fillId="2" borderId="0" xfId="0" applyNumberFormat="1" applyFont="1" applyFill="1" applyBorder="1" applyProtection="1">
      <protection locked="0"/>
    </xf>
    <xf numFmtId="4" fontId="0" fillId="2" borderId="0" xfId="0" applyNumberFormat="1" applyFill="1" applyBorder="1" applyProtection="1">
      <protection locked="0"/>
    </xf>
    <xf numFmtId="4" fontId="2" fillId="4" borderId="0" xfId="0" applyNumberFormat="1" applyFont="1" applyFill="1" applyBorder="1" applyAlignment="1" applyProtection="1">
      <alignment vertical="top" wrapText="1" shrinkToFit="1"/>
      <protection locked="0"/>
    </xf>
    <xf numFmtId="0" fontId="0" fillId="0" borderId="0" xfId="0" applyFill="1" applyBorder="1" applyProtection="1">
      <protection locked="0"/>
    </xf>
    <xf numFmtId="164" fontId="0" fillId="0" borderId="0" xfId="0" applyNumberFormat="1" applyFill="1" applyBorder="1" applyProtection="1">
      <protection locked="0"/>
    </xf>
    <xf numFmtId="4" fontId="7" fillId="7" borderId="0" xfId="0" applyNumberFormat="1" applyFont="1" applyFill="1" applyBorder="1" applyProtection="1">
      <protection locked="0"/>
    </xf>
    <xf numFmtId="4" fontId="2" fillId="5" borderId="3" xfId="0" applyNumberFormat="1" applyFont="1" applyFill="1" applyBorder="1" applyProtection="1">
      <protection locked="0"/>
    </xf>
    <xf numFmtId="0" fontId="2" fillId="0" borderId="0" xfId="0" applyFont="1" applyAlignment="1" applyProtection="1">
      <alignment vertical="center"/>
      <protection locked="0"/>
    </xf>
    <xf numFmtId="44" fontId="0" fillId="0" borderId="0" xfId="1" applyFont="1" applyProtection="1">
      <protection locked="0"/>
    </xf>
    <xf numFmtId="44" fontId="2" fillId="0" borderId="0" xfId="1" applyFont="1" applyProtection="1">
      <protection locked="0"/>
    </xf>
    <xf numFmtId="44" fontId="7" fillId="0" borderId="0" xfId="1" applyFont="1" applyProtection="1">
      <protection locked="0"/>
    </xf>
    <xf numFmtId="44" fontId="1" fillId="0" borderId="0" xfId="1" applyFont="1" applyProtection="1">
      <protection locked="0"/>
    </xf>
    <xf numFmtId="0" fontId="1" fillId="0" borderId="0" xfId="0" applyFont="1" applyProtection="1">
      <protection locked="0"/>
    </xf>
    <xf numFmtId="44" fontId="0" fillId="0" borderId="0" xfId="1" applyFont="1" applyFill="1" applyBorder="1" applyProtection="1">
      <protection locked="0"/>
    </xf>
    <xf numFmtId="44" fontId="7" fillId="0" borderId="0" xfId="0" applyNumberFormat="1" applyFont="1" applyProtection="1">
      <protection locked="0"/>
    </xf>
    <xf numFmtId="4" fontId="0" fillId="6" borderId="3" xfId="0" applyNumberFormat="1" applyFill="1" applyBorder="1" applyProtection="1">
      <protection locked="0"/>
    </xf>
    <xf numFmtId="44" fontId="3" fillId="0" borderId="0" xfId="1" applyFont="1" applyFill="1" applyBorder="1" applyProtection="1"/>
    <xf numFmtId="41" fontId="2" fillId="4" borderId="3" xfId="1" applyNumberFormat="1" applyFont="1" applyFill="1" applyBorder="1" applyAlignment="1" applyProtection="1">
      <alignment horizontal="left"/>
      <protection locked="0"/>
    </xf>
    <xf numFmtId="41" fontId="2" fillId="6" borderId="3" xfId="1" applyNumberFormat="1" applyFont="1" applyFill="1" applyBorder="1" applyAlignment="1" applyProtection="1">
      <alignment horizontal="center"/>
      <protection locked="0"/>
    </xf>
    <xf numFmtId="41" fontId="2" fillId="7" borderId="3" xfId="1" applyNumberFormat="1" applyFont="1" applyFill="1" applyBorder="1" applyAlignment="1" applyProtection="1">
      <alignment horizontal="center"/>
      <protection locked="0"/>
    </xf>
    <xf numFmtId="4" fontId="1" fillId="2" borderId="0" xfId="0" applyNumberFormat="1" applyFont="1" applyFill="1" applyBorder="1" applyProtection="1">
      <protection locked="0"/>
    </xf>
    <xf numFmtId="49" fontId="3" fillId="0" borderId="0" xfId="0" applyNumberFormat="1" applyFont="1" applyAlignment="1" applyProtection="1">
      <protection locked="0"/>
    </xf>
    <xf numFmtId="49" fontId="3" fillId="0" borderId="0" xfId="0" applyNumberFormat="1" applyFont="1" applyFill="1" applyAlignment="1" applyProtection="1">
      <protection locked="0"/>
    </xf>
    <xf numFmtId="41" fontId="0" fillId="4" borderId="0" xfId="1" applyNumberFormat="1" applyFont="1" applyFill="1" applyBorder="1" applyAlignment="1" applyProtection="1">
      <alignment horizontal="center"/>
      <protection locked="0"/>
    </xf>
    <xf numFmtId="41" fontId="7" fillId="4" borderId="0" xfId="1" applyNumberFormat="1" applyFont="1" applyFill="1" applyBorder="1" applyAlignment="1" applyProtection="1">
      <alignment horizontal="center" shrinkToFit="1"/>
    </xf>
    <xf numFmtId="41" fontId="3" fillId="0" borderId="2" xfId="1" applyNumberFormat="1" applyFont="1" applyFill="1" applyBorder="1" applyAlignment="1" applyProtection="1">
      <alignment horizontal="center"/>
    </xf>
    <xf numFmtId="4" fontId="3" fillId="4" borderId="3" xfId="0" applyNumberFormat="1" applyFont="1" applyFill="1" applyBorder="1" applyProtection="1">
      <protection locked="0"/>
    </xf>
    <xf numFmtId="41" fontId="3" fillId="11" borderId="3" xfId="1" applyNumberFormat="1" applyFont="1" applyFill="1" applyBorder="1" applyAlignment="1" applyProtection="1">
      <alignment horizontal="center"/>
    </xf>
    <xf numFmtId="4" fontId="3" fillId="5" borderId="3" xfId="0" applyNumberFormat="1" applyFont="1" applyFill="1" applyBorder="1" applyProtection="1">
      <protection locked="0"/>
    </xf>
    <xf numFmtId="4" fontId="2" fillId="4" borderId="3" xfId="0" applyNumberFormat="1" applyFont="1" applyFill="1" applyBorder="1" applyProtection="1">
      <protection locked="0"/>
    </xf>
    <xf numFmtId="41" fontId="0" fillId="4" borderId="3" xfId="1" applyNumberFormat="1" applyFont="1" applyFill="1" applyBorder="1" applyAlignment="1" applyProtection="1">
      <alignment horizontal="center"/>
      <protection locked="0"/>
    </xf>
    <xf numFmtId="4" fontId="2" fillId="7" borderId="3" xfId="0" applyNumberFormat="1" applyFont="1" applyFill="1" applyBorder="1" applyProtection="1">
      <protection locked="0"/>
    </xf>
    <xf numFmtId="0" fontId="0" fillId="0" borderId="0" xfId="0" applyAlignment="1" applyProtection="1">
      <alignment wrapText="1"/>
      <protection locked="0"/>
    </xf>
    <xf numFmtId="4" fontId="2" fillId="4" borderId="3" xfId="0" applyNumberFormat="1" applyFont="1" applyFill="1" applyBorder="1" applyAlignment="1" applyProtection="1">
      <alignment horizontal="center" wrapText="1"/>
      <protection locked="0"/>
    </xf>
    <xf numFmtId="4" fontId="3" fillId="0" borderId="0" xfId="0" applyNumberFormat="1" applyFont="1" applyFill="1" applyBorder="1" applyProtection="1">
      <protection locked="0"/>
    </xf>
    <xf numFmtId="41" fontId="3" fillId="0" borderId="0" xfId="1" applyNumberFormat="1" applyFont="1" applyFill="1" applyBorder="1" applyAlignment="1" applyProtection="1">
      <alignment horizontal="center"/>
    </xf>
    <xf numFmtId="4" fontId="8" fillId="5" borderId="0" xfId="0" applyNumberFormat="1" applyFont="1" applyFill="1" applyBorder="1" applyProtection="1">
      <protection locked="0"/>
    </xf>
    <xf numFmtId="4" fontId="5" fillId="4" borderId="3" xfId="0" applyNumberFormat="1" applyFont="1" applyFill="1" applyBorder="1" applyProtection="1">
      <protection locked="0"/>
    </xf>
    <xf numFmtId="41" fontId="5" fillId="4" borderId="3" xfId="1" applyNumberFormat="1" applyFont="1" applyFill="1" applyBorder="1" applyAlignment="1" applyProtection="1">
      <alignment horizontal="center"/>
    </xf>
    <xf numFmtId="0" fontId="2" fillId="0" borderId="5" xfId="0" applyFont="1" applyBorder="1" applyProtection="1">
      <protection locked="0"/>
    </xf>
    <xf numFmtId="0" fontId="2" fillId="0" borderId="6" xfId="0" applyFont="1" applyBorder="1" applyProtection="1">
      <protection locked="0"/>
    </xf>
    <xf numFmtId="41" fontId="3" fillId="0" borderId="7" xfId="1" applyNumberFormat="1" applyFont="1" applyFill="1" applyBorder="1" applyAlignment="1" applyProtection="1">
      <alignment horizontal="center"/>
      <protection locked="0"/>
    </xf>
    <xf numFmtId="4" fontId="2" fillId="4" borderId="8" xfId="0" applyNumberFormat="1" applyFont="1" applyFill="1" applyBorder="1" applyAlignment="1" applyProtection="1">
      <alignment horizontal="left"/>
      <protection locked="0"/>
    </xf>
    <xf numFmtId="4" fontId="1" fillId="4" borderId="9" xfId="0" applyNumberFormat="1" applyFont="1" applyFill="1" applyBorder="1" applyAlignment="1" applyProtection="1">
      <alignment horizontal="left"/>
      <protection locked="0"/>
    </xf>
    <xf numFmtId="4" fontId="2" fillId="4" borderId="8" xfId="0" applyNumberFormat="1" applyFont="1" applyFill="1" applyBorder="1" applyProtection="1">
      <protection locked="0"/>
    </xf>
    <xf numFmtId="41" fontId="0" fillId="11" borderId="0" xfId="1" applyNumberFormat="1" applyFont="1" applyFill="1" applyBorder="1" applyAlignment="1" applyProtection="1">
      <alignment horizontal="center"/>
      <protection locked="0"/>
    </xf>
    <xf numFmtId="4" fontId="2" fillId="4" borderId="9" xfId="0" applyNumberFormat="1" applyFont="1" applyFill="1" applyBorder="1" applyAlignment="1" applyProtection="1">
      <alignment vertical="top" wrapText="1" shrinkToFit="1"/>
      <protection locked="0"/>
    </xf>
    <xf numFmtId="4" fontId="0" fillId="0" borderId="9" xfId="0" applyNumberFormat="1" applyBorder="1" applyProtection="1">
      <protection locked="0"/>
    </xf>
    <xf numFmtId="4" fontId="2" fillId="5" borderId="8" xfId="0" applyNumberFormat="1" applyFont="1" applyFill="1" applyBorder="1" applyProtection="1">
      <protection locked="0"/>
    </xf>
    <xf numFmtId="4" fontId="0" fillId="5" borderId="9" xfId="0" applyNumberFormat="1" applyFill="1" applyBorder="1" applyProtection="1">
      <protection locked="0"/>
    </xf>
    <xf numFmtId="4" fontId="2" fillId="6" borderId="8" xfId="0" applyNumberFormat="1" applyFont="1" applyFill="1" applyBorder="1" applyProtection="1">
      <protection locked="0"/>
    </xf>
    <xf numFmtId="4" fontId="0" fillId="6" borderId="9" xfId="0" applyNumberFormat="1" applyFill="1" applyBorder="1" applyProtection="1">
      <protection locked="0"/>
    </xf>
    <xf numFmtId="4" fontId="2" fillId="7" borderId="8" xfId="0" applyNumberFormat="1" applyFont="1" applyFill="1" applyBorder="1" applyProtection="1">
      <protection locked="0"/>
    </xf>
    <xf numFmtId="4" fontId="7" fillId="7" borderId="9" xfId="0" applyNumberFormat="1" applyFont="1" applyFill="1" applyBorder="1" applyProtection="1">
      <protection locked="0"/>
    </xf>
    <xf numFmtId="41" fontId="3" fillId="0" borderId="11" xfId="1" applyNumberFormat="1" applyFont="1" applyFill="1" applyBorder="1" applyAlignment="1" applyProtection="1">
      <alignment horizontal="center"/>
    </xf>
    <xf numFmtId="4" fontId="7" fillId="7" borderId="9" xfId="0" applyNumberFormat="1" applyFont="1" applyFill="1" applyBorder="1" applyAlignment="1" applyProtection="1">
      <alignment horizontal="left"/>
      <protection locked="0"/>
    </xf>
    <xf numFmtId="4" fontId="2" fillId="2" borderId="9" xfId="0" applyNumberFormat="1" applyFont="1" applyFill="1" applyBorder="1" applyProtection="1">
      <protection locked="0"/>
    </xf>
    <xf numFmtId="4" fontId="0" fillId="2" borderId="12" xfId="0" applyNumberFormat="1" applyFill="1" applyBorder="1" applyProtection="1">
      <protection locked="0"/>
    </xf>
    <xf numFmtId="4" fontId="0" fillId="2" borderId="9" xfId="0" applyNumberFormat="1" applyFill="1" applyBorder="1" applyProtection="1">
      <protection locked="0"/>
    </xf>
    <xf numFmtId="4" fontId="1" fillId="2" borderId="9" xfId="0" applyNumberFormat="1" applyFont="1" applyFill="1" applyBorder="1" applyProtection="1">
      <protection locked="0"/>
    </xf>
    <xf numFmtId="4" fontId="2" fillId="0" borderId="13" xfId="0" applyNumberFormat="1" applyFont="1" applyBorder="1" applyProtection="1">
      <protection locked="0"/>
    </xf>
    <xf numFmtId="41" fontId="2" fillId="0" borderId="13" xfId="1" applyNumberFormat="1" applyFont="1" applyBorder="1" applyAlignment="1" applyProtection="1">
      <alignment horizontal="center"/>
      <protection locked="0"/>
    </xf>
    <xf numFmtId="4" fontId="3" fillId="4" borderId="8" xfId="0" applyNumberFormat="1" applyFont="1" applyFill="1" applyBorder="1" applyProtection="1">
      <protection locked="0"/>
    </xf>
    <xf numFmtId="4" fontId="3" fillId="5" borderId="8" xfId="0" applyNumberFormat="1" applyFont="1" applyFill="1" applyBorder="1" applyProtection="1">
      <protection locked="0"/>
    </xf>
    <xf numFmtId="4" fontId="3" fillId="7" borderId="8" xfId="0" applyNumberFormat="1" applyFont="1" applyFill="1" applyBorder="1" applyProtection="1">
      <protection locked="0"/>
    </xf>
    <xf numFmtId="4" fontId="3" fillId="2" borderId="8" xfId="0" applyNumberFormat="1" applyFont="1" applyFill="1" applyBorder="1" applyProtection="1">
      <protection locked="0"/>
    </xf>
    <xf numFmtId="4" fontId="0" fillId="8" borderId="3" xfId="0" applyNumberFormat="1" applyFill="1" applyBorder="1" applyProtection="1">
      <protection locked="0"/>
    </xf>
    <xf numFmtId="4" fontId="5" fillId="4" borderId="0" xfId="0" applyNumberFormat="1" applyFont="1" applyFill="1" applyBorder="1" applyProtection="1">
      <protection locked="0"/>
    </xf>
    <xf numFmtId="41" fontId="5" fillId="4" borderId="0" xfId="1" applyNumberFormat="1" applyFont="1" applyFill="1" applyBorder="1" applyAlignment="1" applyProtection="1">
      <alignment horizontal="center"/>
    </xf>
    <xf numFmtId="41" fontId="0" fillId="0" borderId="2" xfId="1" applyNumberFormat="1" applyFont="1" applyBorder="1" applyAlignment="1" applyProtection="1">
      <alignment horizontal="center"/>
      <protection locked="0"/>
    </xf>
    <xf numFmtId="41" fontId="2" fillId="5" borderId="3" xfId="1" applyNumberFormat="1" applyFont="1" applyFill="1" applyBorder="1" applyAlignment="1" applyProtection="1">
      <alignment horizontal="center"/>
      <protection locked="0"/>
    </xf>
    <xf numFmtId="41" fontId="0" fillId="5" borderId="0" xfId="1" applyNumberFormat="1" applyFont="1" applyFill="1" applyBorder="1" applyAlignment="1" applyProtection="1">
      <alignment horizontal="center"/>
      <protection locked="0"/>
    </xf>
    <xf numFmtId="41" fontId="1" fillId="5" borderId="0" xfId="1" applyNumberFormat="1" applyFont="1" applyFill="1" applyBorder="1" applyAlignment="1" applyProtection="1">
      <alignment horizontal="center"/>
      <protection locked="0"/>
    </xf>
    <xf numFmtId="41" fontId="3" fillId="9" borderId="3" xfId="1" applyNumberFormat="1" applyFont="1" applyFill="1" applyBorder="1" applyAlignment="1" applyProtection="1">
      <alignment horizontal="center"/>
    </xf>
    <xf numFmtId="41" fontId="0" fillId="6" borderId="0" xfId="1" applyNumberFormat="1" applyFont="1" applyFill="1" applyBorder="1" applyAlignment="1" applyProtection="1">
      <alignment horizontal="center"/>
      <protection locked="0"/>
    </xf>
    <xf numFmtId="41" fontId="2" fillId="0" borderId="2" xfId="1" applyNumberFormat="1" applyFont="1" applyBorder="1" applyAlignment="1" applyProtection="1">
      <alignment horizontal="center"/>
      <protection locked="0"/>
    </xf>
    <xf numFmtId="41" fontId="7" fillId="7" borderId="2" xfId="1" applyNumberFormat="1" applyFont="1" applyFill="1" applyBorder="1" applyAlignment="1" applyProtection="1">
      <alignment horizontal="center"/>
      <protection locked="0"/>
    </xf>
    <xf numFmtId="41" fontId="7" fillId="10" borderId="0" xfId="1" applyNumberFormat="1" applyFont="1" applyFill="1" applyBorder="1" applyAlignment="1" applyProtection="1">
      <alignment horizontal="center"/>
      <protection locked="0"/>
    </xf>
    <xf numFmtId="41" fontId="7" fillId="7" borderId="0" xfId="1" applyNumberFormat="1" applyFont="1" applyFill="1" applyBorder="1" applyAlignment="1" applyProtection="1">
      <alignment horizontal="center"/>
      <protection locked="0"/>
    </xf>
    <xf numFmtId="41" fontId="7" fillId="7" borderId="3" xfId="1" applyNumberFormat="1" applyFont="1" applyFill="1" applyBorder="1" applyAlignment="1" applyProtection="1">
      <alignment horizontal="center"/>
      <protection locked="0"/>
    </xf>
    <xf numFmtId="41" fontId="2" fillId="8" borderId="3" xfId="1" applyNumberFormat="1" applyFont="1" applyFill="1" applyBorder="1" applyAlignment="1" applyProtection="1">
      <alignment horizontal="center"/>
      <protection locked="0"/>
    </xf>
    <xf numFmtId="41" fontId="1" fillId="2" borderId="0" xfId="1" applyNumberFormat="1" applyFont="1" applyFill="1" applyBorder="1" applyAlignment="1" applyProtection="1">
      <alignment horizontal="center"/>
      <protection locked="0"/>
    </xf>
    <xf numFmtId="41" fontId="1" fillId="8" borderId="0" xfId="1" applyNumberFormat="1" applyFont="1" applyFill="1" applyBorder="1" applyAlignment="1" applyProtection="1">
      <alignment horizontal="center"/>
      <protection locked="0"/>
    </xf>
    <xf numFmtId="41" fontId="0" fillId="8" borderId="0" xfId="1" applyNumberFormat="1" applyFont="1" applyFill="1" applyBorder="1" applyAlignment="1" applyProtection="1">
      <alignment horizontal="center"/>
      <protection locked="0"/>
    </xf>
    <xf numFmtId="41" fontId="0" fillId="8" borderId="3" xfId="1" applyNumberFormat="1" applyFont="1" applyFill="1" applyBorder="1" applyAlignment="1" applyProtection="1">
      <alignment horizontal="center"/>
      <protection locked="0"/>
    </xf>
    <xf numFmtId="41" fontId="0" fillId="0" borderId="0" xfId="1" applyNumberFormat="1" applyFont="1" applyBorder="1" applyAlignment="1"/>
    <xf numFmtId="41" fontId="3" fillId="0" borderId="0" xfId="1" applyNumberFormat="1" applyFont="1" applyBorder="1" applyAlignment="1" applyProtection="1">
      <alignment horizontal="center"/>
      <protection locked="0"/>
    </xf>
    <xf numFmtId="41" fontId="0" fillId="0" borderId="0" xfId="1" applyNumberFormat="1" applyFont="1" applyBorder="1" applyAlignment="1" applyProtection="1">
      <protection locked="0"/>
    </xf>
    <xf numFmtId="4" fontId="1" fillId="2" borderId="3" xfId="0" applyNumberFormat="1" applyFont="1" applyFill="1" applyBorder="1" applyProtection="1">
      <protection locked="0"/>
    </xf>
    <xf numFmtId="4" fontId="0" fillId="0" borderId="3" xfId="0" applyNumberFormat="1" applyBorder="1" applyProtection="1">
      <protection locked="0"/>
    </xf>
    <xf numFmtId="41" fontId="2" fillId="0" borderId="3" xfId="1" applyNumberFormat="1" applyFont="1" applyFill="1" applyBorder="1" applyAlignment="1" applyProtection="1">
      <alignment horizontal="center"/>
      <protection locked="0"/>
    </xf>
    <xf numFmtId="4" fontId="2" fillId="0" borderId="4" xfId="0" applyNumberFormat="1" applyFont="1" applyBorder="1" applyProtection="1">
      <protection locked="0"/>
    </xf>
    <xf numFmtId="4" fontId="0" fillId="0" borderId="4" xfId="0" applyNumberFormat="1" applyBorder="1" applyAlignment="1" applyProtection="1">
      <alignment wrapText="1"/>
      <protection locked="0"/>
    </xf>
    <xf numFmtId="41" fontId="0" fillId="0" borderId="4" xfId="1" applyNumberFormat="1" applyFont="1" applyBorder="1" applyAlignment="1" applyProtection="1">
      <alignment horizontal="center" wrapText="1"/>
      <protection locked="0"/>
    </xf>
    <xf numFmtId="4" fontId="1" fillId="12" borderId="10" xfId="0" applyNumberFormat="1" applyFont="1" applyFill="1" applyBorder="1" applyAlignment="1" applyProtection="1">
      <alignment wrapText="1"/>
      <protection locked="0"/>
    </xf>
    <xf numFmtId="4" fontId="2" fillId="0" borderId="14" xfId="0" applyNumberFormat="1" applyFont="1" applyBorder="1" applyProtection="1">
      <protection locked="0"/>
    </xf>
    <xf numFmtId="41" fontId="2" fillId="0" borderId="11" xfId="1" applyNumberFormat="1" applyFont="1" applyBorder="1" applyAlignment="1" applyProtection="1">
      <alignment horizontal="left"/>
      <protection locked="0"/>
    </xf>
    <xf numFmtId="4" fontId="3" fillId="4" borderId="9" xfId="0" applyNumberFormat="1" applyFont="1" applyFill="1" applyBorder="1" applyProtection="1">
      <protection locked="0"/>
    </xf>
    <xf numFmtId="4" fontId="2" fillId="0" borderId="8" xfId="0" applyNumberFormat="1" applyFont="1" applyBorder="1" applyProtection="1">
      <protection locked="0"/>
    </xf>
    <xf numFmtId="4" fontId="2" fillId="0" borderId="10" xfId="0" applyNumberFormat="1" applyFont="1" applyBorder="1" applyAlignment="1" applyProtection="1">
      <alignment wrapText="1"/>
      <protection locked="0"/>
    </xf>
    <xf numFmtId="6" fontId="1" fillId="13" borderId="0" xfId="0" applyNumberFormat="1" applyFont="1" applyFill="1" applyAlignment="1">
      <alignment horizontal="center"/>
    </xf>
    <xf numFmtId="4" fontId="1" fillId="4" borderId="9" xfId="0" applyNumberFormat="1" applyFont="1" applyFill="1" applyBorder="1" applyProtection="1">
      <protection locked="0"/>
    </xf>
    <xf numFmtId="4" fontId="1" fillId="7" borderId="9" xfId="0" applyNumberFormat="1" applyFont="1" applyFill="1" applyBorder="1" applyAlignment="1" applyProtection="1">
      <alignment horizontal="left"/>
      <protection locked="0"/>
    </xf>
    <xf numFmtId="41" fontId="2" fillId="0" borderId="0" xfId="1" applyNumberFormat="1" applyFont="1" applyFill="1" applyBorder="1" applyAlignment="1" applyProtection="1">
      <alignment horizontal="center"/>
      <protection locked="0"/>
    </xf>
    <xf numFmtId="164" fontId="1" fillId="0" borderId="16" xfId="0" applyNumberFormat="1" applyFont="1" applyFill="1" applyBorder="1" applyAlignment="1" applyProtection="1">
      <alignment horizontal="center"/>
      <protection locked="0"/>
    </xf>
    <xf numFmtId="9" fontId="3" fillId="0" borderId="0" xfId="2" applyFont="1" applyFill="1" applyBorder="1" applyAlignment="1" applyProtection="1">
      <alignment horizontal="center"/>
    </xf>
    <xf numFmtId="9" fontId="0" fillId="0" borderId="0" xfId="2" applyFont="1" applyBorder="1" applyAlignment="1"/>
    <xf numFmtId="9" fontId="3" fillId="0" borderId="0" xfId="2" applyFont="1" applyBorder="1" applyAlignment="1" applyProtection="1">
      <alignment horizontal="center"/>
      <protection locked="0"/>
    </xf>
    <xf numFmtId="9" fontId="0" fillId="0" borderId="0" xfId="2" applyFont="1" applyBorder="1" applyAlignment="1" applyProtection="1">
      <protection locked="0"/>
    </xf>
    <xf numFmtId="9" fontId="3" fillId="0" borderId="0" xfId="2" applyFont="1" applyFill="1" applyBorder="1" applyAlignment="1" applyProtection="1">
      <alignment horizontal="center"/>
      <protection locked="0"/>
    </xf>
    <xf numFmtId="9" fontId="2" fillId="0" borderId="0" xfId="2" applyFont="1" applyBorder="1" applyAlignment="1" applyProtection="1">
      <alignment horizontal="left"/>
      <protection locked="0"/>
    </xf>
    <xf numFmtId="164" fontId="1" fillId="3" borderId="1" xfId="0" applyNumberFormat="1" applyFont="1" applyFill="1" applyBorder="1" applyProtection="1">
      <protection locked="0"/>
    </xf>
    <xf numFmtId="4" fontId="10" fillId="2" borderId="9" xfId="0" applyNumberFormat="1" applyFont="1" applyFill="1" applyBorder="1" applyProtection="1">
      <protection locked="0"/>
    </xf>
    <xf numFmtId="4" fontId="2" fillId="14" borderId="5" xfId="0" applyNumberFormat="1" applyFont="1" applyFill="1" applyBorder="1" applyProtection="1">
      <protection locked="0"/>
    </xf>
    <xf numFmtId="4" fontId="0" fillId="14" borderId="6" xfId="0" applyNumberFormat="1" applyFill="1" applyBorder="1" applyProtection="1">
      <protection locked="0"/>
    </xf>
    <xf numFmtId="41" fontId="1" fillId="14" borderId="6" xfId="1" applyNumberFormat="1" applyFont="1" applyFill="1" applyBorder="1" applyAlignment="1" applyProtection="1">
      <alignment horizontal="center"/>
      <protection locked="0"/>
    </xf>
    <xf numFmtId="41" fontId="3" fillId="14" borderId="7" xfId="1" applyNumberFormat="1" applyFont="1" applyFill="1" applyBorder="1" applyAlignment="1" applyProtection="1">
      <alignment horizontal="center"/>
    </xf>
    <xf numFmtId="4" fontId="2" fillId="14" borderId="9" xfId="0" applyNumberFormat="1" applyFont="1" applyFill="1" applyBorder="1" applyProtection="1">
      <protection locked="0"/>
    </xf>
    <xf numFmtId="4" fontId="0" fillId="14" borderId="0" xfId="0" applyNumberFormat="1" applyFill="1" applyBorder="1" applyProtection="1">
      <protection locked="0"/>
    </xf>
    <xf numFmtId="41" fontId="3" fillId="14" borderId="11" xfId="1" applyNumberFormat="1" applyFont="1" applyFill="1" applyBorder="1" applyAlignment="1" applyProtection="1">
      <alignment horizontal="center"/>
    </xf>
    <xf numFmtId="4" fontId="2" fillId="14" borderId="14" xfId="0" applyNumberFormat="1" applyFont="1" applyFill="1" applyBorder="1" applyProtection="1">
      <protection locked="0"/>
    </xf>
    <xf numFmtId="4" fontId="0" fillId="14" borderId="13" xfId="0" applyNumberFormat="1" applyFill="1" applyBorder="1" applyProtection="1">
      <protection locked="0"/>
    </xf>
    <xf numFmtId="41" fontId="3" fillId="14" borderId="15" xfId="1" applyNumberFormat="1" applyFont="1" applyFill="1" applyBorder="1" applyAlignment="1" applyProtection="1">
      <alignment horizontal="center"/>
    </xf>
    <xf numFmtId="4" fontId="1" fillId="15" borderId="5" xfId="0" applyNumberFormat="1" applyFont="1" applyFill="1" applyBorder="1" applyProtection="1">
      <protection locked="0"/>
    </xf>
    <xf numFmtId="4" fontId="0" fillId="15" borderId="6" xfId="0" applyNumberFormat="1" applyFill="1" applyBorder="1" applyProtection="1">
      <protection locked="0"/>
    </xf>
    <xf numFmtId="41" fontId="1" fillId="15" borderId="6" xfId="1" applyNumberFormat="1" applyFont="1" applyFill="1" applyBorder="1" applyAlignment="1" applyProtection="1">
      <alignment horizontal="center"/>
      <protection locked="0"/>
    </xf>
    <xf numFmtId="41" fontId="3" fillId="15" borderId="7" xfId="1" applyNumberFormat="1" applyFont="1" applyFill="1" applyBorder="1" applyAlignment="1" applyProtection="1">
      <alignment horizontal="center"/>
    </xf>
    <xf numFmtId="4" fontId="1" fillId="15" borderId="9" xfId="0" applyNumberFormat="1" applyFont="1" applyFill="1" applyBorder="1" applyProtection="1">
      <protection locked="0"/>
    </xf>
    <xf numFmtId="4" fontId="0" fillId="15" borderId="0" xfId="0" applyNumberFormat="1" applyFill="1" applyBorder="1" applyProtection="1">
      <protection locked="0"/>
    </xf>
    <xf numFmtId="41" fontId="0" fillId="15" borderId="0" xfId="1" applyNumberFormat="1" applyFont="1" applyFill="1" applyBorder="1" applyAlignment="1" applyProtection="1">
      <alignment horizontal="center"/>
      <protection locked="0"/>
    </xf>
    <xf numFmtId="41" fontId="3" fillId="15" borderId="11" xfId="1" applyNumberFormat="1" applyFont="1" applyFill="1" applyBorder="1" applyAlignment="1" applyProtection="1">
      <alignment horizontal="center"/>
    </xf>
    <xf numFmtId="4" fontId="0" fillId="15" borderId="13" xfId="0" applyNumberFormat="1" applyFill="1" applyBorder="1" applyProtection="1">
      <protection locked="0"/>
    </xf>
    <xf numFmtId="41" fontId="0" fillId="15" borderId="13" xfId="1" applyNumberFormat="1" applyFont="1" applyFill="1" applyBorder="1" applyAlignment="1" applyProtection="1">
      <alignment horizontal="center"/>
      <protection locked="0"/>
    </xf>
    <xf numFmtId="41" fontId="3" fillId="15" borderId="15" xfId="1" applyNumberFormat="1" applyFont="1" applyFill="1" applyBorder="1" applyAlignment="1" applyProtection="1">
      <alignment horizontal="center"/>
    </xf>
    <xf numFmtId="4" fontId="10" fillId="7" borderId="9" xfId="0" applyNumberFormat="1" applyFont="1" applyFill="1" applyBorder="1" applyAlignment="1" applyProtection="1">
      <alignment horizontal="left"/>
      <protection locked="0"/>
    </xf>
    <xf numFmtId="41" fontId="11" fillId="11" borderId="0" xfId="1" applyNumberFormat="1" applyFont="1" applyFill="1" applyBorder="1" applyAlignment="1" applyProtection="1">
      <alignment horizontal="center"/>
      <protection locked="0"/>
    </xf>
    <xf numFmtId="4" fontId="11" fillId="2" borderId="0" xfId="0" applyNumberFormat="1" applyFont="1" applyFill="1" applyBorder="1" applyProtection="1">
      <protection locked="0"/>
    </xf>
    <xf numFmtId="41" fontId="11" fillId="8" borderId="0" xfId="1" applyNumberFormat="1" applyFont="1" applyFill="1" applyBorder="1" applyAlignment="1" applyProtection="1">
      <alignment horizontal="center"/>
      <protection locked="0"/>
    </xf>
    <xf numFmtId="0" fontId="2" fillId="0" borderId="0" xfId="0" applyNumberFormat="1" applyFont="1" applyAlignment="1" applyProtection="1">
      <alignment vertical="top" wrapText="1" shrinkToFit="1"/>
      <protection locked="0"/>
    </xf>
    <xf numFmtId="0" fontId="3" fillId="0" borderId="0" xfId="1" applyNumberFormat="1" applyFont="1" applyFill="1" applyAlignment="1" applyProtection="1">
      <alignment wrapText="1"/>
      <protection locked="0"/>
    </xf>
    <xf numFmtId="0" fontId="0" fillId="0" borderId="0" xfId="1" applyNumberFormat="1" applyFont="1" applyAlignment="1">
      <alignment wrapText="1"/>
    </xf>
    <xf numFmtId="0" fontId="2" fillId="0" borderId="0" xfId="0" applyNumberFormat="1" applyFont="1" applyAlignment="1" applyProtection="1">
      <alignment wrapText="1"/>
      <protection locked="0"/>
    </xf>
    <xf numFmtId="0" fontId="2" fillId="0" borderId="0" xfId="0" applyNumberFormat="1" applyFont="1" applyAlignment="1" applyProtection="1">
      <alignment horizontal="left" wrapText="1"/>
      <protection locked="0"/>
    </xf>
    <xf numFmtId="0" fontId="5" fillId="12" borderId="0" xfId="1" applyNumberFormat="1" applyFont="1" applyFill="1" applyAlignment="1" applyProtection="1">
      <alignment wrapText="1"/>
      <protection locked="0"/>
    </xf>
    <xf numFmtId="0" fontId="5" fillId="0" borderId="0" xfId="0" applyNumberFormat="1" applyFont="1" applyAlignment="1" applyProtection="1">
      <alignment wrapText="1"/>
      <protection locked="0"/>
    </xf>
    <xf numFmtId="0" fontId="3" fillId="0" borderId="0" xfId="0" applyNumberFormat="1" applyFont="1" applyAlignment="1" applyProtection="1">
      <alignment wrapText="1"/>
      <protection locked="0"/>
    </xf>
    <xf numFmtId="0" fontId="7" fillId="0" borderId="0" xfId="0" applyNumberFormat="1" applyFont="1" applyAlignment="1" applyProtection="1">
      <alignment wrapText="1"/>
      <protection locked="0"/>
    </xf>
    <xf numFmtId="0" fontId="1" fillId="0" borderId="0" xfId="0" applyNumberFormat="1" applyFont="1" applyAlignment="1" applyProtection="1">
      <alignment wrapText="1"/>
      <protection locked="0"/>
    </xf>
    <xf numFmtId="9" fontId="5" fillId="0" borderId="0" xfId="2" applyFont="1" applyFill="1" applyBorder="1" applyAlignment="1" applyProtection="1">
      <alignment horizontal="left" wrapText="1"/>
    </xf>
    <xf numFmtId="0" fontId="1" fillId="0" borderId="0" xfId="0" applyNumberFormat="1" applyFont="1" applyAlignment="1">
      <alignment wrapText="1"/>
    </xf>
    <xf numFmtId="0" fontId="12" fillId="0" borderId="0" xfId="0" applyFont="1" applyAlignment="1">
      <alignment vertical="center" wrapText="1"/>
    </xf>
    <xf numFmtId="0" fontId="1" fillId="0" borderId="0" xfId="0" applyFont="1" applyAlignment="1" applyProtection="1">
      <alignment wrapText="1"/>
      <protection locked="0"/>
    </xf>
    <xf numFmtId="0" fontId="1" fillId="0" borderId="0" xfId="0" applyFont="1" applyAlignment="1">
      <alignment wrapText="1"/>
    </xf>
    <xf numFmtId="0" fontId="0" fillId="0" borderId="0" xfId="0" applyAlignment="1">
      <alignment wrapText="1"/>
    </xf>
    <xf numFmtId="41" fontId="15" fillId="8" borderId="0" xfId="1" applyNumberFormat="1" applyFont="1" applyFill="1" applyBorder="1" applyAlignment="1" applyProtection="1">
      <alignment horizontal="center"/>
      <protection locked="0"/>
    </xf>
    <xf numFmtId="41" fontId="16" fillId="0" borderId="11" xfId="1" applyNumberFormat="1" applyFont="1" applyFill="1" applyBorder="1" applyAlignment="1" applyProtection="1">
      <alignment horizontal="center"/>
    </xf>
    <xf numFmtId="41" fontId="15" fillId="11" borderId="0" xfId="1" applyNumberFormat="1" applyFont="1" applyFill="1" applyBorder="1" applyAlignment="1" applyProtection="1">
      <alignment horizontal="center"/>
      <protection locked="0"/>
    </xf>
    <xf numFmtId="4" fontId="15" fillId="4" borderId="0" xfId="0" applyNumberFormat="1" applyFont="1" applyFill="1" applyBorder="1" applyProtection="1">
      <protection locked="0"/>
    </xf>
    <xf numFmtId="4" fontId="15" fillId="4" borderId="9" xfId="0" applyNumberFormat="1" applyFont="1" applyFill="1" applyBorder="1" applyAlignment="1" applyProtection="1">
      <alignment horizontal="left"/>
      <protection locked="0"/>
    </xf>
    <xf numFmtId="4" fontId="15" fillId="2" borderId="9" xfId="0" applyNumberFormat="1" applyFont="1" applyFill="1" applyBorder="1" applyProtection="1">
      <protection locked="0"/>
    </xf>
    <xf numFmtId="41" fontId="16" fillId="0" borderId="15" xfId="1" applyNumberFormat="1" applyFont="1" applyFill="1" applyBorder="1" applyAlignment="1" applyProtection="1">
      <alignment horizontal="center"/>
    </xf>
    <xf numFmtId="4" fontId="13" fillId="2" borderId="9" xfId="0" applyNumberFormat="1" applyFont="1" applyFill="1" applyBorder="1" applyProtection="1">
      <protection locked="0"/>
    </xf>
    <xf numFmtId="4" fontId="13" fillId="2" borderId="0" xfId="0" applyNumberFormat="1" applyFont="1" applyFill="1" applyBorder="1" applyProtection="1">
      <protection locked="0"/>
    </xf>
    <xf numFmtId="41" fontId="13" fillId="8" borderId="0" xfId="1" applyNumberFormat="1" applyFont="1" applyFill="1" applyBorder="1" applyAlignment="1" applyProtection="1">
      <alignment horizontal="center"/>
      <protection locked="0"/>
    </xf>
    <xf numFmtId="41" fontId="16" fillId="0" borderId="0" xfId="1" applyNumberFormat="1" applyFont="1" applyFill="1" applyBorder="1" applyAlignment="1" applyProtection="1">
      <alignment horizontal="center"/>
    </xf>
    <xf numFmtId="41" fontId="13" fillId="5" borderId="0" xfId="1" applyNumberFormat="1" applyFont="1" applyFill="1" applyBorder="1" applyAlignment="1" applyProtection="1">
      <alignment horizontal="center"/>
      <protection locked="0"/>
    </xf>
    <xf numFmtId="4" fontId="10" fillId="15" borderId="14" xfId="0" applyNumberFormat="1" applyFont="1" applyFill="1" applyBorder="1" applyProtection="1">
      <protection locked="0"/>
    </xf>
    <xf numFmtId="43" fontId="0" fillId="0" borderId="0" xfId="3" applyFont="1"/>
    <xf numFmtId="43" fontId="0" fillId="0" borderId="0" xfId="0" applyNumberFormat="1"/>
    <xf numFmtId="43" fontId="0" fillId="0" borderId="0" xfId="1" applyNumberFormat="1" applyFont="1" applyBorder="1" applyAlignment="1" applyProtection="1">
      <protection locked="0"/>
    </xf>
    <xf numFmtId="4" fontId="10" fillId="15" borderId="9" xfId="0" applyNumberFormat="1" applyFont="1" applyFill="1" applyBorder="1" applyProtection="1">
      <protection locked="0"/>
    </xf>
    <xf numFmtId="0" fontId="1" fillId="0" borderId="17" xfId="0" applyNumberFormat="1" applyFont="1" applyBorder="1" applyAlignment="1">
      <alignment wrapText="1"/>
    </xf>
    <xf numFmtId="41" fontId="0" fillId="0" borderId="0" xfId="0" applyNumberFormat="1"/>
    <xf numFmtId="43" fontId="0" fillId="0" borderId="0" xfId="0" applyNumberFormat="1" applyFill="1" applyBorder="1" applyProtection="1">
      <protection locked="0"/>
    </xf>
    <xf numFmtId="41" fontId="11" fillId="6" borderId="2" xfId="1" applyNumberFormat="1" applyFont="1" applyFill="1" applyBorder="1" applyAlignment="1" applyProtection="1">
      <alignment horizontal="center"/>
      <protection locked="0"/>
    </xf>
    <xf numFmtId="165" fontId="11" fillId="0" borderId="4" xfId="1" applyNumberFormat="1" applyFont="1" applyBorder="1" applyAlignment="1" applyProtection="1">
      <alignment horizontal="center"/>
    </xf>
    <xf numFmtId="41" fontId="3" fillId="0" borderId="0" xfId="1" applyNumberFormat="1" applyFont="1" applyFill="1" applyBorder="1" applyAlignment="1" applyProtection="1">
      <alignment horizontal="center"/>
      <protection locked="0"/>
    </xf>
    <xf numFmtId="41" fontId="2" fillId="0" borderId="0" xfId="1" applyNumberFormat="1" applyFont="1" applyBorder="1" applyAlignment="1" applyProtection="1">
      <alignment horizontal="left"/>
      <protection locked="0"/>
    </xf>
    <xf numFmtId="41" fontId="3" fillId="14" borderId="0" xfId="1" applyNumberFormat="1" applyFont="1" applyFill="1" applyBorder="1" applyAlignment="1" applyProtection="1">
      <alignment horizontal="center"/>
    </xf>
    <xf numFmtId="41" fontId="3" fillId="15" borderId="0" xfId="1" applyNumberFormat="1" applyFont="1" applyFill="1" applyBorder="1" applyAlignment="1" applyProtection="1">
      <alignment horizontal="center"/>
    </xf>
    <xf numFmtId="4" fontId="1" fillId="16" borderId="9" xfId="0" applyNumberFormat="1" applyFont="1" applyFill="1" applyBorder="1" applyAlignment="1" applyProtection="1">
      <alignment horizontal="left"/>
      <protection locked="0"/>
    </xf>
    <xf numFmtId="4" fontId="0" fillId="16" borderId="0" xfId="0" applyNumberFormat="1" applyFill="1" applyBorder="1" applyAlignment="1" applyProtection="1">
      <alignment horizontal="center"/>
      <protection locked="0"/>
    </xf>
    <xf numFmtId="41" fontId="13" fillId="16" borderId="0" xfId="1" applyNumberFormat="1" applyFont="1" applyFill="1" applyBorder="1" applyAlignment="1" applyProtection="1">
      <alignment horizontal="center"/>
      <protection locked="0"/>
    </xf>
    <xf numFmtId="41" fontId="3" fillId="16" borderId="11" xfId="1" applyNumberFormat="1" applyFont="1" applyFill="1" applyBorder="1" applyAlignment="1" applyProtection="1">
      <alignment horizontal="center"/>
    </xf>
    <xf numFmtId="41" fontId="3" fillId="16" borderId="0" xfId="1" applyNumberFormat="1" applyFont="1" applyFill="1" applyBorder="1" applyAlignment="1" applyProtection="1">
      <alignment horizontal="center"/>
    </xf>
    <xf numFmtId="9" fontId="3" fillId="16" borderId="0" xfId="2" applyFont="1" applyFill="1" applyBorder="1" applyAlignment="1" applyProtection="1">
      <alignment horizontal="center"/>
    </xf>
    <xf numFmtId="0" fontId="14" fillId="16" borderId="0" xfId="1" applyNumberFormat="1" applyFont="1" applyFill="1" applyAlignment="1" applyProtection="1">
      <alignment wrapText="1"/>
      <protection locked="0"/>
    </xf>
    <xf numFmtId="0" fontId="0" fillId="16" borderId="0" xfId="0" applyFill="1" applyAlignment="1">
      <alignment wrapText="1"/>
    </xf>
    <xf numFmtId="0" fontId="0" fillId="16" borderId="0" xfId="0" applyFill="1" applyProtection="1">
      <protection locked="0"/>
    </xf>
    <xf numFmtId="4" fontId="7" fillId="16" borderId="0" xfId="0" applyNumberFormat="1" applyFont="1" applyFill="1" applyBorder="1" applyProtection="1">
      <protection locked="0"/>
    </xf>
    <xf numFmtId="41" fontId="7" fillId="16" borderId="0" xfId="1" applyNumberFormat="1" applyFont="1" applyFill="1" applyBorder="1" applyAlignment="1" applyProtection="1">
      <alignment horizontal="center"/>
      <protection locked="0"/>
    </xf>
    <xf numFmtId="0" fontId="1" fillId="16" borderId="0" xfId="0" applyNumberFormat="1" applyFont="1" applyFill="1" applyAlignment="1" applyProtection="1">
      <alignment wrapText="1"/>
      <protection locked="0"/>
    </xf>
    <xf numFmtId="0" fontId="7" fillId="16" borderId="0" xfId="0" applyFont="1" applyFill="1" applyBorder="1" applyAlignment="1" applyProtection="1">
      <alignment horizontal="center"/>
      <protection locked="0"/>
    </xf>
    <xf numFmtId="0" fontId="1" fillId="16" borderId="0" xfId="0" applyFont="1" applyFill="1" applyBorder="1" applyAlignment="1" applyProtection="1">
      <alignment horizontal="center"/>
      <protection locked="0"/>
    </xf>
    <xf numFmtId="0" fontId="7" fillId="16" borderId="0" xfId="0" applyFont="1" applyFill="1" applyProtection="1">
      <protection locked="0"/>
    </xf>
    <xf numFmtId="4" fontId="3" fillId="16" borderId="8" xfId="0" applyNumberFormat="1" applyFont="1" applyFill="1" applyBorder="1" applyProtection="1">
      <protection locked="0"/>
    </xf>
    <xf numFmtId="4" fontId="3" fillId="16" borderId="3" xfId="0" applyNumberFormat="1" applyFont="1" applyFill="1" applyBorder="1" applyProtection="1">
      <protection locked="0"/>
    </xf>
    <xf numFmtId="41" fontId="3" fillId="16" borderId="3" xfId="1" applyNumberFormat="1" applyFont="1" applyFill="1" applyBorder="1" applyAlignment="1" applyProtection="1">
      <alignment horizontal="center"/>
    </xf>
    <xf numFmtId="0" fontId="3" fillId="16" borderId="0" xfId="0" applyNumberFormat="1" applyFont="1" applyFill="1" applyAlignment="1" applyProtection="1">
      <alignment wrapText="1"/>
      <protection locked="0"/>
    </xf>
    <xf numFmtId="0" fontId="3" fillId="16" borderId="0" xfId="0" applyFont="1" applyFill="1" applyProtection="1">
      <protection locked="0"/>
    </xf>
    <xf numFmtId="44" fontId="1" fillId="16" borderId="0" xfId="1" applyFont="1" applyFill="1" applyProtection="1">
      <protection locked="0"/>
    </xf>
    <xf numFmtId="4" fontId="1" fillId="16" borderId="9" xfId="0" applyNumberFormat="1" applyFont="1" applyFill="1" applyBorder="1" applyProtection="1">
      <protection locked="0"/>
    </xf>
    <xf numFmtId="4" fontId="0" fillId="16" borderId="0" xfId="0" applyNumberFormat="1" applyFill="1" applyBorder="1" applyProtection="1">
      <protection locked="0"/>
    </xf>
    <xf numFmtId="41" fontId="1" fillId="16" borderId="0" xfId="1" applyNumberFormat="1" applyFont="1" applyFill="1" applyBorder="1" applyAlignment="1" applyProtection="1">
      <alignment horizontal="center"/>
      <protection locked="0"/>
    </xf>
    <xf numFmtId="0" fontId="3" fillId="16" borderId="0" xfId="1" applyNumberFormat="1" applyFont="1" applyFill="1" applyAlignment="1" applyProtection="1">
      <alignment wrapText="1"/>
      <protection locked="0"/>
    </xf>
    <xf numFmtId="41" fontId="18" fillId="0" borderId="0" xfId="1" applyNumberFormat="1" applyFont="1" applyBorder="1" applyAlignment="1" applyProtection="1">
      <protection locked="0"/>
    </xf>
    <xf numFmtId="41" fontId="18" fillId="11" borderId="0" xfId="1" applyNumberFormat="1" applyFont="1" applyFill="1" applyBorder="1" applyAlignment="1" applyProtection="1">
      <alignment horizontal="center"/>
      <protection locked="0"/>
    </xf>
    <xf numFmtId="41" fontId="18" fillId="8" borderId="0" xfId="1" applyNumberFormat="1" applyFont="1" applyFill="1" applyBorder="1" applyAlignment="1" applyProtection="1">
      <alignment horizontal="center"/>
      <protection locked="0"/>
    </xf>
    <xf numFmtId="0" fontId="3" fillId="0" borderId="0" xfId="0" applyFont="1" applyAlignment="1" applyProtection="1">
      <protection locked="0"/>
    </xf>
    <xf numFmtId="49" fontId="3" fillId="0" borderId="0" xfId="0" applyNumberFormat="1" applyFont="1" applyAlignment="1" applyProtection="1">
      <protection locked="0"/>
    </xf>
    <xf numFmtId="0" fontId="2" fillId="10" borderId="1" xfId="0" applyFont="1" applyFill="1" applyBorder="1" applyAlignment="1" applyProtection="1">
      <alignment horizontal="center"/>
      <protection locked="0"/>
    </xf>
    <xf numFmtId="9" fontId="2" fillId="10" borderId="1" xfId="2" applyFont="1" applyFill="1" applyBorder="1" applyAlignment="1" applyProtection="1">
      <alignment horizontal="center"/>
      <protection locked="0"/>
    </xf>
    <xf numFmtId="41" fontId="19" fillId="17" borderId="0" xfId="1" applyNumberFormat="1" applyFont="1" applyFill="1" applyBorder="1" applyAlignment="1" applyProtection="1">
      <alignment horizontal="center"/>
    </xf>
    <xf numFmtId="41" fontId="3" fillId="17" borderId="0" xfId="1" applyNumberFormat="1" applyFont="1" applyFill="1" applyBorder="1" applyAlignment="1" applyProtection="1">
      <alignment horizontal="center"/>
    </xf>
    <xf numFmtId="41" fontId="20" fillId="0" borderId="11" xfId="1" applyNumberFormat="1" applyFont="1" applyFill="1" applyBorder="1" applyAlignment="1" applyProtection="1">
      <alignment horizontal="center"/>
    </xf>
    <xf numFmtId="41" fontId="16" fillId="17" borderId="0" xfId="1" applyNumberFormat="1" applyFont="1" applyFill="1" applyBorder="1" applyAlignment="1" applyProtection="1">
      <alignment horizontal="center"/>
    </xf>
    <xf numFmtId="41" fontId="3" fillId="17" borderId="11" xfId="1" applyNumberFormat="1" applyFont="1" applyFill="1" applyBorder="1" applyAlignment="1" applyProtection="1">
      <alignment horizontal="center"/>
    </xf>
    <xf numFmtId="41" fontId="20" fillId="17" borderId="0" xfId="1" applyNumberFormat="1" applyFont="1" applyFill="1" applyBorder="1" applyAlignment="1" applyProtection="1">
      <alignment horizontal="center"/>
    </xf>
  </cellXfs>
  <cellStyles count="4">
    <cellStyle name="Comma" xfId="3" builtinId="3"/>
    <cellStyle name="Currency" xfId="1" builtinId="4"/>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CCCCFF"/>
      <color rgb="FFCCFF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Z84"/>
  <sheetViews>
    <sheetView tabSelected="1" topLeftCell="C1" zoomScaleNormal="100" zoomScaleSheetLayoutView="61" workbookViewId="0">
      <selection activeCell="C72" sqref="C72"/>
    </sheetView>
  </sheetViews>
  <sheetFormatPr baseColWidth="10" defaultColWidth="9.1640625" defaultRowHeight="13" x14ac:dyDescent="0.15"/>
  <cols>
    <col min="1" max="1" width="48.5" style="2" customWidth="1"/>
    <col min="2" max="2" width="14.1640625" style="2" customWidth="1"/>
    <col min="3" max="3" width="20.33203125" style="19" customWidth="1"/>
    <col min="4" max="4" width="21.6640625" style="19" customWidth="1"/>
    <col min="5" max="5" width="21.83203125" style="19" customWidth="1"/>
    <col min="6" max="6" width="22" style="19" customWidth="1"/>
    <col min="7" max="7" width="13.83203125" style="103" bestFit="1" customWidth="1"/>
    <col min="8" max="9" width="13.83203125" style="103" customWidth="1"/>
    <col min="10" max="10" width="12.33203125" style="124" customWidth="1"/>
    <col min="11" max="11" width="186.83203125" style="155" customWidth="1"/>
    <col min="12" max="17" width="13.5" style="169" customWidth="1"/>
    <col min="18" max="18" width="10.33203125" style="2" bestFit="1" customWidth="1"/>
    <col min="19" max="19" width="12.33203125" style="2" bestFit="1" customWidth="1"/>
    <col min="20" max="20" width="10.33203125" style="2" bestFit="1" customWidth="1"/>
    <col min="21" max="24" width="9.6640625" style="2" bestFit="1" customWidth="1"/>
    <col min="25" max="16384" width="9.1640625" style="2"/>
  </cols>
  <sheetData>
    <row r="1" spans="1:24" ht="42" x14ac:dyDescent="0.15">
      <c r="A1" s="1" t="s">
        <v>22</v>
      </c>
      <c r="B1" s="224" t="s">
        <v>37</v>
      </c>
      <c r="C1" s="224"/>
      <c r="D1" s="224"/>
      <c r="E1" s="224"/>
      <c r="F1" s="224"/>
      <c r="G1" s="224"/>
      <c r="H1" s="224"/>
      <c r="I1" s="224"/>
      <c r="J1" s="224"/>
      <c r="K1" s="224"/>
      <c r="L1" s="168" t="s">
        <v>108</v>
      </c>
      <c r="M1" s="168" t="s">
        <v>105</v>
      </c>
      <c r="N1" s="168" t="s">
        <v>107</v>
      </c>
      <c r="O1" s="168" t="s">
        <v>106</v>
      </c>
      <c r="P1" s="168" t="s">
        <v>109</v>
      </c>
      <c r="Q1" s="168" t="s">
        <v>105</v>
      </c>
    </row>
    <row r="2" spans="1:24" x14ac:dyDescent="0.15">
      <c r="A2" s="1" t="s">
        <v>6</v>
      </c>
      <c r="B2" s="225" t="s">
        <v>38</v>
      </c>
      <c r="C2" s="225"/>
      <c r="D2" s="225"/>
      <c r="E2" s="225"/>
      <c r="F2" s="225"/>
      <c r="G2" s="225"/>
      <c r="H2" s="225"/>
      <c r="I2" s="225"/>
      <c r="J2" s="225"/>
      <c r="K2" s="225"/>
    </row>
    <row r="3" spans="1:24" x14ac:dyDescent="0.15">
      <c r="A3" s="1" t="s">
        <v>21</v>
      </c>
      <c r="B3" s="37" t="s">
        <v>39</v>
      </c>
      <c r="C3" s="38"/>
      <c r="D3" s="38"/>
      <c r="E3" s="38"/>
      <c r="F3" s="38"/>
      <c r="G3" s="101"/>
      <c r="H3" s="101"/>
      <c r="I3" s="101"/>
      <c r="J3" s="122"/>
      <c r="K3" s="156"/>
    </row>
    <row r="4" spans="1:24" x14ac:dyDescent="0.15">
      <c r="A4" s="8" t="s">
        <v>20</v>
      </c>
      <c r="B4" s="127" t="s">
        <v>65</v>
      </c>
      <c r="C4" s="127"/>
      <c r="D4" s="20"/>
      <c r="E4" s="20"/>
      <c r="F4" s="20"/>
      <c r="G4" s="102"/>
      <c r="H4" s="102"/>
      <c r="I4" s="102"/>
      <c r="J4" s="123" t="s">
        <v>68</v>
      </c>
      <c r="T4" s="9"/>
      <c r="U4" s="9"/>
      <c r="V4" s="9"/>
      <c r="W4" s="23"/>
      <c r="X4" s="23"/>
    </row>
    <row r="5" spans="1:24" ht="14" thickBot="1" x14ac:dyDescent="0.2">
      <c r="A5" s="8"/>
      <c r="B5" s="20"/>
      <c r="C5" s="120" t="s">
        <v>57</v>
      </c>
      <c r="D5" s="120" t="s">
        <v>58</v>
      </c>
      <c r="E5" s="120" t="s">
        <v>59</v>
      </c>
      <c r="F5" s="120" t="s">
        <v>60</v>
      </c>
      <c r="G5" s="102"/>
      <c r="H5" s="102"/>
      <c r="I5" s="102"/>
      <c r="J5" s="123"/>
      <c r="T5" s="9"/>
      <c r="U5" s="9"/>
      <c r="V5" s="9"/>
      <c r="W5" s="23"/>
      <c r="X5" s="23"/>
    </row>
    <row r="6" spans="1:24" s="3" customFormat="1" x14ac:dyDescent="0.15">
      <c r="A6" s="55"/>
      <c r="B6" s="56"/>
      <c r="C6" s="119" t="s">
        <v>14</v>
      </c>
      <c r="D6" s="119" t="s">
        <v>34</v>
      </c>
      <c r="E6" s="119" t="s">
        <v>35</v>
      </c>
      <c r="F6" s="119" t="s">
        <v>36</v>
      </c>
      <c r="G6" s="57" t="s">
        <v>17</v>
      </c>
      <c r="H6" s="192"/>
      <c r="I6" s="192"/>
      <c r="J6" s="125" t="s">
        <v>53</v>
      </c>
      <c r="K6" s="157"/>
      <c r="L6" s="169"/>
      <c r="M6" s="169"/>
      <c r="N6" s="169"/>
      <c r="O6" s="169"/>
      <c r="P6" s="169"/>
      <c r="Q6" s="169"/>
      <c r="R6" s="226" t="s">
        <v>45</v>
      </c>
      <c r="S6" s="226"/>
    </row>
    <row r="7" spans="1:24" s="7" customFormat="1" ht="28" x14ac:dyDescent="0.15">
      <c r="A7" s="58" t="s">
        <v>4</v>
      </c>
      <c r="B7" s="49" t="s">
        <v>27</v>
      </c>
      <c r="C7" s="33"/>
      <c r="D7" s="33"/>
      <c r="E7" s="33"/>
      <c r="F7" s="33"/>
      <c r="G7" s="112"/>
      <c r="H7" s="193"/>
      <c r="I7" s="193"/>
      <c r="J7" s="126"/>
      <c r="K7" s="158"/>
      <c r="L7" s="169"/>
      <c r="M7" s="169"/>
      <c r="N7" s="169"/>
      <c r="O7" s="169"/>
      <c r="P7" s="169"/>
      <c r="Q7" s="169"/>
      <c r="R7" s="227">
        <f>(G21+G22+G72)/(G14+G17+G18+G19+G20)</f>
        <v>0.50885572357881259</v>
      </c>
      <c r="S7" s="227"/>
    </row>
    <row r="8" spans="1:24" ht="14" x14ac:dyDescent="0.15">
      <c r="A8" s="59" t="s">
        <v>40</v>
      </c>
      <c r="B8" s="116">
        <f>103500*1.05</f>
        <v>108675</v>
      </c>
      <c r="C8" s="39">
        <f>(B8/9*2)+(B8*0.2)</f>
        <v>45885</v>
      </c>
      <c r="D8" s="39">
        <f>C8*1.03</f>
        <v>47261.55</v>
      </c>
      <c r="E8" s="39">
        <f>D8*1.03</f>
        <v>48679.396500000003</v>
      </c>
      <c r="F8" s="39">
        <f>E8*1.03</f>
        <v>50139.778395000001</v>
      </c>
      <c r="G8" s="70">
        <f>SUM(C8:F8)</f>
        <v>191965.72489500002</v>
      </c>
      <c r="H8" s="228"/>
      <c r="I8" s="51"/>
      <c r="J8" s="121"/>
      <c r="K8" s="159" t="s">
        <v>50</v>
      </c>
      <c r="T8" s="2" t="s">
        <v>67</v>
      </c>
    </row>
    <row r="9" spans="1:24" ht="14" x14ac:dyDescent="0.15">
      <c r="A9" s="59" t="s">
        <v>41</v>
      </c>
      <c r="B9" s="116">
        <f>131375*1.05</f>
        <v>137943.75</v>
      </c>
      <c r="C9" s="39">
        <f>B9/12*4</f>
        <v>45981.25</v>
      </c>
      <c r="D9" s="39">
        <f t="shared" ref="D9:F9" si="0">C9*1.03</f>
        <v>47360.6875</v>
      </c>
      <c r="E9" s="39">
        <f t="shared" si="0"/>
        <v>48781.508125</v>
      </c>
      <c r="F9" s="39">
        <f t="shared" si="0"/>
        <v>50244.953368750001</v>
      </c>
      <c r="G9" s="70">
        <f t="shared" ref="G9:G79" si="1">SUM(C9:F9)</f>
        <v>192368.39899374999</v>
      </c>
      <c r="H9" s="228"/>
      <c r="I9" s="51"/>
      <c r="J9" s="121"/>
      <c r="K9" s="159" t="s">
        <v>54</v>
      </c>
    </row>
    <row r="10" spans="1:24" ht="14" x14ac:dyDescent="0.15">
      <c r="A10" s="59" t="s">
        <v>42</v>
      </c>
      <c r="B10" s="116">
        <f>83000*1.05</f>
        <v>87150</v>
      </c>
      <c r="C10" s="39">
        <f>B10/9*2+B10*0.1</f>
        <v>28081.666666666668</v>
      </c>
      <c r="D10" s="39">
        <f t="shared" ref="D10:F10" si="2">C10*1.03</f>
        <v>28924.116666666669</v>
      </c>
      <c r="E10" s="39">
        <f t="shared" si="2"/>
        <v>29791.840166666669</v>
      </c>
      <c r="F10" s="39">
        <f t="shared" si="2"/>
        <v>30685.59537166667</v>
      </c>
      <c r="G10" s="70">
        <f t="shared" si="1"/>
        <v>117483.21887166669</v>
      </c>
      <c r="H10" s="228"/>
      <c r="I10" s="51"/>
      <c r="J10" s="121"/>
      <c r="K10" s="159" t="s">
        <v>52</v>
      </c>
    </row>
    <row r="11" spans="1:24" ht="14" x14ac:dyDescent="0.15">
      <c r="A11" s="59" t="s">
        <v>43</v>
      </c>
      <c r="B11" s="116">
        <f>173000*1.05</f>
        <v>181650</v>
      </c>
      <c r="C11" s="39">
        <f>B11*0.02</f>
        <v>3633</v>
      </c>
      <c r="D11" s="39">
        <f t="shared" ref="D11:F11" si="3">C11*1.03</f>
        <v>3741.9900000000002</v>
      </c>
      <c r="E11" s="39">
        <f t="shared" si="3"/>
        <v>3854.2497000000003</v>
      </c>
      <c r="F11" s="39">
        <f t="shared" si="3"/>
        <v>3969.8771910000005</v>
      </c>
      <c r="G11" s="70">
        <f>SUM(C11:F11)</f>
        <v>15199.116891000001</v>
      </c>
      <c r="H11" s="228"/>
      <c r="I11" s="51">
        <v>7600</v>
      </c>
      <c r="J11" s="121"/>
      <c r="K11" s="159" t="s">
        <v>51</v>
      </c>
    </row>
    <row r="12" spans="1:24" s="204" customFormat="1" ht="14" x14ac:dyDescent="0.15">
      <c r="A12" s="196" t="s">
        <v>69</v>
      </c>
      <c r="B12" s="197"/>
      <c r="C12" s="198">
        <v>20000</v>
      </c>
      <c r="D12" s="198">
        <f t="shared" ref="D12" si="4">C12*1.03</f>
        <v>20600</v>
      </c>
      <c r="E12" s="198">
        <f t="shared" ref="E12" si="5">D12*1.03</f>
        <v>21218</v>
      </c>
      <c r="F12" s="198">
        <f t="shared" ref="F12" si="6">E12*1.03</f>
        <v>21854.54</v>
      </c>
      <c r="G12" s="199">
        <f t="shared" si="1"/>
        <v>83672.540000000008</v>
      </c>
      <c r="H12" s="228"/>
      <c r="I12" s="200"/>
      <c r="J12" s="201"/>
      <c r="K12" s="202" t="s">
        <v>52</v>
      </c>
      <c r="L12" s="203"/>
      <c r="M12" s="203"/>
      <c r="N12" s="203"/>
      <c r="O12" s="203"/>
      <c r="P12" s="203"/>
      <c r="Q12" s="203"/>
    </row>
    <row r="13" spans="1:24" x14ac:dyDescent="0.15">
      <c r="A13" s="59"/>
      <c r="B13" s="11"/>
      <c r="C13" s="39">
        <f>B13/9</f>
        <v>0</v>
      </c>
      <c r="D13" s="39">
        <f t="shared" ref="D13:F13" si="7">C13/9</f>
        <v>0</v>
      </c>
      <c r="E13" s="39">
        <f t="shared" si="7"/>
        <v>0</v>
      </c>
      <c r="F13" s="39">
        <f t="shared" si="7"/>
        <v>0</v>
      </c>
      <c r="G13" s="70">
        <f t="shared" si="1"/>
        <v>0</v>
      </c>
      <c r="H13" s="228"/>
      <c r="I13" s="51"/>
      <c r="J13" s="121"/>
    </row>
    <row r="14" spans="1:24" s="4" customFormat="1" x14ac:dyDescent="0.15">
      <c r="A14" s="78" t="s">
        <v>2</v>
      </c>
      <c r="B14" s="53"/>
      <c r="C14" s="54">
        <f>SUM(C8:C13)</f>
        <v>143580.91666666669</v>
      </c>
      <c r="D14" s="54">
        <f>SUM(D8:D13)</f>
        <v>147888.34416666668</v>
      </c>
      <c r="E14" s="54">
        <f>SUM(E8:E13)</f>
        <v>152324.99449166667</v>
      </c>
      <c r="F14" s="54">
        <f>SUM(F8:F13)</f>
        <v>156894.74432641666</v>
      </c>
      <c r="G14" s="70">
        <f t="shared" si="1"/>
        <v>600688.99965141667</v>
      </c>
      <c r="H14" s="228"/>
      <c r="I14" s="51"/>
      <c r="J14" s="121"/>
      <c r="K14" s="160"/>
      <c r="L14" s="169"/>
      <c r="M14" s="169"/>
      <c r="N14" s="169"/>
      <c r="O14" s="169"/>
      <c r="P14" s="169"/>
      <c r="Q14" s="169"/>
    </row>
    <row r="15" spans="1:24" s="4" customFormat="1" x14ac:dyDescent="0.15">
      <c r="A15" s="113"/>
      <c r="B15" s="83"/>
      <c r="C15" s="84"/>
      <c r="D15" s="84"/>
      <c r="E15" s="84"/>
      <c r="F15" s="84"/>
      <c r="G15" s="70">
        <f t="shared" si="1"/>
        <v>0</v>
      </c>
      <c r="H15" s="228"/>
      <c r="I15" s="201">
        <f>SUM(G21+G22+G72)/(G14+G17+G18+G19+G20)</f>
        <v>0.50885572357881259</v>
      </c>
      <c r="J15" s="121"/>
      <c r="K15" s="160"/>
      <c r="L15" s="169"/>
      <c r="M15" s="169"/>
      <c r="N15" s="169"/>
      <c r="O15" s="169"/>
      <c r="P15" s="169"/>
      <c r="Q15" s="169"/>
    </row>
    <row r="16" spans="1:24" x14ac:dyDescent="0.15">
      <c r="A16" s="60" t="s">
        <v>3</v>
      </c>
      <c r="B16" s="45"/>
      <c r="C16" s="46"/>
      <c r="D16" s="46"/>
      <c r="E16" s="46"/>
      <c r="F16" s="46"/>
      <c r="G16" s="70">
        <f t="shared" si="1"/>
        <v>0</v>
      </c>
      <c r="H16" s="228"/>
      <c r="I16" s="51"/>
      <c r="J16" s="121"/>
    </row>
    <row r="17" spans="1:22" ht="14" x14ac:dyDescent="0.15">
      <c r="A17" s="59" t="s">
        <v>74</v>
      </c>
      <c r="B17" s="11">
        <f>66000*2</f>
        <v>132000</v>
      </c>
      <c r="C17" s="222">
        <f>B17/12*9</f>
        <v>99000</v>
      </c>
      <c r="D17" s="222">
        <f>B17*1.03</f>
        <v>135960</v>
      </c>
      <c r="E17" s="222">
        <f t="shared" ref="E17:F20" si="8">D17*1.03</f>
        <v>140038.80000000002</v>
      </c>
      <c r="F17" s="222">
        <f t="shared" si="8"/>
        <v>144239.96400000001</v>
      </c>
      <c r="G17" s="70">
        <f t="shared" si="1"/>
        <v>519238.76400000008</v>
      </c>
      <c r="H17" s="228"/>
      <c r="I17" s="51"/>
      <c r="J17" s="121"/>
      <c r="K17" s="155" t="s">
        <v>77</v>
      </c>
    </row>
    <row r="18" spans="1:22" ht="28" x14ac:dyDescent="0.15">
      <c r="A18" s="174"/>
      <c r="B18" s="173">
        <v>0</v>
      </c>
      <c r="C18" s="151"/>
      <c r="D18" s="151"/>
      <c r="E18" s="172">
        <f>B18</f>
        <v>0</v>
      </c>
      <c r="F18" s="172">
        <f>E18*2</f>
        <v>0</v>
      </c>
      <c r="G18" s="171">
        <f t="shared" si="1"/>
        <v>0</v>
      </c>
      <c r="H18" s="228"/>
      <c r="I18" s="180"/>
      <c r="J18" s="121"/>
      <c r="K18" s="155" t="s">
        <v>87</v>
      </c>
    </row>
    <row r="19" spans="1:22" ht="61" customHeight="1" x14ac:dyDescent="0.15">
      <c r="A19" s="59" t="s">
        <v>117</v>
      </c>
      <c r="B19" s="11">
        <v>70000</v>
      </c>
      <c r="C19" s="61">
        <f>B19/12*9</f>
        <v>52500</v>
      </c>
      <c r="D19" s="61">
        <f>B19*1.03</f>
        <v>72100</v>
      </c>
      <c r="E19" s="61">
        <f t="shared" si="8"/>
        <v>74263</v>
      </c>
      <c r="F19" s="61">
        <f t="shared" si="8"/>
        <v>76490.89</v>
      </c>
      <c r="G19" s="70">
        <f t="shared" si="1"/>
        <v>275353.89</v>
      </c>
      <c r="H19" s="228"/>
      <c r="I19" s="51"/>
      <c r="J19" s="121"/>
      <c r="K19" s="155" t="s">
        <v>79</v>
      </c>
    </row>
    <row r="20" spans="1:22" ht="14" x14ac:dyDescent="0.15">
      <c r="A20" s="59" t="s">
        <v>49</v>
      </c>
      <c r="B20" s="11">
        <v>40000</v>
      </c>
      <c r="C20" s="61">
        <f>B20/12*9</f>
        <v>30000</v>
      </c>
      <c r="D20" s="61">
        <f>B20*1.03</f>
        <v>41200</v>
      </c>
      <c r="E20" s="61">
        <f t="shared" si="8"/>
        <v>42436</v>
      </c>
      <c r="F20" s="61">
        <f t="shared" si="8"/>
        <v>43709.08</v>
      </c>
      <c r="G20" s="70">
        <f t="shared" si="1"/>
        <v>157345.08000000002</v>
      </c>
      <c r="H20" s="228"/>
      <c r="I20" s="51"/>
      <c r="J20" s="121"/>
      <c r="K20" s="155" t="s">
        <v>78</v>
      </c>
    </row>
    <row r="21" spans="1:22" ht="14" x14ac:dyDescent="0.15">
      <c r="A21" s="59" t="s">
        <v>120</v>
      </c>
      <c r="B21" s="11">
        <v>22</v>
      </c>
      <c r="C21" s="222">
        <f>B21*20*4*9*5</f>
        <v>79200</v>
      </c>
      <c r="D21" s="222">
        <f>B21*20*4*12*5</f>
        <v>105600</v>
      </c>
      <c r="E21" s="222">
        <f>D21</f>
        <v>105600</v>
      </c>
      <c r="F21" s="222">
        <f>E21</f>
        <v>105600</v>
      </c>
      <c r="G21" s="70">
        <f t="shared" si="1"/>
        <v>396000</v>
      </c>
      <c r="H21" s="229"/>
      <c r="I21" s="51"/>
      <c r="J21" s="121"/>
      <c r="K21" s="155" t="s">
        <v>80</v>
      </c>
    </row>
    <row r="22" spans="1:22" ht="14" x14ac:dyDescent="0.15">
      <c r="A22" s="117" t="s">
        <v>118</v>
      </c>
      <c r="B22" s="11">
        <v>12</v>
      </c>
      <c r="C22" s="39">
        <f>B22*10*4*9*4+B22*20*4*3*4</f>
        <v>28800</v>
      </c>
      <c r="D22" s="39">
        <f>B22*20*4*3*4+B22*10*4*9*4</f>
        <v>28800</v>
      </c>
      <c r="E22" s="39">
        <f>D22</f>
        <v>28800</v>
      </c>
      <c r="F22" s="39">
        <f>E22</f>
        <v>28800</v>
      </c>
      <c r="G22" s="230">
        <f t="shared" si="1"/>
        <v>115200</v>
      </c>
      <c r="H22" s="229"/>
      <c r="I22" s="51"/>
      <c r="J22" s="121"/>
      <c r="K22" s="155" t="s">
        <v>81</v>
      </c>
      <c r="U22" s="29"/>
      <c r="V22" s="29"/>
    </row>
    <row r="23" spans="1:22" s="6" customFormat="1" ht="16.5" customHeight="1" x14ac:dyDescent="0.15">
      <c r="A23" s="62" t="s">
        <v>33</v>
      </c>
      <c r="B23" s="18"/>
      <c r="C23" s="40">
        <f>SUM(C14,C17,C18,C19,C20)*0.36</f>
        <v>117029.13</v>
      </c>
      <c r="D23" s="40">
        <f>SUM(D14,D17,D18,D19,D20)*0.36</f>
        <v>142973.4039</v>
      </c>
      <c r="E23" s="40">
        <f>SUM(E14,E17,E18,E19,E20)*0.36</f>
        <v>147262.60601700001</v>
      </c>
      <c r="F23" s="40">
        <f>SUM(F14,F17,F18,F19,F20)*0.36</f>
        <v>151680.48419751</v>
      </c>
      <c r="G23" s="70">
        <f t="shared" si="1"/>
        <v>558945.62411451002</v>
      </c>
      <c r="H23" s="229"/>
      <c r="I23" s="51"/>
      <c r="J23" s="121"/>
      <c r="K23" s="154"/>
      <c r="L23" s="169"/>
      <c r="M23" s="169"/>
      <c r="N23" s="169"/>
      <c r="O23" s="169"/>
      <c r="P23" s="169"/>
      <c r="Q23" s="169"/>
      <c r="S23" s="32"/>
    </row>
    <row r="24" spans="1:22" s="6" customFormat="1" ht="16.5" customHeight="1" x14ac:dyDescent="0.15">
      <c r="A24" s="62" t="s">
        <v>28</v>
      </c>
      <c r="B24" s="18"/>
      <c r="C24" s="40">
        <f>(C21)/12*3*0.0765+B22*20*4*3*5*0.0765</f>
        <v>2616.3000000000002</v>
      </c>
      <c r="D24" s="40">
        <f>C24</f>
        <v>2616.3000000000002</v>
      </c>
      <c r="E24" s="40">
        <f>D24</f>
        <v>2616.3000000000002</v>
      </c>
      <c r="F24" s="40">
        <f>E24</f>
        <v>2616.3000000000002</v>
      </c>
      <c r="G24" s="70">
        <f t="shared" si="1"/>
        <v>10465.200000000001</v>
      </c>
      <c r="H24" s="229"/>
      <c r="I24" s="51"/>
      <c r="J24" s="121"/>
      <c r="K24" s="154"/>
      <c r="L24" s="169"/>
      <c r="M24" s="169"/>
      <c r="N24" s="169"/>
      <c r="O24" s="169"/>
      <c r="P24" s="169"/>
      <c r="Q24" s="169"/>
      <c r="S24" s="32"/>
    </row>
    <row r="25" spans="1:22" s="1" customFormat="1" x14ac:dyDescent="0.15">
      <c r="A25" s="78" t="s">
        <v>7</v>
      </c>
      <c r="B25" s="42"/>
      <c r="C25" s="43">
        <f>SUM(C14,C17:C24)</f>
        <v>552726.34666666668</v>
      </c>
      <c r="D25" s="43">
        <f t="shared" ref="D25:F25" si="9">SUM(D14,D17:D24)</f>
        <v>677138.04806666682</v>
      </c>
      <c r="E25" s="43">
        <f t="shared" si="9"/>
        <v>693341.70050866681</v>
      </c>
      <c r="F25" s="43">
        <f t="shared" si="9"/>
        <v>710031.46252392675</v>
      </c>
      <c r="G25" s="70">
        <f t="shared" si="1"/>
        <v>2633237.5577659272</v>
      </c>
      <c r="H25" s="229"/>
      <c r="I25" s="51"/>
      <c r="J25" s="121">
        <f>G25/G79</f>
        <v>0.11116633331506308</v>
      </c>
      <c r="K25" s="161"/>
      <c r="L25" s="169"/>
      <c r="M25" s="169"/>
      <c r="N25" s="169"/>
      <c r="O25" s="169"/>
      <c r="P25" s="169"/>
      <c r="Q25" s="169"/>
    </row>
    <row r="26" spans="1:22" x14ac:dyDescent="0.15">
      <c r="A26" s="63"/>
      <c r="B26" s="12"/>
      <c r="C26" s="85"/>
      <c r="D26" s="85"/>
      <c r="E26" s="85"/>
      <c r="F26" s="85"/>
      <c r="G26" s="70">
        <f t="shared" si="1"/>
        <v>0</v>
      </c>
      <c r="H26" s="229"/>
      <c r="I26" s="51"/>
      <c r="J26" s="121"/>
    </row>
    <row r="27" spans="1:22" s="3" customFormat="1" x14ac:dyDescent="0.15">
      <c r="A27" s="64" t="s">
        <v>29</v>
      </c>
      <c r="B27" s="22"/>
      <c r="C27" s="86"/>
      <c r="D27" s="86"/>
      <c r="E27" s="86"/>
      <c r="F27" s="86"/>
      <c r="G27" s="70">
        <f t="shared" si="1"/>
        <v>0</v>
      </c>
      <c r="H27" s="229"/>
      <c r="I27" s="51"/>
      <c r="J27" s="121"/>
      <c r="K27" s="157"/>
      <c r="L27" s="169"/>
      <c r="M27" s="169"/>
      <c r="N27" s="169"/>
      <c r="O27" s="169"/>
      <c r="P27" s="169"/>
      <c r="Q27" s="169"/>
    </row>
    <row r="28" spans="1:22" ht="14" x14ac:dyDescent="0.15">
      <c r="A28" s="65" t="s">
        <v>5</v>
      </c>
      <c r="B28" s="13"/>
      <c r="C28" s="87">
        <v>200000</v>
      </c>
      <c r="D28" s="181">
        <v>700000</v>
      </c>
      <c r="E28" s="87">
        <v>0</v>
      </c>
      <c r="F28" s="87">
        <v>0</v>
      </c>
      <c r="G28" s="70">
        <f t="shared" si="1"/>
        <v>900000</v>
      </c>
      <c r="H28" s="229"/>
      <c r="I28" s="51"/>
      <c r="J28" s="121"/>
      <c r="K28" s="155" t="s">
        <v>82</v>
      </c>
    </row>
    <row r="29" spans="1:22" x14ac:dyDescent="0.15">
      <c r="A29" s="65" t="s">
        <v>1</v>
      </c>
      <c r="B29" s="52"/>
      <c r="C29" s="88">
        <v>0</v>
      </c>
      <c r="D29" s="88">
        <v>0</v>
      </c>
      <c r="E29" s="88">
        <v>0</v>
      </c>
      <c r="F29" s="88">
        <v>0</v>
      </c>
      <c r="G29" s="70">
        <f t="shared" si="1"/>
        <v>0</v>
      </c>
      <c r="H29" s="229"/>
      <c r="I29" s="51"/>
      <c r="J29" s="121"/>
    </row>
    <row r="30" spans="1:22" s="1" customFormat="1" x14ac:dyDescent="0.15">
      <c r="A30" s="79" t="s">
        <v>8</v>
      </c>
      <c r="B30" s="44"/>
      <c r="C30" s="89">
        <f>SUM(C28:C29)</f>
        <v>200000</v>
      </c>
      <c r="D30" s="89">
        <f t="shared" ref="D30:F30" si="10">SUM(D28:D29)</f>
        <v>700000</v>
      </c>
      <c r="E30" s="89">
        <f t="shared" si="10"/>
        <v>0</v>
      </c>
      <c r="F30" s="89">
        <f t="shared" si="10"/>
        <v>0</v>
      </c>
      <c r="G30" s="70">
        <f t="shared" si="1"/>
        <v>900000</v>
      </c>
      <c r="H30" s="229"/>
      <c r="I30" s="51"/>
      <c r="J30" s="121">
        <f>G30/G79</f>
        <v>3.7994938849512779E-2</v>
      </c>
      <c r="K30" s="161"/>
      <c r="L30" s="169"/>
      <c r="M30" s="169"/>
      <c r="N30" s="169"/>
      <c r="O30" s="169"/>
      <c r="P30" s="169"/>
      <c r="Q30" s="169"/>
      <c r="S30" s="27"/>
    </row>
    <row r="31" spans="1:22" x14ac:dyDescent="0.15">
      <c r="A31" s="63"/>
      <c r="B31" s="12"/>
      <c r="C31" s="85"/>
      <c r="D31" s="85"/>
      <c r="E31" s="85"/>
      <c r="F31" s="85"/>
      <c r="G31" s="70">
        <f t="shared" si="1"/>
        <v>0</v>
      </c>
      <c r="H31" s="229"/>
      <c r="I31" s="51"/>
      <c r="J31" s="121"/>
      <c r="S31" s="27"/>
      <c r="T31" s="28"/>
    </row>
    <row r="32" spans="1:22" x14ac:dyDescent="0.15">
      <c r="A32" s="66" t="s">
        <v>23</v>
      </c>
      <c r="B32" s="31"/>
      <c r="C32" s="34"/>
      <c r="D32" s="34"/>
      <c r="E32" s="34"/>
      <c r="F32" s="34"/>
      <c r="G32" s="70">
        <f t="shared" si="1"/>
        <v>0</v>
      </c>
      <c r="H32" s="229"/>
      <c r="I32" s="51"/>
      <c r="J32" s="121"/>
      <c r="S32" s="27"/>
      <c r="T32" s="28"/>
    </row>
    <row r="33" spans="1:26" ht="56" x14ac:dyDescent="0.15">
      <c r="A33" s="67" t="s">
        <v>15</v>
      </c>
      <c r="B33" s="14"/>
      <c r="C33" s="190">
        <v>71334</v>
      </c>
      <c r="D33" s="190">
        <f>76111-7361</f>
        <v>68750</v>
      </c>
      <c r="E33" s="190">
        <v>67222</v>
      </c>
      <c r="F33" s="190">
        <f>E33</f>
        <v>67222</v>
      </c>
      <c r="G33" s="70">
        <f t="shared" si="1"/>
        <v>274528</v>
      </c>
      <c r="H33" s="229"/>
      <c r="I33" s="51">
        <f>G33</f>
        <v>274528</v>
      </c>
      <c r="J33" s="164" t="s">
        <v>56</v>
      </c>
      <c r="K33" s="155" t="s">
        <v>83</v>
      </c>
      <c r="S33" s="27"/>
      <c r="T33" s="28"/>
    </row>
    <row r="34" spans="1:26" ht="15" customHeight="1" x14ac:dyDescent="0.15">
      <c r="A34" s="67" t="s">
        <v>16</v>
      </c>
      <c r="B34" s="14"/>
      <c r="C34" s="90">
        <v>0</v>
      </c>
      <c r="D34" s="90">
        <v>0</v>
      </c>
      <c r="E34" s="90">
        <v>0</v>
      </c>
      <c r="F34" s="90">
        <v>0</v>
      </c>
      <c r="G34" s="70">
        <f t="shared" si="1"/>
        <v>0</v>
      </c>
      <c r="H34" s="229"/>
      <c r="I34" s="51">
        <f t="shared" ref="I34:I56" si="11">G34</f>
        <v>0</v>
      </c>
      <c r="J34" s="121"/>
      <c r="S34" s="27"/>
    </row>
    <row r="35" spans="1:26" s="215" customFormat="1" x14ac:dyDescent="0.15">
      <c r="A35" s="211" t="s">
        <v>9</v>
      </c>
      <c r="B35" s="212"/>
      <c r="C35" s="213">
        <f>SUM(C33:C34)</f>
        <v>71334</v>
      </c>
      <c r="D35" s="213">
        <f t="shared" ref="D35:F35" si="12">SUM(D33:D34)</f>
        <v>68750</v>
      </c>
      <c r="E35" s="213">
        <f t="shared" si="12"/>
        <v>67222</v>
      </c>
      <c r="F35" s="213">
        <f t="shared" si="12"/>
        <v>67222</v>
      </c>
      <c r="G35" s="199">
        <f t="shared" si="1"/>
        <v>274528</v>
      </c>
      <c r="H35" s="229"/>
      <c r="I35" s="200">
        <f t="shared" si="11"/>
        <v>274528</v>
      </c>
      <c r="J35" s="201">
        <f>G35/G79</f>
        <v>1.1589638413865604E-2</v>
      </c>
      <c r="K35" s="214"/>
      <c r="L35" s="203"/>
      <c r="M35" s="203"/>
      <c r="N35" s="203"/>
      <c r="O35" s="203"/>
      <c r="P35" s="203"/>
      <c r="Q35" s="203"/>
      <c r="S35" s="216"/>
    </row>
    <row r="36" spans="1:26" x14ac:dyDescent="0.15">
      <c r="A36" s="63"/>
      <c r="B36" s="12"/>
      <c r="C36" s="91"/>
      <c r="D36" s="91"/>
      <c r="E36" s="91"/>
      <c r="F36" s="91"/>
      <c r="G36" s="70">
        <f t="shared" si="1"/>
        <v>0</v>
      </c>
      <c r="H36" s="229"/>
      <c r="I36" s="51">
        <f t="shared" si="11"/>
        <v>0</v>
      </c>
      <c r="J36" s="121"/>
      <c r="S36" s="24"/>
    </row>
    <row r="37" spans="1:26" s="3" customFormat="1" x14ac:dyDescent="0.15">
      <c r="A37" s="68" t="s">
        <v>24</v>
      </c>
      <c r="B37" s="47"/>
      <c r="C37" s="35"/>
      <c r="D37" s="35"/>
      <c r="E37" s="35"/>
      <c r="F37" s="35"/>
      <c r="G37" s="70">
        <f t="shared" si="1"/>
        <v>0</v>
      </c>
      <c r="H37" s="229"/>
      <c r="I37" s="51">
        <f t="shared" si="11"/>
        <v>0</v>
      </c>
      <c r="J37" s="121"/>
      <c r="K37" s="157"/>
      <c r="L37" s="169"/>
      <c r="M37" s="169"/>
      <c r="N37" s="169"/>
      <c r="O37" s="169"/>
      <c r="P37" s="169"/>
      <c r="Q37" s="169"/>
      <c r="S37" s="25"/>
    </row>
    <row r="38" spans="1:26" s="10" customFormat="1" x14ac:dyDescent="0.15">
      <c r="A38" s="69" t="s">
        <v>18</v>
      </c>
      <c r="B38" s="21"/>
      <c r="C38" s="92">
        <v>0</v>
      </c>
      <c r="D38" s="92">
        <v>0</v>
      </c>
      <c r="E38" s="92">
        <v>0</v>
      </c>
      <c r="F38" s="92">
        <v>0</v>
      </c>
      <c r="G38" s="70">
        <f t="shared" si="1"/>
        <v>0</v>
      </c>
      <c r="H38" s="229"/>
      <c r="I38" s="51">
        <f t="shared" si="11"/>
        <v>0</v>
      </c>
      <c r="J38" s="121"/>
      <c r="K38" s="162"/>
      <c r="L38" s="169"/>
      <c r="M38" s="169"/>
      <c r="N38" s="169"/>
      <c r="O38" s="169"/>
      <c r="P38" s="169"/>
      <c r="Q38" s="169"/>
      <c r="R38" s="30"/>
      <c r="S38" s="26"/>
    </row>
    <row r="39" spans="1:26" s="10" customFormat="1" x14ac:dyDescent="0.15">
      <c r="A39" s="71" t="s">
        <v>0</v>
      </c>
      <c r="B39" s="21"/>
      <c r="C39" s="93">
        <v>0</v>
      </c>
      <c r="D39" s="93">
        <v>0</v>
      </c>
      <c r="E39" s="93">
        <v>0</v>
      </c>
      <c r="F39" s="93">
        <v>0</v>
      </c>
      <c r="G39" s="70">
        <f t="shared" si="1"/>
        <v>0</v>
      </c>
      <c r="H39" s="229"/>
      <c r="I39" s="51">
        <f t="shared" si="11"/>
        <v>0</v>
      </c>
      <c r="J39" s="121"/>
      <c r="K39" s="162"/>
      <c r="L39" s="169"/>
      <c r="M39" s="169"/>
      <c r="N39" s="169"/>
      <c r="O39" s="169"/>
      <c r="P39" s="169"/>
      <c r="Q39" s="169"/>
    </row>
    <row r="40" spans="1:26" s="10" customFormat="1" x14ac:dyDescent="0.15">
      <c r="A40" s="150" t="s">
        <v>55</v>
      </c>
      <c r="B40" s="21"/>
      <c r="C40" s="93">
        <v>0</v>
      </c>
      <c r="D40" s="93">
        <v>0</v>
      </c>
      <c r="E40" s="93"/>
      <c r="F40" s="93"/>
      <c r="G40" s="70"/>
      <c r="H40" s="229"/>
      <c r="I40" s="51">
        <f t="shared" si="11"/>
        <v>0</v>
      </c>
      <c r="J40" s="121"/>
      <c r="K40" s="162"/>
      <c r="L40" s="169"/>
      <c r="M40" s="169"/>
      <c r="N40" s="169"/>
      <c r="O40" s="169"/>
      <c r="P40" s="169"/>
      <c r="Q40" s="169"/>
    </row>
    <row r="41" spans="1:26" s="10" customFormat="1" ht="28" x14ac:dyDescent="0.15">
      <c r="A41" s="118" t="s">
        <v>71</v>
      </c>
      <c r="B41" s="21"/>
      <c r="C41" s="94">
        <v>45000</v>
      </c>
      <c r="D41" s="94">
        <v>45000</v>
      </c>
      <c r="E41" s="94">
        <v>45000</v>
      </c>
      <c r="F41" s="94">
        <v>45000</v>
      </c>
      <c r="G41" s="70">
        <f t="shared" si="1"/>
        <v>180000</v>
      </c>
      <c r="H41" s="229"/>
      <c r="I41" s="51">
        <f t="shared" si="11"/>
        <v>180000</v>
      </c>
      <c r="J41" s="121"/>
      <c r="K41" s="163" t="s">
        <v>84</v>
      </c>
      <c r="L41" s="169"/>
      <c r="M41" s="169"/>
      <c r="N41" s="169"/>
      <c r="O41" s="169"/>
      <c r="P41" s="169"/>
      <c r="Q41" s="169"/>
      <c r="R41"/>
      <c r="S41"/>
    </row>
    <row r="42" spans="1:26" s="210" customFormat="1" ht="28" x14ac:dyDescent="0.15">
      <c r="A42" s="196" t="s">
        <v>48</v>
      </c>
      <c r="B42" s="205"/>
      <c r="C42" s="206">
        <v>75000</v>
      </c>
      <c r="D42" s="206">
        <v>180000</v>
      </c>
      <c r="E42" s="206">
        <v>225000</v>
      </c>
      <c r="F42" s="206">
        <v>375000</v>
      </c>
      <c r="G42" s="199">
        <f t="shared" si="1"/>
        <v>855000</v>
      </c>
      <c r="H42" s="229"/>
      <c r="I42" s="200">
        <f t="shared" si="11"/>
        <v>855000</v>
      </c>
      <c r="J42" s="201"/>
      <c r="K42" s="207" t="s">
        <v>88</v>
      </c>
      <c r="L42" s="203"/>
      <c r="M42" s="203"/>
      <c r="N42" s="203"/>
      <c r="O42" s="203"/>
      <c r="P42" s="203"/>
      <c r="Q42" s="203"/>
      <c r="R42" s="208"/>
      <c r="S42" s="209"/>
    </row>
    <row r="43" spans="1:26" x14ac:dyDescent="0.15">
      <c r="A43" s="80" t="s">
        <v>19</v>
      </c>
      <c r="B43" s="15"/>
      <c r="C43" s="95">
        <f>SUM(C38:C42)</f>
        <v>120000</v>
      </c>
      <c r="D43" s="95">
        <f t="shared" ref="D43:F43" si="13">SUM(D38:D42)</f>
        <v>225000</v>
      </c>
      <c r="E43" s="95">
        <f t="shared" si="13"/>
        <v>270000</v>
      </c>
      <c r="F43" s="95">
        <f t="shared" si="13"/>
        <v>420000</v>
      </c>
      <c r="G43" s="70">
        <f t="shared" si="1"/>
        <v>1035000</v>
      </c>
      <c r="H43" s="229"/>
      <c r="I43" s="51">
        <f t="shared" si="11"/>
        <v>1035000</v>
      </c>
      <c r="J43" s="121">
        <f>G43/G79</f>
        <v>4.3694179676939691E-2</v>
      </c>
    </row>
    <row r="44" spans="1:26" s="1" customFormat="1" x14ac:dyDescent="0.15">
      <c r="A44" s="63"/>
      <c r="B44" s="50"/>
      <c r="C44" s="41"/>
      <c r="D44" s="41"/>
      <c r="E44" s="41"/>
      <c r="F44" s="41"/>
      <c r="G44" s="70">
        <f t="shared" si="1"/>
        <v>0</v>
      </c>
      <c r="H44" s="229"/>
      <c r="I44" s="51">
        <f t="shared" si="11"/>
        <v>0</v>
      </c>
      <c r="J44" s="121"/>
      <c r="K44" s="161"/>
      <c r="L44" s="169"/>
      <c r="M44" s="169"/>
      <c r="N44" s="169"/>
      <c r="O44" s="169"/>
      <c r="P44" s="169"/>
      <c r="Q44" s="169"/>
    </row>
    <row r="45" spans="1:26" x14ac:dyDescent="0.15">
      <c r="A45" s="72" t="s">
        <v>10</v>
      </c>
      <c r="B45" s="82"/>
      <c r="C45" s="96"/>
      <c r="D45" s="96"/>
      <c r="E45" s="96"/>
      <c r="F45" s="96"/>
      <c r="G45" s="70">
        <f t="shared" si="1"/>
        <v>0</v>
      </c>
      <c r="H45" s="229"/>
      <c r="I45" s="51">
        <f t="shared" si="11"/>
        <v>0</v>
      </c>
      <c r="J45" s="121"/>
    </row>
    <row r="46" spans="1:26" s="3" customFormat="1" ht="14" x14ac:dyDescent="0.15">
      <c r="A46" s="73" t="s">
        <v>12</v>
      </c>
      <c r="B46" s="16"/>
      <c r="C46" s="97">
        <v>0</v>
      </c>
      <c r="D46" s="97">
        <v>25000</v>
      </c>
      <c r="E46" s="97">
        <v>25000</v>
      </c>
      <c r="F46" s="97">
        <v>25000</v>
      </c>
      <c r="G46" s="70">
        <f t="shared" si="1"/>
        <v>75000</v>
      </c>
      <c r="H46" s="229"/>
      <c r="I46" s="51">
        <f t="shared" si="11"/>
        <v>75000</v>
      </c>
      <c r="J46" s="121">
        <f>G46/G79</f>
        <v>3.1662449041260647E-3</v>
      </c>
      <c r="K46" s="157" t="s">
        <v>85</v>
      </c>
      <c r="L46" s="169"/>
      <c r="M46" s="169"/>
      <c r="N46" s="169"/>
      <c r="O46" s="169"/>
      <c r="P46" s="169"/>
      <c r="Q46" s="169"/>
      <c r="Z46" s="28"/>
    </row>
    <row r="47" spans="1:26" ht="14" x14ac:dyDescent="0.15">
      <c r="A47" s="74" t="s">
        <v>13</v>
      </c>
      <c r="B47" s="17"/>
      <c r="C47" s="98">
        <v>0</v>
      </c>
      <c r="D47" s="98">
        <v>5000</v>
      </c>
      <c r="E47" s="98">
        <v>5000</v>
      </c>
      <c r="F47" s="98">
        <v>5000</v>
      </c>
      <c r="G47" s="70">
        <f t="shared" si="1"/>
        <v>15000</v>
      </c>
      <c r="H47" s="229"/>
      <c r="I47" s="51">
        <f t="shared" si="11"/>
        <v>15000</v>
      </c>
      <c r="J47" s="121">
        <f>G47/G79</f>
        <v>6.3324898082521292E-4</v>
      </c>
      <c r="K47" s="155" t="s">
        <v>86</v>
      </c>
    </row>
    <row r="48" spans="1:26" ht="28" x14ac:dyDescent="0.15">
      <c r="A48" s="75" t="s">
        <v>70</v>
      </c>
      <c r="B48" s="17"/>
      <c r="C48" s="98">
        <v>25000</v>
      </c>
      <c r="D48" s="98">
        <v>25000</v>
      </c>
      <c r="E48" s="98">
        <v>25000</v>
      </c>
      <c r="F48" s="98">
        <v>25000</v>
      </c>
      <c r="G48" s="70">
        <f t="shared" si="1"/>
        <v>100000</v>
      </c>
      <c r="H48" s="229"/>
      <c r="I48" s="51">
        <f t="shared" si="11"/>
        <v>100000</v>
      </c>
      <c r="J48" s="121">
        <f>G48/G79</f>
        <v>4.221659872168086E-3</v>
      </c>
      <c r="K48" s="155" t="s">
        <v>95</v>
      </c>
    </row>
    <row r="49" spans="1:17" x14ac:dyDescent="0.15">
      <c r="A49" s="72" t="s">
        <v>119</v>
      </c>
      <c r="B49" s="17"/>
      <c r="C49" s="98"/>
      <c r="D49" s="98"/>
      <c r="E49" s="223">
        <v>60000</v>
      </c>
      <c r="F49" s="223">
        <v>120000</v>
      </c>
      <c r="G49" s="70">
        <f t="shared" si="1"/>
        <v>180000</v>
      </c>
      <c r="H49" s="229"/>
      <c r="I49" s="51"/>
      <c r="J49" s="121"/>
    </row>
    <row r="50" spans="1:17" ht="14" x14ac:dyDescent="0.15">
      <c r="A50" s="175" t="s">
        <v>73</v>
      </c>
      <c r="B50" s="152"/>
      <c r="C50" s="153"/>
      <c r="D50" s="153"/>
      <c r="E50" s="170">
        <v>75000</v>
      </c>
      <c r="F50" s="170">
        <v>150000</v>
      </c>
      <c r="G50" s="171">
        <f t="shared" si="1"/>
        <v>225000</v>
      </c>
      <c r="H50" s="231"/>
      <c r="I50" s="51">
        <f t="shared" si="11"/>
        <v>225000</v>
      </c>
      <c r="J50" s="121">
        <f>G50/G79</f>
        <v>9.4987347123781946E-3</v>
      </c>
      <c r="K50" s="155" t="s">
        <v>89</v>
      </c>
    </row>
    <row r="51" spans="1:17" x14ac:dyDescent="0.15">
      <c r="A51" s="175" t="s">
        <v>121</v>
      </c>
      <c r="B51" s="152"/>
      <c r="C51" s="153">
        <v>155000</v>
      </c>
      <c r="D51" s="153">
        <v>155000</v>
      </c>
      <c r="E51" s="153">
        <v>155000</v>
      </c>
      <c r="F51" s="153">
        <v>155000</v>
      </c>
      <c r="G51" s="171">
        <f t="shared" si="1"/>
        <v>620000</v>
      </c>
      <c r="H51" s="231"/>
      <c r="I51" s="51">
        <f t="shared" si="11"/>
        <v>620000</v>
      </c>
      <c r="J51" s="121"/>
    </row>
    <row r="52" spans="1:17" s="204" customFormat="1" ht="14" x14ac:dyDescent="0.15">
      <c r="A52" s="217" t="s">
        <v>91</v>
      </c>
      <c r="B52" s="218"/>
      <c r="C52" s="219">
        <v>10000</v>
      </c>
      <c r="D52" s="219">
        <v>10000</v>
      </c>
      <c r="E52" s="219">
        <v>10000</v>
      </c>
      <c r="F52" s="219">
        <v>10000</v>
      </c>
      <c r="G52" s="199">
        <f t="shared" si="1"/>
        <v>40000</v>
      </c>
      <c r="H52" s="229"/>
      <c r="I52" s="200">
        <f t="shared" si="11"/>
        <v>40000</v>
      </c>
      <c r="J52" s="201">
        <f>G52/G79</f>
        <v>1.6886639488672345E-3</v>
      </c>
      <c r="K52" s="220" t="s">
        <v>90</v>
      </c>
      <c r="L52" s="203"/>
      <c r="M52" s="203"/>
      <c r="N52" s="203"/>
      <c r="O52" s="203"/>
      <c r="P52" s="203"/>
      <c r="Q52" s="203"/>
    </row>
    <row r="53" spans="1:17" ht="28" x14ac:dyDescent="0.15">
      <c r="A53" s="75" t="s">
        <v>92</v>
      </c>
      <c r="B53" s="17"/>
      <c r="C53" s="98">
        <v>120000</v>
      </c>
      <c r="D53" s="98">
        <v>120000</v>
      </c>
      <c r="E53" s="98">
        <v>120000</v>
      </c>
      <c r="F53" s="98">
        <v>120000</v>
      </c>
      <c r="G53" s="70">
        <f t="shared" si="1"/>
        <v>480000</v>
      </c>
      <c r="H53" s="229"/>
      <c r="I53" s="51">
        <f t="shared" si="11"/>
        <v>480000</v>
      </c>
      <c r="J53" s="121">
        <f>G53/G79</f>
        <v>2.0263967386406814E-2</v>
      </c>
      <c r="K53" s="155" t="s">
        <v>94</v>
      </c>
    </row>
    <row r="54" spans="1:17" ht="14" x14ac:dyDescent="0.15">
      <c r="A54" s="75" t="s">
        <v>72</v>
      </c>
      <c r="B54" s="17"/>
      <c r="C54" s="98">
        <f>83000/2</f>
        <v>41500</v>
      </c>
      <c r="D54" s="98">
        <v>83000</v>
      </c>
      <c r="E54" s="98">
        <v>83000</v>
      </c>
      <c r="F54" s="98">
        <v>83000</v>
      </c>
      <c r="G54" s="51">
        <f t="shared" si="1"/>
        <v>290500</v>
      </c>
      <c r="H54" s="229"/>
      <c r="I54" s="51">
        <f t="shared" si="11"/>
        <v>290500</v>
      </c>
      <c r="J54" s="121">
        <f>G54/G79</f>
        <v>1.2263921928648291E-2</v>
      </c>
      <c r="K54" s="155" t="s">
        <v>93</v>
      </c>
    </row>
    <row r="55" spans="1:17" ht="14" x14ac:dyDescent="0.15">
      <c r="A55" s="75" t="s">
        <v>76</v>
      </c>
      <c r="B55" s="17"/>
      <c r="C55" s="99">
        <v>80000</v>
      </c>
      <c r="D55" s="99">
        <v>80000</v>
      </c>
      <c r="E55" s="99">
        <v>80000</v>
      </c>
      <c r="F55" s="99">
        <v>80000</v>
      </c>
      <c r="G55" s="51">
        <f t="shared" si="1"/>
        <v>320000</v>
      </c>
      <c r="H55" s="229"/>
      <c r="I55" s="51">
        <f t="shared" si="11"/>
        <v>320000</v>
      </c>
      <c r="J55" s="121">
        <f>G55/G79</f>
        <v>1.3509311590937876E-2</v>
      </c>
      <c r="K55" s="155" t="s">
        <v>96</v>
      </c>
    </row>
    <row r="56" spans="1:17" ht="14" thickBot="1" x14ac:dyDescent="0.2">
      <c r="A56" s="75" t="s">
        <v>116</v>
      </c>
      <c r="B56" s="17"/>
      <c r="C56" s="179">
        <v>20000</v>
      </c>
      <c r="D56" s="179">
        <v>20000</v>
      </c>
      <c r="E56" s="179">
        <v>20000</v>
      </c>
      <c r="F56" s="179">
        <v>20000</v>
      </c>
      <c r="G56" s="180">
        <f t="shared" si="1"/>
        <v>80000</v>
      </c>
      <c r="H56" s="231"/>
      <c r="I56" s="51">
        <f t="shared" si="11"/>
        <v>80000</v>
      </c>
      <c r="J56" s="121"/>
    </row>
    <row r="57" spans="1:17" ht="124" customHeight="1" thickBot="1" x14ac:dyDescent="0.2">
      <c r="A57" s="129" t="s">
        <v>46</v>
      </c>
      <c r="B57" s="130"/>
      <c r="C57" s="131">
        <v>175000</v>
      </c>
      <c r="D57" s="131">
        <v>175000</v>
      </c>
      <c r="E57" s="131">
        <v>175000</v>
      </c>
      <c r="F57" s="131">
        <v>175000</v>
      </c>
      <c r="G57" s="132">
        <f t="shared" si="1"/>
        <v>700000</v>
      </c>
      <c r="H57" s="229"/>
      <c r="I57" s="194">
        <f>700000</f>
        <v>700000</v>
      </c>
      <c r="J57" s="121">
        <f>G57/G79</f>
        <v>2.9551619105176605E-2</v>
      </c>
      <c r="K57" s="165" t="s">
        <v>97</v>
      </c>
    </row>
    <row r="58" spans="1:17" ht="15" thickBot="1" x14ac:dyDescent="0.2">
      <c r="A58" s="133" t="s">
        <v>47</v>
      </c>
      <c r="B58" s="134"/>
      <c r="C58" s="131">
        <v>175000</v>
      </c>
      <c r="D58" s="131">
        <v>175000</v>
      </c>
      <c r="E58" s="131">
        <v>175000</v>
      </c>
      <c r="F58" s="131">
        <v>175000</v>
      </c>
      <c r="G58" s="135">
        <f t="shared" si="1"/>
        <v>700000</v>
      </c>
      <c r="H58" s="229"/>
      <c r="I58" s="194">
        <f t="shared" ref="I58:I61" si="14">700000</f>
        <v>700000</v>
      </c>
      <c r="J58" s="121">
        <f>G58/G79</f>
        <v>2.9551619105176605E-2</v>
      </c>
      <c r="K58" s="165" t="s">
        <v>98</v>
      </c>
    </row>
    <row r="59" spans="1:17" ht="15" thickBot="1" x14ac:dyDescent="0.2">
      <c r="A59" s="133" t="s">
        <v>62</v>
      </c>
      <c r="B59" s="134"/>
      <c r="C59" s="131">
        <v>175000</v>
      </c>
      <c r="D59" s="131">
        <v>175000</v>
      </c>
      <c r="E59" s="131">
        <v>175000</v>
      </c>
      <c r="F59" s="131">
        <v>175000</v>
      </c>
      <c r="G59" s="135">
        <f t="shared" si="1"/>
        <v>700000</v>
      </c>
      <c r="H59" s="229"/>
      <c r="I59" s="194">
        <f t="shared" si="14"/>
        <v>700000</v>
      </c>
      <c r="J59" s="121">
        <f>G59/G79</f>
        <v>2.9551619105176605E-2</v>
      </c>
      <c r="K59" s="165" t="s">
        <v>98</v>
      </c>
    </row>
    <row r="60" spans="1:17" ht="15" thickBot="1" x14ac:dyDescent="0.2">
      <c r="A60" s="133" t="s">
        <v>63</v>
      </c>
      <c r="B60" s="134"/>
      <c r="C60" s="131">
        <v>175000</v>
      </c>
      <c r="D60" s="131">
        <v>175000</v>
      </c>
      <c r="E60" s="131">
        <v>175000</v>
      </c>
      <c r="F60" s="131">
        <v>175000</v>
      </c>
      <c r="G60" s="135">
        <f t="shared" si="1"/>
        <v>700000</v>
      </c>
      <c r="H60" s="229"/>
      <c r="I60" s="194">
        <f t="shared" si="14"/>
        <v>700000</v>
      </c>
      <c r="J60" s="121">
        <f>G60/G79</f>
        <v>2.9551619105176605E-2</v>
      </c>
      <c r="K60" s="165" t="s">
        <v>98</v>
      </c>
    </row>
    <row r="61" spans="1:17" ht="15" thickBot="1" x14ac:dyDescent="0.2">
      <c r="A61" s="136" t="s">
        <v>64</v>
      </c>
      <c r="B61" s="137"/>
      <c r="C61" s="131">
        <v>175000</v>
      </c>
      <c r="D61" s="131">
        <v>175000</v>
      </c>
      <c r="E61" s="131">
        <v>175000</v>
      </c>
      <c r="F61" s="131">
        <v>175000</v>
      </c>
      <c r="G61" s="138">
        <f t="shared" si="1"/>
        <v>700000</v>
      </c>
      <c r="H61" s="229"/>
      <c r="I61" s="194">
        <f t="shared" si="14"/>
        <v>700000</v>
      </c>
      <c r="J61" s="121">
        <f>G61/G79</f>
        <v>2.9551619105176605E-2</v>
      </c>
      <c r="K61" s="165" t="s">
        <v>98</v>
      </c>
    </row>
    <row r="62" spans="1:17" ht="14" x14ac:dyDescent="0.15">
      <c r="A62" s="139" t="s">
        <v>61</v>
      </c>
      <c r="B62" s="140"/>
      <c r="C62" s="141">
        <v>75000</v>
      </c>
      <c r="D62" s="141">
        <v>75000</v>
      </c>
      <c r="E62" s="141">
        <v>75000</v>
      </c>
      <c r="F62" s="141">
        <v>75000</v>
      </c>
      <c r="G62" s="142">
        <f t="shared" si="1"/>
        <v>300000</v>
      </c>
      <c r="H62" s="229"/>
      <c r="I62" s="194">
        <f>350000</f>
        <v>350000</v>
      </c>
      <c r="J62" s="121">
        <f>G62/G79</f>
        <v>1.2664979616504259E-2</v>
      </c>
      <c r="K62" s="165" t="s">
        <v>98</v>
      </c>
    </row>
    <row r="63" spans="1:17" ht="112" x14ac:dyDescent="0.15">
      <c r="A63" s="186" t="s">
        <v>110</v>
      </c>
      <c r="B63" s="144"/>
      <c r="C63" s="145">
        <v>0</v>
      </c>
      <c r="D63" s="145">
        <v>0</v>
      </c>
      <c r="E63" s="145">
        <v>0</v>
      </c>
      <c r="F63" s="145">
        <v>0</v>
      </c>
      <c r="G63" s="146">
        <f t="shared" si="1"/>
        <v>0</v>
      </c>
      <c r="H63" s="229"/>
      <c r="I63" s="194">
        <f>G63*0.95</f>
        <v>0</v>
      </c>
      <c r="J63" s="121">
        <f>G63/G79</f>
        <v>0</v>
      </c>
      <c r="K63" s="187" t="s">
        <v>99</v>
      </c>
    </row>
    <row r="64" spans="1:17" ht="34" x14ac:dyDescent="0.15">
      <c r="A64" s="143" t="s">
        <v>44</v>
      </c>
      <c r="B64" s="144"/>
      <c r="C64" s="145">
        <v>50000</v>
      </c>
      <c r="D64" s="145">
        <v>50000</v>
      </c>
      <c r="E64" s="145">
        <v>50000</v>
      </c>
      <c r="F64" s="145">
        <v>50000</v>
      </c>
      <c r="G64" s="146">
        <f t="shared" si="1"/>
        <v>200000</v>
      </c>
      <c r="H64" s="229"/>
      <c r="I64" s="194">
        <f>G64*0.95</f>
        <v>190000</v>
      </c>
      <c r="J64" s="121">
        <f>G64/G79</f>
        <v>8.443319744336172E-3</v>
      </c>
      <c r="K64" s="166" t="s">
        <v>100</v>
      </c>
    </row>
    <row r="65" spans="1:18" ht="20" customHeight="1" x14ac:dyDescent="0.15">
      <c r="A65" s="143" t="s">
        <v>111</v>
      </c>
      <c r="B65" s="144"/>
      <c r="C65" s="145">
        <v>175000</v>
      </c>
      <c r="D65" s="145">
        <v>175000</v>
      </c>
      <c r="E65" s="145">
        <v>175000</v>
      </c>
      <c r="F65" s="145">
        <v>175000</v>
      </c>
      <c r="G65" s="146">
        <f t="shared" si="1"/>
        <v>700000</v>
      </c>
      <c r="H65" s="229"/>
      <c r="I65" s="194">
        <f>G65*0.95</f>
        <v>665000</v>
      </c>
      <c r="J65" s="121">
        <f>G65/G79</f>
        <v>2.9551619105176605E-2</v>
      </c>
      <c r="K65" s="155" t="s">
        <v>101</v>
      </c>
    </row>
    <row r="66" spans="1:18" ht="56" x14ac:dyDescent="0.15">
      <c r="A66" s="143" t="s">
        <v>112</v>
      </c>
      <c r="B66" s="144"/>
      <c r="C66" s="145">
        <f>166000</f>
        <v>166000</v>
      </c>
      <c r="D66" s="145">
        <f>166000+75000</f>
        <v>241000</v>
      </c>
      <c r="E66" s="145">
        <f>166000</f>
        <v>166000</v>
      </c>
      <c r="F66" s="145">
        <f>166000</f>
        <v>166000</v>
      </c>
      <c r="G66" s="146">
        <f t="shared" si="1"/>
        <v>739000</v>
      </c>
      <c r="H66" s="229"/>
      <c r="I66" s="194">
        <f>G66*0.95</f>
        <v>702050</v>
      </c>
      <c r="J66" s="121">
        <f>G66/G79</f>
        <v>3.1198066455322155E-2</v>
      </c>
      <c r="K66" s="167" t="s">
        <v>102</v>
      </c>
    </row>
    <row r="67" spans="1:18" ht="14" customHeight="1" thickBot="1" x14ac:dyDescent="0.2">
      <c r="A67" s="182" t="s">
        <v>113</v>
      </c>
      <c r="B67" s="147"/>
      <c r="C67" s="148">
        <v>0</v>
      </c>
      <c r="D67" s="148">
        <v>0</v>
      </c>
      <c r="E67" s="148">
        <v>0</v>
      </c>
      <c r="F67" s="148">
        <v>0</v>
      </c>
      <c r="G67" s="149">
        <f t="shared" si="1"/>
        <v>0</v>
      </c>
      <c r="H67" s="229"/>
      <c r="I67" s="195"/>
      <c r="J67" s="121">
        <f>G67/G79</f>
        <v>0</v>
      </c>
      <c r="K67" s="28"/>
    </row>
    <row r="68" spans="1:18" ht="226" customHeight="1" x14ac:dyDescent="0.15">
      <c r="A68" s="177" t="s">
        <v>66</v>
      </c>
      <c r="B68" s="178"/>
      <c r="C68" s="179">
        <f>((16*50000)+(4*60000)/12*9)+600000</f>
        <v>1580000</v>
      </c>
      <c r="D68" s="179">
        <f>((16*50000)+(4*60000))+3300000</f>
        <v>4340000</v>
      </c>
      <c r="E68" s="179">
        <f>(16*50000)+(4*60000)</f>
        <v>1040000</v>
      </c>
      <c r="F68" s="179">
        <f>(16*50000)+(4*60000)</f>
        <v>1040000</v>
      </c>
      <c r="G68" s="70">
        <f t="shared" si="1"/>
        <v>8000000</v>
      </c>
      <c r="H68" s="232"/>
      <c r="I68" s="70">
        <f>SUM(D68:G68)</f>
        <v>14420000</v>
      </c>
      <c r="J68" s="121">
        <f>G68/G79</f>
        <v>0.3377327897734469</v>
      </c>
      <c r="K68" s="167" t="s">
        <v>115</v>
      </c>
    </row>
    <row r="69" spans="1:18" x14ac:dyDescent="0.15">
      <c r="A69" s="128" t="s">
        <v>75</v>
      </c>
      <c r="B69" s="17"/>
      <c r="C69" s="99"/>
      <c r="D69" s="99"/>
      <c r="E69" s="99"/>
      <c r="F69" s="99"/>
      <c r="G69" s="70">
        <f t="shared" si="1"/>
        <v>0</v>
      </c>
      <c r="H69" s="232"/>
      <c r="I69" s="70">
        <f>SUM(D69:G69)</f>
        <v>0</v>
      </c>
      <c r="J69" s="121">
        <f>G69/G79</f>
        <v>0</v>
      </c>
    </row>
    <row r="70" spans="1:18" x14ac:dyDescent="0.15">
      <c r="A70" s="128" t="s">
        <v>75</v>
      </c>
      <c r="B70" s="17"/>
      <c r="C70" s="99"/>
      <c r="D70" s="99"/>
      <c r="E70" s="99"/>
      <c r="F70" s="99"/>
      <c r="G70" s="70"/>
      <c r="H70" s="232"/>
      <c r="I70" s="70"/>
      <c r="J70" s="121"/>
    </row>
    <row r="71" spans="1:18" x14ac:dyDescent="0.15">
      <c r="A71" s="128" t="s">
        <v>75</v>
      </c>
      <c r="B71" s="17"/>
      <c r="C71" s="99"/>
      <c r="D71" s="99"/>
      <c r="E71" s="99"/>
      <c r="F71" s="99"/>
      <c r="G71" s="70"/>
      <c r="H71" s="232"/>
      <c r="I71" s="70"/>
      <c r="J71" s="121"/>
    </row>
    <row r="72" spans="1:18" ht="14" x14ac:dyDescent="0.15">
      <c r="A72" s="75" t="s">
        <v>31</v>
      </c>
      <c r="B72" s="36">
        <v>7700</v>
      </c>
      <c r="C72" s="223">
        <v>38500</v>
      </c>
      <c r="D72" s="223">
        <f>ROUND(77000*1.02,0)</f>
        <v>78540</v>
      </c>
      <c r="E72" s="223">
        <f>ROUND(D72*1.02,0)</f>
        <v>80111</v>
      </c>
      <c r="F72" s="223">
        <f>ROUND(E72*1.02,0)-1</f>
        <v>81712</v>
      </c>
      <c r="G72" s="70">
        <f t="shared" si="1"/>
        <v>278863</v>
      </c>
      <c r="H72" s="232"/>
      <c r="I72" s="70">
        <f>SUM(D72:G72)</f>
        <v>519226</v>
      </c>
      <c r="J72" s="121">
        <f>G72/G79</f>
        <v>1.1772647369324089E-2</v>
      </c>
      <c r="K72" s="155" t="s">
        <v>103</v>
      </c>
    </row>
    <row r="73" spans="1:18" ht="14" x14ac:dyDescent="0.15">
      <c r="A73" s="75" t="s">
        <v>114</v>
      </c>
      <c r="B73" s="36"/>
      <c r="C73" s="99">
        <v>10000</v>
      </c>
      <c r="D73" s="99">
        <v>10000</v>
      </c>
      <c r="E73" s="99">
        <v>10000</v>
      </c>
      <c r="F73" s="99">
        <v>10000</v>
      </c>
      <c r="G73" s="70">
        <f t="shared" si="1"/>
        <v>40000</v>
      </c>
      <c r="H73" s="232"/>
      <c r="I73" s="70">
        <f>SUM(D73:G73)</f>
        <v>70000</v>
      </c>
      <c r="J73" s="121">
        <f>G73/G79</f>
        <v>1.6886639488672345E-3</v>
      </c>
      <c r="K73" s="155" t="s">
        <v>104</v>
      </c>
    </row>
    <row r="74" spans="1:18" x14ac:dyDescent="0.15">
      <c r="A74" s="81" t="s">
        <v>11</v>
      </c>
      <c r="B74" s="104"/>
      <c r="C74" s="100">
        <f>SUM(C46:C73)</f>
        <v>3421000</v>
      </c>
      <c r="D74" s="100">
        <f>SUM(D46:D73)</f>
        <v>6367540</v>
      </c>
      <c r="E74" s="100">
        <f>SUM(E46:E73)</f>
        <v>3129111</v>
      </c>
      <c r="F74" s="100">
        <f>SUM(F46:F73)</f>
        <v>3265712</v>
      </c>
      <c r="G74" s="70">
        <f t="shared" si="1"/>
        <v>16183363</v>
      </c>
      <c r="H74" s="232"/>
      <c r="I74" s="70">
        <f>SUM(D74:G74)</f>
        <v>28945726</v>
      </c>
      <c r="J74" s="121">
        <f>G74/G79</f>
        <v>0.68320654173829731</v>
      </c>
    </row>
    <row r="75" spans="1:18" s="1" customFormat="1" x14ac:dyDescent="0.15">
      <c r="A75" s="63"/>
      <c r="B75" s="50"/>
      <c r="C75" s="51"/>
      <c r="D75" s="51"/>
      <c r="E75" s="51"/>
      <c r="F75" s="51"/>
      <c r="G75" s="70">
        <f t="shared" si="1"/>
        <v>0</v>
      </c>
      <c r="H75" s="229"/>
      <c r="I75" s="51"/>
      <c r="J75" s="121"/>
      <c r="K75" s="161"/>
      <c r="L75" s="169"/>
      <c r="M75" s="169"/>
      <c r="N75" s="169"/>
      <c r="O75" s="169"/>
      <c r="P75" s="169"/>
      <c r="Q75" s="169"/>
    </row>
    <row r="76" spans="1:18" x14ac:dyDescent="0.15">
      <c r="A76" s="114" t="s">
        <v>25</v>
      </c>
      <c r="B76" s="105"/>
      <c r="C76" s="106">
        <f>SUM(C25,C30,C35,C43,C74)</f>
        <v>4365060.3466666667</v>
      </c>
      <c r="D76" s="106">
        <f>SUM(D25,D30,D35,D43,D74)</f>
        <v>8038428.0480666663</v>
      </c>
      <c r="E76" s="106">
        <f>SUM(E25,E30,E35,E43,E74)</f>
        <v>4159674.7005086667</v>
      </c>
      <c r="F76" s="106">
        <f>SUM(F25,F30,F35,F43,F74)</f>
        <v>4462965.462523927</v>
      </c>
      <c r="G76" s="70">
        <f t="shared" si="1"/>
        <v>21026128.557765927</v>
      </c>
      <c r="H76" s="229"/>
      <c r="I76" s="51"/>
      <c r="J76" s="121"/>
    </row>
    <row r="77" spans="1:18" s="3" customFormat="1" ht="42" x14ac:dyDescent="0.15">
      <c r="A77" s="110" t="s">
        <v>32</v>
      </c>
      <c r="B77" s="107"/>
      <c r="C77" s="191">
        <f>SUM(C76-C72-C43-C30-C57-C58-C62-C63-C64-C65-C66-C67-C59-C60-C61-C68-C69-C70-C71+675000)</f>
        <v>1760560.3466666667</v>
      </c>
      <c r="D77" s="191">
        <f>SUM(D76-D72-D43-D30-D57-D58-D62-D63-D64-D65-D66-D67-D59-D60-D61-D68-D69-D70-D71)</f>
        <v>1278888.0480666663</v>
      </c>
      <c r="E77" s="191">
        <f>SUM(E76-E72-E43-E30-E57-E58-E62-E63-E64-E65-E66-E67-E59-E60-E61-E68-E69-E70-E71)</f>
        <v>1428563.7005086667</v>
      </c>
      <c r="F77" s="191">
        <f>SUM(F76-F72-F43-F30-F57-F58-F62-F63-F64-F65-F66-F67-F59-F60-F61-F68-F69-F70-F71)</f>
        <v>1580253.462523927</v>
      </c>
      <c r="G77" s="70">
        <f t="shared" si="1"/>
        <v>6048265.5577659262</v>
      </c>
      <c r="H77" s="233"/>
      <c r="I77" s="51"/>
      <c r="J77" s="121"/>
      <c r="K77" s="157"/>
      <c r="L77" s="169"/>
      <c r="M77" s="169"/>
      <c r="N77" s="169"/>
      <c r="O77" s="169"/>
      <c r="P77" s="169"/>
      <c r="Q77" s="169"/>
    </row>
    <row r="78" spans="1:18" s="48" customFormat="1" ht="14" x14ac:dyDescent="0.15">
      <c r="A78" s="115" t="s">
        <v>30</v>
      </c>
      <c r="B78" s="108"/>
      <c r="C78" s="109">
        <f>C77*0.44</f>
        <v>774646.55253333331</v>
      </c>
      <c r="D78" s="109">
        <f t="shared" ref="D78:F78" si="15">D77*0.44</f>
        <v>562710.74114933319</v>
      </c>
      <c r="E78" s="109">
        <f t="shared" si="15"/>
        <v>628568.0282238134</v>
      </c>
      <c r="F78" s="109">
        <f t="shared" si="15"/>
        <v>695311.52351052791</v>
      </c>
      <c r="G78" s="70">
        <f t="shared" si="1"/>
        <v>2661236.8454170078</v>
      </c>
      <c r="H78" s="233"/>
      <c r="I78" s="51"/>
      <c r="J78" s="121">
        <f>G78/G79</f>
        <v>0.11234836800632166</v>
      </c>
      <c r="K78" s="155"/>
      <c r="L78" s="169"/>
      <c r="M78" s="169"/>
      <c r="N78" s="169"/>
      <c r="O78" s="169"/>
      <c r="P78" s="169"/>
      <c r="Q78" s="169"/>
    </row>
    <row r="79" spans="1:18" s="3" customFormat="1" ht="22.5" customHeight="1" thickBot="1" x14ac:dyDescent="0.2">
      <c r="A79" s="111" t="s">
        <v>26</v>
      </c>
      <c r="B79" s="76"/>
      <c r="C79" s="77">
        <f>SUM(C76+C78)</f>
        <v>5139706.8991999999</v>
      </c>
      <c r="D79" s="77">
        <f t="shared" ref="D79:F79" si="16">SUM(D76+D78)</f>
        <v>8601138.7892159987</v>
      </c>
      <c r="E79" s="77">
        <f t="shared" si="16"/>
        <v>4788242.7287324797</v>
      </c>
      <c r="F79" s="77">
        <f t="shared" si="16"/>
        <v>5158276.9860344548</v>
      </c>
      <c r="G79" s="176">
        <f t="shared" si="1"/>
        <v>23687365.403182931</v>
      </c>
      <c r="H79" s="180"/>
      <c r="I79" s="180"/>
      <c r="J79" s="121"/>
      <c r="K79" s="157"/>
      <c r="L79" s="169"/>
      <c r="M79" s="169"/>
      <c r="N79" s="169"/>
      <c r="O79" s="169"/>
      <c r="P79" s="169"/>
      <c r="Q79" s="169"/>
    </row>
    <row r="80" spans="1:18" ht="16" x14ac:dyDescent="0.3">
      <c r="H80" s="221">
        <v>23687365</v>
      </c>
      <c r="R80" s="5"/>
    </row>
    <row r="81" spans="2:9" x14ac:dyDescent="0.15">
      <c r="B81"/>
      <c r="C81"/>
      <c r="D81"/>
      <c r="E81"/>
      <c r="F81"/>
      <c r="G81" s="183">
        <v>25187365</v>
      </c>
      <c r="H81" s="183">
        <f>(H80-G79)/1.44</f>
        <v>-0.27998814669748151</v>
      </c>
      <c r="I81" s="183"/>
    </row>
    <row r="82" spans="2:9" x14ac:dyDescent="0.15">
      <c r="B82"/>
      <c r="C82" s="188"/>
      <c r="D82" s="188"/>
      <c r="E82" s="188"/>
      <c r="F82" s="188"/>
      <c r="G82" s="184"/>
      <c r="H82" s="184"/>
      <c r="I82" s="184"/>
    </row>
    <row r="83" spans="2:9" x14ac:dyDescent="0.15">
      <c r="C83" s="189"/>
      <c r="D83" s="189"/>
      <c r="E83" s="189"/>
      <c r="F83" s="189"/>
    </row>
    <row r="84" spans="2:9" x14ac:dyDescent="0.15">
      <c r="G84" s="185"/>
      <c r="H84" s="185"/>
      <c r="I84" s="185"/>
    </row>
  </sheetData>
  <sheetProtection formatCells="0" formatColumns="0" formatRows="0" insertColumns="0" insertRows="0" deleteColumns="0" deleteRows="0"/>
  <mergeCells count="4">
    <mergeCell ref="B1:K1"/>
    <mergeCell ref="B2:K2"/>
    <mergeCell ref="R6:S6"/>
    <mergeCell ref="R7:S7"/>
  </mergeCells>
  <phoneticPr fontId="4" type="noConversion"/>
  <pageMargins left="0.75" right="0.75" top="1" bottom="1" header="0.5" footer="0.5"/>
  <pageSetup scale="34" fitToHeight="0" orientation="landscape" r:id="rId1"/>
  <headerFooter alignWithMargins="0"/>
  <ignoredErrors>
    <ignoredError sqref="C8:F8 D9:F11 C9 C78:F79 C74:F76 C13:F16 C19:D20 C54 B17:F17 D12:F12 R7 F33 D33 C43:F43 C23:D23 C22:D22 D72:F72 C10:C11 C21:D21" unlockedFormula="1"/>
    <ignoredError sqref="E19:F20 E18:F18 E22:F22 E21:F21 E23:F23" formula="1" unlockedFormula="1"/>
    <ignoredError sqref="C47 C44:F45 C66 E66:F66" formulaRange="1" unlockedFormula="1"/>
    <ignoredError sqref="C46:F46 D47:F47 C52:F53 C64:F64"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201DEC52450479CF9AC3412A18040" ma:contentTypeVersion="14" ma:contentTypeDescription="Create a new document." ma:contentTypeScope="" ma:versionID="da6da65cc07959b3c67c2d1fc3a6e79e">
  <xsd:schema xmlns:xsd="http://www.w3.org/2001/XMLSchema" xmlns:xs="http://www.w3.org/2001/XMLSchema" xmlns:p="http://schemas.microsoft.com/office/2006/metadata/properties" xmlns:ns3="c6a56de5-b001-4eca-9137-42ec56f4a7ae" xmlns:ns4="3beb42c0-7c83-4a08-8dad-6f0e975bdd64" targetNamespace="http://schemas.microsoft.com/office/2006/metadata/properties" ma:root="true" ma:fieldsID="d84be725d826ccd643cb573e8765a318" ns3:_="" ns4:_="">
    <xsd:import namespace="c6a56de5-b001-4eca-9137-42ec56f4a7ae"/>
    <xsd:import namespace="3beb42c0-7c83-4a08-8dad-6f0e975bdd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56de5-b001-4eca-9137-42ec56f4a7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eb42c0-7c83-4a08-8dad-6f0e975bdd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C2C272-AFC1-429A-A7E1-C6CEE02A05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56de5-b001-4eca-9137-42ec56f4a7ae"/>
    <ds:schemaRef ds:uri="3beb42c0-7c83-4a08-8dad-6f0e975bd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A40132-AC04-4493-A15B-F2C416F0EDAC}">
  <ds:schemaRefs>
    <ds:schemaRef ds:uri="http://purl.org/dc/dcmitype/"/>
    <ds:schemaRef ds:uri="http://purl.org/dc/elements/1.1/"/>
    <ds:schemaRef ds:uri="3beb42c0-7c83-4a08-8dad-6f0e975bdd64"/>
    <ds:schemaRef ds:uri="http://schemas.microsoft.com/office/2006/metadata/properties"/>
    <ds:schemaRef ds:uri="http://schemas.microsoft.com/office/2006/documentManagement/types"/>
    <ds:schemaRef ds:uri="http://purl.org/dc/terms/"/>
    <ds:schemaRef ds:uri="c6a56de5-b001-4eca-9137-42ec56f4a7a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209A800-F5E5-4FCE-8B28-288CF20F3F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Budget Template</vt:lpstr>
      <vt:lpstr>'Budget Template'!Print_Area</vt:lpstr>
    </vt:vector>
  </TitlesOfParts>
  <Company>Worcester Polytechnic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frusso</dc:creator>
  <cp:lastModifiedBy>Gregory H. Monty</cp:lastModifiedBy>
  <cp:lastPrinted>2022-06-15T15:05:21Z</cp:lastPrinted>
  <dcterms:created xsi:type="dcterms:W3CDTF">2005-07-18T15:01:04Z</dcterms:created>
  <dcterms:modified xsi:type="dcterms:W3CDTF">2022-07-06T00:28:21Z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0x010100F5F201DEC52450479CF9AC3412A18040</vt:lpwstr>
  </property>
</Properties>
</file>