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503408348\Box\ANPC\JUL'24\filter design\0406 filter xl\"/>
    </mc:Choice>
  </mc:AlternateContent>
  <xr:revisionPtr revIDLastSave="0" documentId="13_ncr:1_{B56F6C4A-58DA-4A42-BEDE-4611A873329E}" xr6:coauthVersionLast="47" xr6:coauthVersionMax="47" xr10:uidLastSave="{00000000-0000-0000-0000-000000000000}"/>
  <bookViews>
    <workbookView xWindow="30" yWindow="-18120" windowWidth="29040" windowHeight="17640" xr2:uid="{6F27E177-EC0A-468C-A867-51831A6D6F19}"/>
  </bookViews>
  <sheets>
    <sheet name="Grid Filter design"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4" i="2" l="1"/>
  <c r="O61" i="2"/>
  <c r="O72" i="2" s="1"/>
  <c r="O48" i="2"/>
  <c r="O47" i="2"/>
  <c r="O42" i="2"/>
  <c r="O44" i="2" s="1"/>
  <c r="O38" i="2"/>
  <c r="O39" i="2" s="1"/>
  <c r="O37" i="2"/>
  <c r="O32" i="2"/>
  <c r="O33" i="2" s="1"/>
  <c r="O34" i="2" s="1"/>
  <c r="O28" i="2"/>
  <c r="O27" i="2"/>
  <c r="O29" i="2" s="1"/>
  <c r="O30" i="2" s="1"/>
  <c r="O31" i="2" s="1"/>
  <c r="O21" i="2"/>
  <c r="N74" i="2"/>
  <c r="N61" i="2"/>
  <c r="N72" i="2" s="1"/>
  <c r="N48" i="2"/>
  <c r="N47" i="2"/>
  <c r="N51" i="2" s="1"/>
  <c r="N42" i="2"/>
  <c r="N44" i="2" s="1"/>
  <c r="N38" i="2"/>
  <c r="N32" i="2"/>
  <c r="N33" i="2" s="1"/>
  <c r="N34" i="2" s="1"/>
  <c r="N28" i="2"/>
  <c r="N27" i="2"/>
  <c r="N29" i="2" s="1"/>
  <c r="N30" i="2" s="1"/>
  <c r="N31" i="2" s="1"/>
  <c r="N21" i="2"/>
  <c r="N37" i="2" s="1"/>
  <c r="O51" i="2" l="1"/>
  <c r="O53" i="2" s="1"/>
  <c r="O54" i="2" s="1"/>
  <c r="O52" i="2"/>
  <c r="O36" i="2"/>
  <c r="O67" i="2"/>
  <c r="O40" i="2"/>
  <c r="O43" i="2"/>
  <c r="O63" i="2"/>
  <c r="O65" i="2" s="1"/>
  <c r="O71" i="2" s="1"/>
  <c r="O73" i="2" s="1"/>
  <c r="N36" i="2"/>
  <c r="N52" i="2"/>
  <c r="N67" i="2"/>
  <c r="N39" i="2"/>
  <c r="N40" i="2" s="1"/>
  <c r="N56" i="2"/>
  <c r="N57" i="2" s="1"/>
  <c r="N58" i="2" s="1"/>
  <c r="N60" i="2" s="1"/>
  <c r="N53" i="2"/>
  <c r="N54" i="2" s="1"/>
  <c r="N43" i="2"/>
  <c r="N63" i="2"/>
  <c r="N65" i="2" s="1"/>
  <c r="N71" i="2" s="1"/>
  <c r="N73" i="2" s="1"/>
  <c r="O56" i="2" l="1"/>
  <c r="O57" i="2" s="1"/>
  <c r="O58" i="2" s="1"/>
  <c r="O60" i="2" s="1"/>
  <c r="O68" i="2"/>
  <c r="O69" i="2" s="1"/>
  <c r="N68" i="2"/>
  <c r="N69" i="2" s="1"/>
  <c r="M74" i="2" l="1"/>
  <c r="L74" i="2"/>
  <c r="K74" i="2"/>
  <c r="J74" i="2"/>
  <c r="I74" i="2"/>
  <c r="H74" i="2"/>
  <c r="G74" i="2"/>
  <c r="F74" i="2"/>
  <c r="E74" i="2"/>
  <c r="D74" i="2"/>
  <c r="K72" i="2"/>
  <c r="K71" i="2"/>
  <c r="K73" i="2" s="1"/>
  <c r="M61" i="2"/>
  <c r="M72" i="2" s="1"/>
  <c r="L61" i="2"/>
  <c r="L72" i="2" s="1"/>
  <c r="J61" i="2"/>
  <c r="J72" i="2" s="1"/>
  <c r="I61" i="2"/>
  <c r="I63" i="2" s="1"/>
  <c r="H61" i="2"/>
  <c r="H72" i="2" s="1"/>
  <c r="G61" i="2"/>
  <c r="G72" i="2" s="1"/>
  <c r="F61" i="2"/>
  <c r="F72" i="2" s="1"/>
  <c r="E61" i="2"/>
  <c r="D61" i="2"/>
  <c r="D72" i="2" s="1"/>
  <c r="E50" i="2"/>
  <c r="M48" i="2"/>
  <c r="L48" i="2"/>
  <c r="J48" i="2"/>
  <c r="I48" i="2"/>
  <c r="H48" i="2"/>
  <c r="G48" i="2"/>
  <c r="F48" i="2"/>
  <c r="E48" i="2"/>
  <c r="M47" i="2"/>
  <c r="L47" i="2"/>
  <c r="J47" i="2"/>
  <c r="I47" i="2"/>
  <c r="H47" i="2"/>
  <c r="G47" i="2"/>
  <c r="F47" i="2"/>
  <c r="E47" i="2"/>
  <c r="D47" i="2"/>
  <c r="K44" i="2"/>
  <c r="K43" i="2"/>
  <c r="M42" i="2"/>
  <c r="M44" i="2" s="1"/>
  <c r="L42" i="2"/>
  <c r="L44" i="2" s="1"/>
  <c r="J42" i="2"/>
  <c r="J44" i="2" s="1"/>
  <c r="I42" i="2"/>
  <c r="I44" i="2" s="1"/>
  <c r="H42" i="2"/>
  <c r="H44" i="2" s="1"/>
  <c r="G42" i="2"/>
  <c r="G44" i="2" s="1"/>
  <c r="F42" i="2"/>
  <c r="F44" i="2" s="1"/>
  <c r="E42" i="2"/>
  <c r="E44" i="2" s="1"/>
  <c r="D42" i="2"/>
  <c r="D44" i="2" s="1"/>
  <c r="M38" i="2"/>
  <c r="L38" i="2"/>
  <c r="J38" i="2"/>
  <c r="I38" i="2"/>
  <c r="H38" i="2"/>
  <c r="G38" i="2"/>
  <c r="F38" i="2"/>
  <c r="E38" i="2"/>
  <c r="D38" i="2"/>
  <c r="M32" i="2"/>
  <c r="M33" i="2" s="1"/>
  <c r="L32" i="2"/>
  <c r="L33" i="2" s="1"/>
  <c r="J32" i="2"/>
  <c r="J33" i="2" s="1"/>
  <c r="I32" i="2"/>
  <c r="I33" i="2" s="1"/>
  <c r="H32" i="2"/>
  <c r="H33" i="2" s="1"/>
  <c r="G32" i="2"/>
  <c r="G33" i="2" s="1"/>
  <c r="F32" i="2"/>
  <c r="F33" i="2" s="1"/>
  <c r="E32" i="2"/>
  <c r="E33" i="2" s="1"/>
  <c r="D32" i="2"/>
  <c r="D33" i="2" s="1"/>
  <c r="M28" i="2"/>
  <c r="L28" i="2"/>
  <c r="J28" i="2"/>
  <c r="I28" i="2"/>
  <c r="H28" i="2"/>
  <c r="G28" i="2"/>
  <c r="F28" i="2"/>
  <c r="E28" i="2"/>
  <c r="D28" i="2"/>
  <c r="D29" i="2" s="1"/>
  <c r="D30" i="2" s="1"/>
  <c r="K27" i="2"/>
  <c r="J27" i="2"/>
  <c r="I27" i="2"/>
  <c r="H27" i="2"/>
  <c r="G27" i="2"/>
  <c r="F27" i="2"/>
  <c r="E27" i="2"/>
  <c r="D26" i="2"/>
  <c r="M21" i="2"/>
  <c r="M37" i="2" s="1"/>
  <c r="L21" i="2"/>
  <c r="L37" i="2" s="1"/>
  <c r="J21" i="2"/>
  <c r="J37" i="2" s="1"/>
  <c r="I21" i="2"/>
  <c r="I37" i="2" s="1"/>
  <c r="H21" i="2"/>
  <c r="H37" i="2" s="1"/>
  <c r="G21" i="2"/>
  <c r="G37" i="2" s="1"/>
  <c r="F21" i="2"/>
  <c r="F37" i="2" s="1"/>
  <c r="E21" i="2"/>
  <c r="E37" i="2" s="1"/>
  <c r="D21" i="2"/>
  <c r="D37" i="2" s="1"/>
  <c r="J39" i="2" l="1"/>
  <c r="I51" i="2"/>
  <c r="I56" i="2" s="1"/>
  <c r="E29" i="2"/>
  <c r="E30" i="2" s="1"/>
  <c r="E31" i="2" s="1"/>
  <c r="M34" i="2"/>
  <c r="L34" i="2"/>
  <c r="F29" i="2"/>
  <c r="F30" i="2" s="1"/>
  <c r="F31" i="2" s="1"/>
  <c r="H29" i="2"/>
  <c r="H30" i="2" s="1"/>
  <c r="H31" i="2" s="1"/>
  <c r="I29" i="2"/>
  <c r="I30" i="2" s="1"/>
  <c r="I31" i="2" s="1"/>
  <c r="G29" i="2"/>
  <c r="G30" i="2" s="1"/>
  <c r="G31" i="2" s="1"/>
  <c r="H39" i="2"/>
  <c r="E34" i="2"/>
  <c r="E52" i="2" s="1"/>
  <c r="J29" i="2"/>
  <c r="J30" i="2" s="1"/>
  <c r="J31" i="2" s="1"/>
  <c r="J52" i="2" s="1"/>
  <c r="J53" i="2" s="1"/>
  <c r="J54" i="2" s="1"/>
  <c r="H51" i="2"/>
  <c r="H56" i="2" s="1"/>
  <c r="M63" i="2"/>
  <c r="D34" i="2"/>
  <c r="J51" i="2"/>
  <c r="J56" i="2" s="1"/>
  <c r="G34" i="2"/>
  <c r="E39" i="2"/>
  <c r="E51" i="2"/>
  <c r="E56" i="2" s="1"/>
  <c r="D48" i="2"/>
  <c r="D51" i="2" s="1"/>
  <c r="D56" i="2" s="1"/>
  <c r="M51" i="2"/>
  <c r="M56" i="2" s="1"/>
  <c r="J63" i="2"/>
  <c r="I34" i="2"/>
  <c r="I67" i="2" s="1"/>
  <c r="F39" i="2"/>
  <c r="E43" i="2"/>
  <c r="F51" i="2"/>
  <c r="H34" i="2"/>
  <c r="J34" i="2"/>
  <c r="G43" i="2"/>
  <c r="G51" i="2"/>
  <c r="G56" i="2" s="1"/>
  <c r="D39" i="2"/>
  <c r="M39" i="2"/>
  <c r="D31" i="2"/>
  <c r="D36" i="2" s="1"/>
  <c r="F34" i="2"/>
  <c r="F52" i="2" s="1"/>
  <c r="F53" i="2" s="1"/>
  <c r="F54" i="2" s="1"/>
  <c r="L39" i="2"/>
  <c r="L51" i="2"/>
  <c r="L56" i="2" s="1"/>
  <c r="F63" i="2"/>
  <c r="G39" i="2"/>
  <c r="I39" i="2"/>
  <c r="F56" i="2"/>
  <c r="D43" i="2"/>
  <c r="L43" i="2"/>
  <c r="L63" i="2"/>
  <c r="D63" i="2"/>
  <c r="M43" i="2"/>
  <c r="F43" i="2"/>
  <c r="E63" i="2"/>
  <c r="E72" i="2"/>
  <c r="H43" i="2"/>
  <c r="G63" i="2"/>
  <c r="L27" i="2"/>
  <c r="I43" i="2"/>
  <c r="H63" i="2"/>
  <c r="I72" i="2"/>
  <c r="J43" i="2"/>
  <c r="G52" i="2" l="1"/>
  <c r="F36" i="2"/>
  <c r="F65" i="2" s="1"/>
  <c r="F71" i="2" s="1"/>
  <c r="F73" i="2" s="1"/>
  <c r="D57" i="2"/>
  <c r="D58" i="2" s="1"/>
  <c r="D60" i="2" s="1"/>
  <c r="I52" i="2"/>
  <c r="I53" i="2" s="1"/>
  <c r="I54" i="2" s="1"/>
  <c r="G36" i="2"/>
  <c r="G65" i="2" s="1"/>
  <c r="G71" i="2" s="1"/>
  <c r="G73" i="2" s="1"/>
  <c r="G67" i="2"/>
  <c r="G57" i="2"/>
  <c r="F40" i="2"/>
  <c r="H57" i="2"/>
  <c r="D65" i="2"/>
  <c r="D71" i="2" s="1"/>
  <c r="D73" i="2" s="1"/>
  <c r="E36" i="2"/>
  <c r="E65" i="2" s="1"/>
  <c r="E71" i="2" s="1"/>
  <c r="E73" i="2" s="1"/>
  <c r="D40" i="2"/>
  <c r="E57" i="2"/>
  <c r="E67" i="2"/>
  <c r="E40" i="2"/>
  <c r="I36" i="2"/>
  <c r="I65" i="2" s="1"/>
  <c r="I71" i="2" s="1"/>
  <c r="I73" i="2" s="1"/>
  <c r="I40" i="2"/>
  <c r="I57" i="2"/>
  <c r="J67" i="2"/>
  <c r="F57" i="2"/>
  <c r="H40" i="2"/>
  <c r="G53" i="2"/>
  <c r="G54" i="2" s="1"/>
  <c r="J36" i="2"/>
  <c r="J65" i="2" s="1"/>
  <c r="J71" i="2" s="1"/>
  <c r="J73" i="2" s="1"/>
  <c r="J40" i="2"/>
  <c r="J57" i="2"/>
  <c r="H36" i="2"/>
  <c r="H67" i="2"/>
  <c r="H52" i="2"/>
  <c r="H53" i="2" s="1"/>
  <c r="H54" i="2" s="1"/>
  <c r="F67" i="2"/>
  <c r="G40" i="2"/>
  <c r="D67" i="2"/>
  <c r="D52" i="2"/>
  <c r="D53" i="2" s="1"/>
  <c r="D54" i="2" s="1"/>
  <c r="E53" i="2"/>
  <c r="E54" i="2" s="1"/>
  <c r="M27" i="2"/>
  <c r="M29" i="2" s="1"/>
  <c r="M30" i="2" s="1"/>
  <c r="M31" i="2" s="1"/>
  <c r="M57" i="2" s="1"/>
  <c r="L29" i="2"/>
  <c r="L30" i="2" s="1"/>
  <c r="L31" i="2" s="1"/>
  <c r="L57" i="2" s="1"/>
  <c r="G58" i="2" l="1"/>
  <c r="G60" i="2" s="1"/>
  <c r="F58" i="2"/>
  <c r="F60" i="2" s="1"/>
  <c r="I58" i="2"/>
  <c r="I60" i="2" s="1"/>
  <c r="E58" i="2"/>
  <c r="E60" i="2" s="1"/>
  <c r="D68" i="2"/>
  <c r="D69" i="2" s="1"/>
  <c r="F68" i="2"/>
  <c r="F69" i="2" s="1"/>
  <c r="H58" i="2"/>
  <c r="H60" i="2" s="1"/>
  <c r="I68" i="2"/>
  <c r="I69" i="2" s="1"/>
  <c r="E68" i="2"/>
  <c r="E69" i="2" s="1"/>
  <c r="H65" i="2"/>
  <c r="H71" i="2" s="1"/>
  <c r="H73" i="2" s="1"/>
  <c r="J58" i="2"/>
  <c r="J60" i="2" s="1"/>
  <c r="J68" i="2"/>
  <c r="J69" i="2" s="1"/>
  <c r="G68" i="2"/>
  <c r="G69" i="2" s="1"/>
  <c r="L67" i="2"/>
  <c r="L36" i="2"/>
  <c r="L65" i="2" s="1"/>
  <c r="L71" i="2" s="1"/>
  <c r="L73" i="2" s="1"/>
  <c r="L52" i="2"/>
  <c r="L53" i="2" s="1"/>
  <c r="L54" i="2" s="1"/>
  <c r="L40" i="2"/>
  <c r="M36" i="2"/>
  <c r="M65" i="2" s="1"/>
  <c r="M71" i="2" s="1"/>
  <c r="M73" i="2" s="1"/>
  <c r="M67" i="2"/>
  <c r="M52" i="2"/>
  <c r="M53" i="2" s="1"/>
  <c r="M54" i="2" s="1"/>
  <c r="M40" i="2"/>
  <c r="H68" i="2" l="1"/>
  <c r="H69" i="2" s="1"/>
  <c r="M68" i="2"/>
  <c r="M69" i="2" s="1"/>
  <c r="L68" i="2"/>
  <c r="L69" i="2" s="1"/>
  <c r="M58" i="2"/>
  <c r="M60" i="2" s="1"/>
  <c r="L58" i="2"/>
  <c r="L60" i="2" s="1"/>
</calcChain>
</file>

<file path=xl/sharedStrings.xml><?xml version="1.0" encoding="utf-8"?>
<sst xmlns="http://schemas.openxmlformats.org/spreadsheetml/2006/main" count="95" uniqueCount="87">
  <si>
    <t>SLD showing converter application</t>
  </si>
  <si>
    <t>Harmonic regulation limits</t>
  </si>
  <si>
    <t>Loss budget allotted to the filter design</t>
  </si>
  <si>
    <t>1.Choose DC bus voltage (Vdc), Switching frequency (Fsw) , Resonance Frequency (Fres), Transformer inductance (Lgst) , Grid side  inductance (Lg).</t>
  </si>
  <si>
    <t>Size and cost constraints</t>
  </si>
  <si>
    <t>2.Calculate L1max  using the  equation derived by “Fundamental voltage drop caused by the filter impedance “-Equ 1 .</t>
  </si>
  <si>
    <t>Grid short circuit MVA(Scc) min and Maximum</t>
  </si>
  <si>
    <r>
      <t>3.</t>
    </r>
    <r>
      <rPr>
        <sz val="14"/>
        <color rgb="FF1E4191"/>
        <rFont val="GE Inspira Pitch"/>
        <family val="2"/>
      </rPr>
      <t>Calculate the L1 using equation for ripple current limitation based on type of converter-Equ -2.</t>
    </r>
  </si>
  <si>
    <t>Transformer (GST) short circuit voltage(Ucc)</t>
  </si>
  <si>
    <t>4.Calculate L1 using equation( Equ-4) based on harmonic distortion limit at switching frequency and verify  its value against the value obtained in step 3. Normally this value will be less than the value obtained in  step 3. Hence, start design with L1 inductance value obtained in this step and in the design process get a good agreement between ripple limit, harmonic limit and cost.</t>
  </si>
  <si>
    <t>Operating DC bus voltage (Vdc)</t>
  </si>
  <si>
    <r>
      <t>5.</t>
    </r>
    <r>
      <rPr>
        <sz val="14"/>
        <color rgb="FF1E4191"/>
        <rFont val="GE Inspira Pitch"/>
        <family val="2"/>
      </rPr>
      <t>Calculate filter capacitance (Cf) using  resonance equation(Equ-5) , damping  resistance (Rd)  and damping inductance by equations (Equ-6 &amp;7)</t>
    </r>
  </si>
  <si>
    <t>PWM Techinque</t>
  </si>
  <si>
    <r>
      <t>6.</t>
    </r>
    <r>
      <rPr>
        <sz val="14"/>
        <color rgb="FF1E4191"/>
        <rFont val="GE Inspira Pitch"/>
        <family val="2"/>
      </rPr>
      <t>Verify the frequency response of Y21 for its magnitude at switching frequency and resonance frequency.</t>
    </r>
  </si>
  <si>
    <t>Switching frequency</t>
  </si>
  <si>
    <r>
      <t>7.</t>
    </r>
    <r>
      <rPr>
        <sz val="14"/>
        <color rgb="FF1E4191"/>
        <rFont val="GE Inspira Pitch"/>
        <family val="2"/>
      </rPr>
      <t>Perform the time domain simulation to find out Vthd and Ithd.</t>
    </r>
  </si>
  <si>
    <t>Sampling frequency</t>
  </si>
  <si>
    <r>
      <t>8.</t>
    </r>
    <r>
      <rPr>
        <sz val="14"/>
        <color rgb="FF1E4191"/>
        <rFont val="GE Inspira Pitch"/>
        <family val="2"/>
      </rPr>
      <t>If Vthd&lt;Vthdlimit,Ithd&lt;Ithdlimit and L1,Cf are optimal values then go to step 10,else go to step 9</t>
    </r>
  </si>
  <si>
    <t>Modulation Index at nominal opertion and its variation range</t>
  </si>
  <si>
    <r>
      <t>9.</t>
    </r>
    <r>
      <rPr>
        <sz val="14"/>
        <color rgb="FF1E4191"/>
        <rFont val="GE Inspira Pitch"/>
        <family val="2"/>
      </rPr>
      <t>As a first choice , try to decrease the resonance frequency to improve the capacitive shunt branch harmonic attenuation performance and continue design from step  5. if there is no room to decrease the resonance frequency due to existence of  harmonic at that frequency or limit on reactive power compensation , then try to increase converter side inductance (L1) and continue design form step 5.</t>
    </r>
  </si>
  <si>
    <t>Filter component tolerances</t>
  </si>
  <si>
    <t>10.Stop</t>
  </si>
  <si>
    <t>Transformer  impedance variation</t>
  </si>
  <si>
    <t>Grid frequency variation</t>
  </si>
  <si>
    <t>Grid voltage variation</t>
  </si>
  <si>
    <t xml:space="preserve">Cases </t>
  </si>
  <si>
    <t>w(2piF)</t>
  </si>
  <si>
    <t>Nominal AC voltage</t>
  </si>
  <si>
    <t>V</t>
  </si>
  <si>
    <t xml:space="preserve">Nominal Current </t>
  </si>
  <si>
    <t>A</t>
  </si>
  <si>
    <t>DC Bus voltage</t>
  </si>
  <si>
    <t xml:space="preserve">Switching frequnecy </t>
  </si>
  <si>
    <t>Hz</t>
  </si>
  <si>
    <t>Resonance frequency -Selection</t>
  </si>
  <si>
    <t>Transformer Nominal power</t>
  </si>
  <si>
    <t>VA</t>
  </si>
  <si>
    <t>T/F Short circuit Power</t>
  </si>
  <si>
    <t>T/F SC Power</t>
  </si>
  <si>
    <t>T/F impedance</t>
  </si>
  <si>
    <t>Ohm</t>
  </si>
  <si>
    <t>T/F Inductance ( L_TF)</t>
  </si>
  <si>
    <t>Henry</t>
  </si>
  <si>
    <t>Grid Short circuit power</t>
  </si>
  <si>
    <t>Grid SC impedance</t>
  </si>
  <si>
    <t>Grid Inductance</t>
  </si>
  <si>
    <t>Based on Inductive voltage drop with consider Only L value</t>
  </si>
  <si>
    <t>L2</t>
  </si>
  <si>
    <t>Lbase</t>
  </si>
  <si>
    <t>Ltpu_Max</t>
  </si>
  <si>
    <t>Ω</t>
  </si>
  <si>
    <t>Lt_max</t>
  </si>
  <si>
    <t>He</t>
  </si>
  <si>
    <t>L1_Max</t>
  </si>
  <si>
    <t>Hen</t>
  </si>
  <si>
    <t>Based on Ripple current</t>
  </si>
  <si>
    <t>Delta Ip_Max</t>
  </si>
  <si>
    <t>Lconv @ 1300V DC</t>
  </si>
  <si>
    <t xml:space="preserve">Based on the Harmonic limitation </t>
  </si>
  <si>
    <t>Wbase_Freq</t>
  </si>
  <si>
    <t>Wsw</t>
  </si>
  <si>
    <t>Wres</t>
  </si>
  <si>
    <t>I2PU ( SW)</t>
  </si>
  <si>
    <t>After Filter</t>
  </si>
  <si>
    <t>V1PU(SW)</t>
  </si>
  <si>
    <t>Before Fliter</t>
  </si>
  <si>
    <t>Ltpu</t>
  </si>
  <si>
    <t>L1pu</t>
  </si>
  <si>
    <t>L1_Conv</t>
  </si>
  <si>
    <t>Lt</t>
  </si>
  <si>
    <t>L_Conv</t>
  </si>
  <si>
    <t>H</t>
  </si>
  <si>
    <t>Leq</t>
  </si>
  <si>
    <t>Cf</t>
  </si>
  <si>
    <t>Manual Capacitance</t>
  </si>
  <si>
    <t>Re-estimated the line filter value( Leq)</t>
  </si>
  <si>
    <t>Converter  Inductance Value (L1)</t>
  </si>
  <si>
    <t>GST + Grid inductance (L2)</t>
  </si>
  <si>
    <t>Lequ-Final ( L1//L2)</t>
  </si>
  <si>
    <t>Resoance frequency (Fres)</t>
  </si>
  <si>
    <t>Fre_135</t>
  </si>
  <si>
    <t>L1_equ</t>
  </si>
  <si>
    <t>C</t>
  </si>
  <si>
    <t>Calculated_Resonance with L1 &amp;C1</t>
  </si>
  <si>
    <t>Maximum Frequency Limit (Fsw/2)</t>
  </si>
  <si>
    <t>Lconv @ 1500V DC</t>
  </si>
  <si>
    <t>L2pu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</si>
</sst>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name val="Arial"/>
      <family val="2"/>
    </font>
    <font>
      <b/>
      <sz val="14"/>
      <color rgb="FF1E4191"/>
      <name val="GE Inspira Pitch"/>
      <family val="2"/>
    </font>
    <font>
      <sz val="14"/>
      <color rgb="FF1E4191"/>
      <name val="GE Inspira Pitch"/>
      <family val="2"/>
    </font>
    <font>
      <sz val="14"/>
      <name val="Arial"/>
      <family val="2"/>
    </font>
    <font>
      <b/>
      <sz val="10"/>
      <name val="Arial"/>
      <family val="2"/>
    </font>
    <font>
      <b/>
      <sz val="10"/>
      <name val="Calibri"/>
      <family val="2"/>
    </font>
    <font>
      <sz val="10"/>
      <name val="Calibri"/>
      <family val="2"/>
    </font>
    <font>
      <sz val="10"/>
      <color rgb="FFFF0000"/>
      <name val="Arial"/>
      <family val="2"/>
    </font>
    <font>
      <b/>
      <sz val="10"/>
      <color rgb="FFFF0000"/>
      <name val="Arial"/>
      <family val="2"/>
    </font>
  </fonts>
  <fills count="11">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51">
    <xf numFmtId="0" fontId="0" fillId="0" borderId="0" xfId="0"/>
    <xf numFmtId="0" fontId="1" fillId="0" borderId="0" xfId="1"/>
    <xf numFmtId="0" fontId="2" fillId="0" borderId="0" xfId="1" applyFont="1" applyAlignment="1">
      <alignment horizontal="justify" vertical="center" readingOrder="1"/>
    </xf>
    <xf numFmtId="0" fontId="3" fillId="0" borderId="0" xfId="1" applyFont="1" applyAlignment="1">
      <alignment horizontal="justify" vertical="center" readingOrder="1"/>
    </xf>
    <xf numFmtId="0" fontId="4" fillId="0" borderId="0" xfId="1" applyFont="1" applyAlignment="1">
      <alignment horizontal="justify" vertical="center" readingOrder="1"/>
    </xf>
    <xf numFmtId="0" fontId="1" fillId="2" borderId="0" xfId="1" applyFill="1"/>
    <xf numFmtId="0" fontId="1" fillId="0" borderId="0" xfId="1" applyAlignment="1">
      <alignment horizontal="center" vertical="center" wrapText="1"/>
    </xf>
    <xf numFmtId="0" fontId="1" fillId="0" borderId="4" xfId="1" applyBorder="1"/>
    <xf numFmtId="0" fontId="1" fillId="0" borderId="5" xfId="1" applyBorder="1"/>
    <xf numFmtId="0" fontId="1" fillId="3" borderId="0" xfId="1" applyFill="1"/>
    <xf numFmtId="0" fontId="1" fillId="3" borderId="4" xfId="1" applyFill="1" applyBorder="1"/>
    <xf numFmtId="0" fontId="1" fillId="3" borderId="5" xfId="1" applyFill="1" applyBorder="1"/>
    <xf numFmtId="0" fontId="5" fillId="0" borderId="0" xfId="1" applyFont="1"/>
    <xf numFmtId="0" fontId="6" fillId="0" borderId="0" xfId="1" applyFont="1"/>
    <xf numFmtId="1" fontId="5" fillId="0" borderId="0" xfId="1" applyNumberFormat="1" applyFont="1"/>
    <xf numFmtId="0" fontId="7" fillId="0" borderId="0" xfId="1" applyFont="1"/>
    <xf numFmtId="11" fontId="1" fillId="0" borderId="0" xfId="1" applyNumberFormat="1"/>
    <xf numFmtId="11" fontId="1" fillId="0" borderId="4" xfId="1" applyNumberFormat="1" applyBorder="1"/>
    <xf numFmtId="11" fontId="1" fillId="0" borderId="5" xfId="1" applyNumberFormat="1" applyBorder="1"/>
    <xf numFmtId="11" fontId="5" fillId="0" borderId="0" xfId="1" applyNumberFormat="1" applyFont="1"/>
    <xf numFmtId="11" fontId="5" fillId="0" borderId="4" xfId="1" applyNumberFormat="1" applyFont="1" applyBorder="1"/>
    <xf numFmtId="11" fontId="5" fillId="0" borderId="5" xfId="1" applyNumberFormat="1" applyFont="1" applyBorder="1"/>
    <xf numFmtId="11" fontId="8" fillId="4" borderId="0" xfId="1" applyNumberFormat="1" applyFont="1" applyFill="1"/>
    <xf numFmtId="11" fontId="8" fillId="4" borderId="4" xfId="1" applyNumberFormat="1" applyFont="1" applyFill="1" applyBorder="1"/>
    <xf numFmtId="11" fontId="8" fillId="4" borderId="5" xfId="1" applyNumberFormat="1" applyFont="1" applyFill="1" applyBorder="1"/>
    <xf numFmtId="0" fontId="9" fillId="5" borderId="0" xfId="1" applyFont="1" applyFill="1"/>
    <xf numFmtId="0" fontId="9" fillId="5" borderId="4" xfId="1" applyFont="1" applyFill="1" applyBorder="1"/>
    <xf numFmtId="0" fontId="9" fillId="5" borderId="5" xfId="1" applyFont="1" applyFill="1" applyBorder="1"/>
    <xf numFmtId="0" fontId="1" fillId="6" borderId="0" xfId="1" applyFill="1"/>
    <xf numFmtId="11" fontId="1" fillId="6" borderId="0" xfId="1" applyNumberFormat="1" applyFill="1"/>
    <xf numFmtId="11" fontId="1" fillId="6" borderId="4" xfId="1" applyNumberFormat="1" applyFill="1" applyBorder="1"/>
    <xf numFmtId="11" fontId="1" fillId="6" borderId="5" xfId="1" applyNumberFormat="1" applyFill="1" applyBorder="1"/>
    <xf numFmtId="0" fontId="1" fillId="0" borderId="1" xfId="1" applyBorder="1"/>
    <xf numFmtId="0" fontId="1" fillId="0" borderId="2" xfId="1" applyBorder="1"/>
    <xf numFmtId="0" fontId="1" fillId="0" borderId="3" xfId="1" applyBorder="1"/>
    <xf numFmtId="0" fontId="1" fillId="7" borderId="6" xfId="1" applyFill="1" applyBorder="1"/>
    <xf numFmtId="0" fontId="1" fillId="7" borderId="7" xfId="1" applyFill="1" applyBorder="1"/>
    <xf numFmtId="2" fontId="1" fillId="7" borderId="7" xfId="1" applyNumberFormat="1" applyFill="1" applyBorder="1"/>
    <xf numFmtId="0" fontId="5" fillId="8" borderId="0" xfId="1" applyFont="1" applyFill="1"/>
    <xf numFmtId="0" fontId="1" fillId="9" borderId="0" xfId="1" applyFill="1"/>
    <xf numFmtId="0" fontId="1" fillId="0" borderId="0" xfId="1" applyFill="1"/>
    <xf numFmtId="11" fontId="1" fillId="0" borderId="0" xfId="1" applyNumberFormat="1" applyFill="1"/>
    <xf numFmtId="0" fontId="1" fillId="0" borderId="1" xfId="1" applyBorder="1" applyAlignment="1">
      <alignment horizontal="center" vertical="center" wrapText="1"/>
    </xf>
    <xf numFmtId="0" fontId="1" fillId="0" borderId="2" xfId="1" applyBorder="1" applyAlignment="1">
      <alignment horizontal="center" vertical="center" wrapText="1"/>
    </xf>
    <xf numFmtId="0" fontId="1" fillId="0" borderId="3" xfId="1" applyBorder="1" applyAlignment="1">
      <alignment horizontal="center" vertical="center" wrapText="1"/>
    </xf>
    <xf numFmtId="0" fontId="5" fillId="10" borderId="0" xfId="1" applyFont="1" applyFill="1"/>
    <xf numFmtId="0" fontId="1" fillId="10" borderId="0" xfId="1" applyFill="1"/>
    <xf numFmtId="11" fontId="5" fillId="10" borderId="0" xfId="1" applyNumberFormat="1" applyFont="1" applyFill="1"/>
    <xf numFmtId="11" fontId="1" fillId="10" borderId="0" xfId="1" applyNumberFormat="1" applyFill="1"/>
    <xf numFmtId="1" fontId="5" fillId="10" borderId="0" xfId="1" applyNumberFormat="1" applyFont="1" applyFill="1"/>
    <xf numFmtId="0" fontId="1" fillId="4" borderId="0" xfId="1" applyFill="1"/>
  </cellXfs>
  <cellStyles count="2">
    <cellStyle name="Normal" xfId="0" builtinId="0"/>
    <cellStyle name="Normal 2" xfId="1" xr:uid="{68EBB0C7-AEB2-4521-8907-3EE7EFB07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590550</xdr:colOff>
      <xdr:row>100</xdr:row>
      <xdr:rowOff>85725</xdr:rowOff>
    </xdr:from>
    <xdr:to>
      <xdr:col>29</xdr:col>
      <xdr:colOff>18512</xdr:colOff>
      <xdr:row>131</xdr:row>
      <xdr:rowOff>113670</xdr:rowOff>
    </xdr:to>
    <xdr:pic>
      <xdr:nvPicPr>
        <xdr:cNvPr id="7" name="Picture 6">
          <a:extLst>
            <a:ext uri="{FF2B5EF4-FFF2-40B4-BE49-F238E27FC236}">
              <a16:creationId xmlns:a16="http://schemas.microsoft.com/office/drawing/2014/main" id="{E35D211D-874B-4B3C-9C5E-A0D258F20869}"/>
            </a:ext>
          </a:extLst>
        </xdr:cNvPr>
        <xdr:cNvPicPr>
          <a:picLocks noChangeAspect="1"/>
        </xdr:cNvPicPr>
      </xdr:nvPicPr>
      <xdr:blipFill>
        <a:blip xmlns:r="http://schemas.openxmlformats.org/officeDocument/2006/relationships" r:embed="rId1"/>
        <a:stretch>
          <a:fillRect/>
        </a:stretch>
      </xdr:blipFill>
      <xdr:spPr>
        <a:xfrm>
          <a:off x="20720050" y="15509875"/>
          <a:ext cx="4304762" cy="4949194"/>
        </a:xfrm>
        <a:prstGeom prst="rect">
          <a:avLst/>
        </a:prstGeom>
      </xdr:spPr>
    </xdr:pic>
    <xdr:clientData/>
  </xdr:twoCellAnchor>
  <xdr:twoCellAnchor editAs="oneCell">
    <xdr:from>
      <xdr:col>33</xdr:col>
      <xdr:colOff>457200</xdr:colOff>
      <xdr:row>131</xdr:row>
      <xdr:rowOff>133350</xdr:rowOff>
    </xdr:from>
    <xdr:to>
      <xdr:col>34</xdr:col>
      <xdr:colOff>6380934</xdr:colOff>
      <xdr:row>168</xdr:row>
      <xdr:rowOff>142125</xdr:rowOff>
    </xdr:to>
    <xdr:pic>
      <xdr:nvPicPr>
        <xdr:cNvPr id="8" name="Picture 7">
          <a:extLst>
            <a:ext uri="{FF2B5EF4-FFF2-40B4-BE49-F238E27FC236}">
              <a16:creationId xmlns:a16="http://schemas.microsoft.com/office/drawing/2014/main" id="{E7949A08-9846-4A39-916E-783DA226F801}"/>
            </a:ext>
          </a:extLst>
        </xdr:cNvPr>
        <xdr:cNvPicPr>
          <a:picLocks noChangeAspect="1"/>
        </xdr:cNvPicPr>
      </xdr:nvPicPr>
      <xdr:blipFill>
        <a:blip xmlns:r="http://schemas.openxmlformats.org/officeDocument/2006/relationships" r:embed="rId2"/>
        <a:stretch>
          <a:fillRect/>
        </a:stretch>
      </xdr:blipFill>
      <xdr:spPr>
        <a:xfrm>
          <a:off x="27901900" y="20478750"/>
          <a:ext cx="6533334" cy="5882525"/>
        </a:xfrm>
        <a:prstGeom prst="rect">
          <a:avLst/>
        </a:prstGeom>
      </xdr:spPr>
    </xdr:pic>
    <xdr:clientData/>
  </xdr:twoCellAnchor>
  <xdr:twoCellAnchor editAs="oneCell">
    <xdr:from>
      <xdr:col>22</xdr:col>
      <xdr:colOff>0</xdr:colOff>
      <xdr:row>131</xdr:row>
      <xdr:rowOff>123825</xdr:rowOff>
    </xdr:from>
    <xdr:to>
      <xdr:col>32</xdr:col>
      <xdr:colOff>504001</xdr:colOff>
      <xdr:row>168</xdr:row>
      <xdr:rowOff>123077</xdr:rowOff>
    </xdr:to>
    <xdr:pic>
      <xdr:nvPicPr>
        <xdr:cNvPr id="9" name="Picture 8">
          <a:extLst>
            <a:ext uri="{FF2B5EF4-FFF2-40B4-BE49-F238E27FC236}">
              <a16:creationId xmlns:a16="http://schemas.microsoft.com/office/drawing/2014/main" id="{1D414C0F-1FF1-4D76-8DE1-EB8836A77454}"/>
            </a:ext>
          </a:extLst>
        </xdr:cNvPr>
        <xdr:cNvPicPr>
          <a:picLocks noChangeAspect="1"/>
        </xdr:cNvPicPr>
      </xdr:nvPicPr>
      <xdr:blipFill>
        <a:blip xmlns:r="http://schemas.openxmlformats.org/officeDocument/2006/relationships" r:embed="rId3"/>
        <a:stretch>
          <a:fillRect/>
        </a:stretch>
      </xdr:blipFill>
      <xdr:spPr>
        <a:xfrm>
          <a:off x="20739100" y="20469225"/>
          <a:ext cx="6600000" cy="5873002"/>
        </a:xfrm>
        <a:prstGeom prst="rect">
          <a:avLst/>
        </a:prstGeom>
      </xdr:spPr>
    </xdr:pic>
    <xdr:clientData/>
  </xdr:twoCellAnchor>
  <xdr:twoCellAnchor editAs="oneCell">
    <xdr:from>
      <xdr:col>16</xdr:col>
      <xdr:colOff>0</xdr:colOff>
      <xdr:row>20</xdr:row>
      <xdr:rowOff>0</xdr:rowOff>
    </xdr:from>
    <xdr:to>
      <xdr:col>26</xdr:col>
      <xdr:colOff>449592</xdr:colOff>
      <xdr:row>54</xdr:row>
      <xdr:rowOff>162411</xdr:rowOff>
    </xdr:to>
    <xdr:pic>
      <xdr:nvPicPr>
        <xdr:cNvPr id="10" name="Picture 9">
          <a:extLst>
            <a:ext uri="{FF2B5EF4-FFF2-40B4-BE49-F238E27FC236}">
              <a16:creationId xmlns:a16="http://schemas.microsoft.com/office/drawing/2014/main" id="{AFC714B6-ABB8-4066-5FDE-E65B7635627E}"/>
            </a:ext>
          </a:extLst>
        </xdr:cNvPr>
        <xdr:cNvPicPr>
          <a:picLocks noChangeAspect="1"/>
        </xdr:cNvPicPr>
      </xdr:nvPicPr>
      <xdr:blipFill>
        <a:blip xmlns:r="http://schemas.openxmlformats.org/officeDocument/2006/relationships" r:embed="rId4"/>
        <a:stretch>
          <a:fillRect/>
        </a:stretch>
      </xdr:blipFill>
      <xdr:spPr>
        <a:xfrm>
          <a:off x="11200086" y="4361793"/>
          <a:ext cx="6561905" cy="5742857"/>
        </a:xfrm>
        <a:prstGeom prst="rect">
          <a:avLst/>
        </a:prstGeom>
      </xdr:spPr>
    </xdr:pic>
    <xdr:clientData/>
  </xdr:twoCellAnchor>
  <xdr:twoCellAnchor editAs="oneCell">
    <xdr:from>
      <xdr:col>16</xdr:col>
      <xdr:colOff>0</xdr:colOff>
      <xdr:row>56</xdr:row>
      <xdr:rowOff>0</xdr:rowOff>
    </xdr:from>
    <xdr:to>
      <xdr:col>26</xdr:col>
      <xdr:colOff>278163</xdr:colOff>
      <xdr:row>96</xdr:row>
      <xdr:rowOff>65878</xdr:rowOff>
    </xdr:to>
    <xdr:pic>
      <xdr:nvPicPr>
        <xdr:cNvPr id="11" name="Picture 10">
          <a:extLst>
            <a:ext uri="{FF2B5EF4-FFF2-40B4-BE49-F238E27FC236}">
              <a16:creationId xmlns:a16="http://schemas.microsoft.com/office/drawing/2014/main" id="{0D1B1BC3-E9C5-C4E9-34D3-CB63208EF171}"/>
            </a:ext>
          </a:extLst>
        </xdr:cNvPr>
        <xdr:cNvPicPr>
          <a:picLocks noChangeAspect="1"/>
        </xdr:cNvPicPr>
      </xdr:nvPicPr>
      <xdr:blipFill>
        <a:blip xmlns:r="http://schemas.openxmlformats.org/officeDocument/2006/relationships" r:embed="rId5"/>
        <a:stretch>
          <a:fillRect/>
        </a:stretch>
      </xdr:blipFill>
      <xdr:spPr>
        <a:xfrm>
          <a:off x="11200086" y="10280431"/>
          <a:ext cx="6390476" cy="54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1D40-9D2D-4F7B-B36D-31D6C3E4017D}">
  <dimension ref="B4:AI78"/>
  <sheetViews>
    <sheetView tabSelected="1" topLeftCell="A18" zoomScale="145" zoomScaleNormal="145" workbookViewId="0">
      <selection activeCell="O51" sqref="O51"/>
    </sheetView>
  </sheetViews>
  <sheetFormatPr defaultRowHeight="12.5"/>
  <cols>
    <col min="1" max="1" width="8.7265625" style="1"/>
    <col min="2" max="2" width="57.453125" style="1" bestFit="1" customWidth="1"/>
    <col min="3" max="3" width="11" style="1" bestFit="1" customWidth="1"/>
    <col min="4" max="4" width="12.453125" style="1" bestFit="1" customWidth="1"/>
    <col min="5" max="5" width="12.453125" style="1" customWidth="1"/>
    <col min="6" max="11" width="12.453125" style="1" hidden="1" customWidth="1"/>
    <col min="12" max="12" width="12.453125" style="1" customWidth="1"/>
    <col min="13" max="13" width="12.453125" style="1" bestFit="1" customWidth="1"/>
    <col min="14" max="15" width="12.453125" style="1" customWidth="1"/>
    <col min="16" max="34" width="8.7265625" style="1"/>
    <col min="35" max="35" width="195.26953125" style="1" bestFit="1" customWidth="1"/>
    <col min="36" max="16384" width="8.7265625" style="1"/>
  </cols>
  <sheetData>
    <row r="4" spans="2:35">
      <c r="B4" s="1" t="s">
        <v>0</v>
      </c>
    </row>
    <row r="5" spans="2:35" ht="18">
      <c r="B5" s="1" t="s">
        <v>1</v>
      </c>
      <c r="AI5" s="2"/>
    </row>
    <row r="6" spans="2:35" ht="17.5">
      <c r="B6" s="1" t="s">
        <v>2</v>
      </c>
      <c r="AI6" s="3" t="s">
        <v>3</v>
      </c>
    </row>
    <row r="7" spans="2:35" ht="17.5">
      <c r="B7" s="1" t="s">
        <v>4</v>
      </c>
      <c r="AI7" s="3" t="s">
        <v>5</v>
      </c>
    </row>
    <row r="8" spans="2:35" ht="17.5">
      <c r="B8" s="1" t="s">
        <v>6</v>
      </c>
      <c r="AI8" s="4" t="s">
        <v>7</v>
      </c>
    </row>
    <row r="9" spans="2:35" ht="19.5" customHeight="1">
      <c r="B9" s="1" t="s">
        <v>8</v>
      </c>
      <c r="AI9" s="3" t="s">
        <v>9</v>
      </c>
    </row>
    <row r="10" spans="2:35" ht="17.5">
      <c r="B10" s="1" t="s">
        <v>10</v>
      </c>
      <c r="AI10" s="3" t="s">
        <v>11</v>
      </c>
    </row>
    <row r="11" spans="2:35" ht="17.5">
      <c r="B11" s="1" t="s">
        <v>12</v>
      </c>
      <c r="AI11" s="3" t="s">
        <v>13</v>
      </c>
    </row>
    <row r="12" spans="2:35" ht="17.5">
      <c r="B12" s="1" t="s">
        <v>14</v>
      </c>
      <c r="AI12" s="3" t="s">
        <v>15</v>
      </c>
    </row>
    <row r="13" spans="2:35" ht="17.5">
      <c r="B13" s="1" t="s">
        <v>16</v>
      </c>
      <c r="AI13" s="3" t="s">
        <v>17</v>
      </c>
    </row>
    <row r="14" spans="2:35" ht="52.5">
      <c r="B14" s="1" t="s">
        <v>18</v>
      </c>
      <c r="AI14" s="3" t="s">
        <v>19</v>
      </c>
    </row>
    <row r="15" spans="2:35" ht="17.5">
      <c r="B15" s="1" t="s">
        <v>20</v>
      </c>
      <c r="AI15" s="3" t="s">
        <v>21</v>
      </c>
    </row>
    <row r="16" spans="2:35">
      <c r="B16" s="1" t="s">
        <v>22</v>
      </c>
    </row>
    <row r="17" spans="2:15">
      <c r="B17" s="1" t="s">
        <v>23</v>
      </c>
    </row>
    <row r="18" spans="2:15">
      <c r="B18" s="1" t="s">
        <v>24</v>
      </c>
    </row>
    <row r="19" spans="2:15" ht="13" thickBot="1"/>
    <row r="20" spans="2:15">
      <c r="B20" s="1" t="s">
        <v>25</v>
      </c>
      <c r="D20" s="1">
        <v>1</v>
      </c>
      <c r="E20" s="40">
        <v>2</v>
      </c>
      <c r="H20" s="42"/>
      <c r="I20" s="43"/>
      <c r="J20" s="44"/>
      <c r="K20" s="6"/>
      <c r="L20" s="1">
        <v>3</v>
      </c>
      <c r="M20" s="5">
        <v>4</v>
      </c>
      <c r="N20" s="1">
        <v>5</v>
      </c>
      <c r="O20" s="1">
        <v>6</v>
      </c>
    </row>
    <row r="21" spans="2:15">
      <c r="B21" s="1" t="s">
        <v>26</v>
      </c>
      <c r="D21" s="1">
        <f t="shared" ref="D21:J21" si="0">2*PI()*50</f>
        <v>314.15926535897933</v>
      </c>
      <c r="E21" s="1">
        <f t="shared" si="0"/>
        <v>314.15926535897933</v>
      </c>
      <c r="F21" s="1">
        <f t="shared" si="0"/>
        <v>314.15926535897933</v>
      </c>
      <c r="G21" s="1">
        <f t="shared" si="0"/>
        <v>314.15926535897933</v>
      </c>
      <c r="H21" s="7">
        <f t="shared" si="0"/>
        <v>314.15926535897933</v>
      </c>
      <c r="I21" s="1">
        <f t="shared" si="0"/>
        <v>314.15926535897933</v>
      </c>
      <c r="J21" s="8">
        <f t="shared" si="0"/>
        <v>314.15926535897933</v>
      </c>
      <c r="L21" s="1">
        <f>2*PI()*50</f>
        <v>314.15926535897933</v>
      </c>
      <c r="M21" s="1">
        <f>2*PI()*50</f>
        <v>314.15926535897933</v>
      </c>
      <c r="N21" s="1">
        <f>2*PI()*50</f>
        <v>314.15926535897933</v>
      </c>
      <c r="O21" s="1">
        <f>2*PI()*50</f>
        <v>314.15926535897933</v>
      </c>
    </row>
    <row r="22" spans="2:15">
      <c r="B22" s="46" t="s">
        <v>27</v>
      </c>
      <c r="C22" s="1" t="s">
        <v>28</v>
      </c>
      <c r="D22" s="46">
        <v>715</v>
      </c>
      <c r="E22" s="1">
        <v>715</v>
      </c>
      <c r="F22" s="1">
        <v>600</v>
      </c>
      <c r="G22" s="1">
        <v>600</v>
      </c>
      <c r="H22" s="7">
        <v>600</v>
      </c>
      <c r="I22" s="1">
        <v>600</v>
      </c>
      <c r="J22" s="8">
        <v>600</v>
      </c>
      <c r="L22" s="1">
        <v>715</v>
      </c>
      <c r="M22" s="1">
        <v>715</v>
      </c>
      <c r="N22" s="1">
        <v>715</v>
      </c>
      <c r="O22" s="1">
        <v>715</v>
      </c>
    </row>
    <row r="23" spans="2:15">
      <c r="B23" s="46" t="s">
        <v>29</v>
      </c>
      <c r="C23" s="1" t="s">
        <v>30</v>
      </c>
      <c r="D23" s="46">
        <v>245</v>
      </c>
      <c r="E23" s="1">
        <v>420</v>
      </c>
      <c r="F23" s="1">
        <v>803</v>
      </c>
      <c r="G23" s="1">
        <v>803</v>
      </c>
      <c r="H23" s="1">
        <v>803</v>
      </c>
      <c r="I23" s="1">
        <v>803</v>
      </c>
      <c r="J23" s="1">
        <v>803</v>
      </c>
      <c r="K23" s="1">
        <v>803</v>
      </c>
      <c r="L23" s="1">
        <v>420</v>
      </c>
      <c r="M23" s="1">
        <v>420</v>
      </c>
      <c r="N23" s="1">
        <v>420</v>
      </c>
      <c r="O23" s="1">
        <v>420</v>
      </c>
    </row>
    <row r="24" spans="2:15">
      <c r="B24" s="46" t="s">
        <v>31</v>
      </c>
      <c r="C24" s="1" t="s">
        <v>28</v>
      </c>
      <c r="D24" s="46">
        <v>1450</v>
      </c>
      <c r="E24" s="1">
        <v>1500</v>
      </c>
      <c r="F24" s="1">
        <v>900</v>
      </c>
      <c r="G24" s="1">
        <v>900</v>
      </c>
      <c r="H24" s="7">
        <v>900</v>
      </c>
      <c r="I24" s="1">
        <v>900</v>
      </c>
      <c r="J24" s="8">
        <v>900</v>
      </c>
      <c r="L24" s="1">
        <v>1500</v>
      </c>
      <c r="M24" s="1">
        <v>1500</v>
      </c>
      <c r="N24" s="1">
        <v>1500</v>
      </c>
      <c r="O24" s="1">
        <v>1500</v>
      </c>
    </row>
    <row r="25" spans="2:15">
      <c r="B25" s="46" t="s">
        <v>32</v>
      </c>
      <c r="C25" s="1" t="s">
        <v>33</v>
      </c>
      <c r="D25" s="46">
        <v>3000</v>
      </c>
      <c r="E25" s="1">
        <v>2850</v>
      </c>
      <c r="F25" s="1">
        <v>1950</v>
      </c>
      <c r="G25" s="1">
        <v>1950</v>
      </c>
      <c r="H25" s="7">
        <v>1950</v>
      </c>
      <c r="I25" s="1">
        <v>1950</v>
      </c>
      <c r="J25" s="8">
        <v>1950</v>
      </c>
      <c r="L25" s="1">
        <v>2850</v>
      </c>
      <c r="M25" s="1">
        <v>2850</v>
      </c>
      <c r="N25" s="1">
        <v>2850</v>
      </c>
      <c r="O25" s="1">
        <v>2850</v>
      </c>
    </row>
    <row r="26" spans="2:15">
      <c r="B26" s="1" t="s">
        <v>34</v>
      </c>
      <c r="C26" s="1" t="s">
        <v>33</v>
      </c>
      <c r="D26" s="9">
        <f>D25/2</f>
        <v>1500</v>
      </c>
      <c r="E26" s="9">
        <v>1390</v>
      </c>
      <c r="F26" s="9">
        <v>930</v>
      </c>
      <c r="G26" s="9">
        <v>930</v>
      </c>
      <c r="H26" s="10">
        <v>930</v>
      </c>
      <c r="I26" s="9">
        <v>930</v>
      </c>
      <c r="J26" s="11">
        <v>930</v>
      </c>
      <c r="K26" s="9"/>
      <c r="L26" s="9">
        <v>1350</v>
      </c>
      <c r="M26" s="9">
        <v>1300</v>
      </c>
      <c r="N26" s="9">
        <v>1200</v>
      </c>
      <c r="O26" s="9">
        <v>1100</v>
      </c>
    </row>
    <row r="27" spans="2:15" ht="13">
      <c r="B27" s="45" t="s">
        <v>35</v>
      </c>
      <c r="C27" s="13" t="s">
        <v>36</v>
      </c>
      <c r="D27" s="49">
        <v>835000</v>
      </c>
      <c r="E27" s="14">
        <f>D27</f>
        <v>835000</v>
      </c>
      <c r="F27" s="14">
        <f t="shared" ref="F27:K27" si="1">F22*F23*SQRT(3)</f>
        <v>834502.07908668509</v>
      </c>
      <c r="G27" s="14">
        <f t="shared" si="1"/>
        <v>834502.07908668509</v>
      </c>
      <c r="H27" s="14">
        <f t="shared" si="1"/>
        <v>834502.07908668509</v>
      </c>
      <c r="I27" s="14">
        <f t="shared" si="1"/>
        <v>834502.07908668509</v>
      </c>
      <c r="J27" s="14">
        <f t="shared" si="1"/>
        <v>834502.07908668509</v>
      </c>
      <c r="K27" s="14">
        <f t="shared" si="1"/>
        <v>0</v>
      </c>
      <c r="L27" s="14">
        <f>E27</f>
        <v>835000</v>
      </c>
      <c r="M27" s="14">
        <f>L27</f>
        <v>835000</v>
      </c>
      <c r="N27" s="14">
        <f>M27</f>
        <v>835000</v>
      </c>
      <c r="O27" s="14">
        <f>N27</f>
        <v>835000</v>
      </c>
    </row>
    <row r="28" spans="2:15" ht="13">
      <c r="B28" s="46" t="s">
        <v>37</v>
      </c>
      <c r="C28" s="15"/>
      <c r="D28" s="46">
        <f>7/100</f>
        <v>7.0000000000000007E-2</v>
      </c>
      <c r="E28" s="1">
        <f>7/100</f>
        <v>7.0000000000000007E-2</v>
      </c>
      <c r="F28" s="1">
        <f>7/100</f>
        <v>7.0000000000000007E-2</v>
      </c>
      <c r="G28" s="1">
        <f>7/100</f>
        <v>7.0000000000000007E-2</v>
      </c>
      <c r="H28" s="7">
        <f>7/100</f>
        <v>7.0000000000000007E-2</v>
      </c>
      <c r="I28" s="1">
        <f>9/100</f>
        <v>0.09</v>
      </c>
      <c r="J28" s="8">
        <f>5.5/100</f>
        <v>5.5E-2</v>
      </c>
      <c r="L28" s="1">
        <f>7/100</f>
        <v>7.0000000000000007E-2</v>
      </c>
      <c r="M28" s="1">
        <f>7/100</f>
        <v>7.0000000000000007E-2</v>
      </c>
      <c r="N28" s="1">
        <f>7/100</f>
        <v>7.0000000000000007E-2</v>
      </c>
      <c r="O28" s="1">
        <f>7/100</f>
        <v>7.0000000000000007E-2</v>
      </c>
    </row>
    <row r="29" spans="2:15" ht="13">
      <c r="B29" s="1" t="s">
        <v>38</v>
      </c>
      <c r="C29" s="15" t="s">
        <v>36</v>
      </c>
      <c r="D29" s="1">
        <f>D27/D28</f>
        <v>11928571.428571427</v>
      </c>
      <c r="E29" s="1">
        <f>E27/E28</f>
        <v>11928571.428571427</v>
      </c>
      <c r="F29" s="1">
        <f t="shared" ref="F29:J29" si="2">F27/F28</f>
        <v>11921458.272666929</v>
      </c>
      <c r="G29" s="1">
        <f t="shared" si="2"/>
        <v>11921458.272666929</v>
      </c>
      <c r="H29" s="7">
        <f t="shared" si="2"/>
        <v>11921458.272666929</v>
      </c>
      <c r="I29" s="1">
        <f t="shared" si="2"/>
        <v>9272245.3231853899</v>
      </c>
      <c r="J29" s="8">
        <f t="shared" si="2"/>
        <v>15172765.074303364</v>
      </c>
      <c r="L29" s="1">
        <f>L27/L28</f>
        <v>11928571.428571427</v>
      </c>
      <c r="M29" s="1">
        <f>M27/M28</f>
        <v>11928571.428571427</v>
      </c>
      <c r="N29" s="1">
        <f>N27/N28</f>
        <v>11928571.428571427</v>
      </c>
      <c r="O29" s="1">
        <f>O27/O28</f>
        <v>11928571.428571427</v>
      </c>
    </row>
    <row r="30" spans="2:15" ht="13">
      <c r="B30" s="1" t="s">
        <v>39</v>
      </c>
      <c r="C30" s="15" t="s">
        <v>40</v>
      </c>
      <c r="D30" s="1">
        <f t="shared" ref="D30:J30" si="3">D22^2/D29</f>
        <v>4.2857185628742522E-2</v>
      </c>
      <c r="E30" s="1">
        <f t="shared" si="3"/>
        <v>4.2857185628742522E-2</v>
      </c>
      <c r="F30" s="1">
        <f t="shared" si="3"/>
        <v>3.0197647952632981E-2</v>
      </c>
      <c r="G30" s="1">
        <f t="shared" si="3"/>
        <v>3.0197647952632981E-2</v>
      </c>
      <c r="H30" s="7">
        <f t="shared" si="3"/>
        <v>3.0197647952632981E-2</v>
      </c>
      <c r="I30" s="1">
        <f t="shared" si="3"/>
        <v>3.8825547367670972E-2</v>
      </c>
      <c r="J30" s="8">
        <f t="shared" si="3"/>
        <v>2.3726723391354485E-2</v>
      </c>
      <c r="L30" s="1">
        <f>L22^2/L29</f>
        <v>4.2857185628742522E-2</v>
      </c>
      <c r="M30" s="1">
        <f>M22^2/M29</f>
        <v>4.2857185628742522E-2</v>
      </c>
      <c r="N30" s="1">
        <f>N22^2/N29</f>
        <v>4.2857185628742522E-2</v>
      </c>
      <c r="O30" s="1">
        <f>O22^2/O29</f>
        <v>4.2857185628742522E-2</v>
      </c>
    </row>
    <row r="31" spans="2:15" ht="13">
      <c r="B31" s="1" t="s">
        <v>41</v>
      </c>
      <c r="C31" s="15" t="s">
        <v>42</v>
      </c>
      <c r="D31" s="16">
        <f t="shared" ref="D31:J31" si="4">D30/D21</f>
        <v>1.3641865879642621E-4</v>
      </c>
      <c r="E31" s="16">
        <f t="shared" si="4"/>
        <v>1.3641865879642621E-4</v>
      </c>
      <c r="F31" s="16">
        <f t="shared" si="4"/>
        <v>9.6122098828207837E-5</v>
      </c>
      <c r="G31" s="16">
        <f t="shared" si="4"/>
        <v>9.6122098828207837E-5</v>
      </c>
      <c r="H31" s="17">
        <f t="shared" si="4"/>
        <v>9.6122098828207837E-5</v>
      </c>
      <c r="I31" s="16">
        <f t="shared" si="4"/>
        <v>1.235855556362672E-4</v>
      </c>
      <c r="J31" s="18">
        <f t="shared" si="4"/>
        <v>7.5524506222163299E-5</v>
      </c>
      <c r="K31" s="16"/>
      <c r="L31" s="16">
        <f>L30/L21</f>
        <v>1.3641865879642621E-4</v>
      </c>
      <c r="M31" s="16">
        <f>M30/M21</f>
        <v>1.3641865879642621E-4</v>
      </c>
      <c r="N31" s="16">
        <f>N30/N21</f>
        <v>1.3641865879642621E-4</v>
      </c>
      <c r="O31" s="16">
        <f>O30/O21</f>
        <v>1.3641865879642621E-4</v>
      </c>
    </row>
    <row r="32" spans="2:15" ht="13">
      <c r="B32" s="45" t="s">
        <v>43</v>
      </c>
      <c r="C32" s="13" t="s">
        <v>36</v>
      </c>
      <c r="D32" s="47">
        <f>480000000</f>
        <v>480000000</v>
      </c>
      <c r="E32" s="19">
        <f>480000000</f>
        <v>480000000</v>
      </c>
      <c r="F32" s="19">
        <f>200000000</f>
        <v>200000000</v>
      </c>
      <c r="G32" s="19">
        <f>100000000</f>
        <v>100000000</v>
      </c>
      <c r="H32" s="20">
        <f>480000000</f>
        <v>480000000</v>
      </c>
      <c r="I32" s="19">
        <f>200000000</f>
        <v>200000000</v>
      </c>
      <c r="J32" s="21">
        <f>100000000</f>
        <v>100000000</v>
      </c>
      <c r="K32" s="19"/>
      <c r="L32" s="19">
        <f>480000000</f>
        <v>480000000</v>
      </c>
      <c r="M32" s="19">
        <f>480000000</f>
        <v>480000000</v>
      </c>
      <c r="N32" s="19">
        <f>480000000</f>
        <v>480000000</v>
      </c>
      <c r="O32" s="19">
        <f>480000000</f>
        <v>480000000</v>
      </c>
    </row>
    <row r="33" spans="2:16" ht="13">
      <c r="B33" s="46" t="s">
        <v>44</v>
      </c>
      <c r="C33" s="15"/>
      <c r="D33" s="48">
        <f t="shared" ref="D33:J33" si="5">D22^2/D32</f>
        <v>1.0650520833333334E-3</v>
      </c>
      <c r="E33" s="16">
        <f t="shared" si="5"/>
        <v>1.0650520833333334E-3</v>
      </c>
      <c r="F33" s="16">
        <f t="shared" si="5"/>
        <v>1.8E-3</v>
      </c>
      <c r="G33" s="16">
        <f t="shared" si="5"/>
        <v>3.5999999999999999E-3</v>
      </c>
      <c r="H33" s="17">
        <f t="shared" si="5"/>
        <v>7.5000000000000002E-4</v>
      </c>
      <c r="I33" s="16">
        <f t="shared" si="5"/>
        <v>1.8E-3</v>
      </c>
      <c r="J33" s="18">
        <f t="shared" si="5"/>
        <v>3.5999999999999999E-3</v>
      </c>
      <c r="K33" s="16"/>
      <c r="L33" s="16">
        <f>L22^2/L32</f>
        <v>1.0650520833333334E-3</v>
      </c>
      <c r="M33" s="16">
        <f>M22^2/M32</f>
        <v>1.0650520833333334E-3</v>
      </c>
      <c r="N33" s="16">
        <f>N22^2/N32</f>
        <v>1.0650520833333334E-3</v>
      </c>
      <c r="O33" s="16">
        <f>O22^2/O32</f>
        <v>1.0650520833333334E-3</v>
      </c>
    </row>
    <row r="34" spans="2:16" ht="13">
      <c r="B34" s="46" t="s">
        <v>45</v>
      </c>
      <c r="C34" s="15" t="s">
        <v>42</v>
      </c>
      <c r="D34" s="48">
        <f t="shared" ref="D34:J34" si="6">D33/D21</f>
        <v>3.390166074256425E-6</v>
      </c>
      <c r="E34" s="16">
        <f t="shared" si="6"/>
        <v>3.390166074256425E-6</v>
      </c>
      <c r="F34" s="16">
        <f t="shared" si="6"/>
        <v>5.7295779513082322E-6</v>
      </c>
      <c r="G34" s="16">
        <f t="shared" si="6"/>
        <v>1.1459155902616464E-5</v>
      </c>
      <c r="H34" s="17">
        <f t="shared" si="6"/>
        <v>2.3873241463784299E-6</v>
      </c>
      <c r="I34" s="16">
        <f t="shared" si="6"/>
        <v>5.7295779513082322E-6</v>
      </c>
      <c r="J34" s="18">
        <f t="shared" si="6"/>
        <v>1.1459155902616464E-5</v>
      </c>
      <c r="K34" s="16"/>
      <c r="L34" s="16">
        <f>L33/L21</f>
        <v>3.390166074256425E-6</v>
      </c>
      <c r="M34" s="16">
        <f>M33/M21</f>
        <v>3.390166074256425E-6</v>
      </c>
      <c r="N34" s="16">
        <f>N33/N21</f>
        <v>3.390166074256425E-6</v>
      </c>
      <c r="O34" s="16">
        <f>O33/O21</f>
        <v>3.390166074256425E-6</v>
      </c>
    </row>
    <row r="35" spans="2:16" ht="13">
      <c r="B35" s="12" t="s">
        <v>46</v>
      </c>
      <c r="C35" s="15"/>
      <c r="D35" s="16"/>
      <c r="E35" s="16"/>
      <c r="F35" s="16"/>
      <c r="G35" s="16"/>
      <c r="H35" s="17"/>
      <c r="I35" s="16"/>
      <c r="J35" s="18"/>
      <c r="K35" s="16"/>
      <c r="L35" s="16"/>
      <c r="M35" s="16"/>
      <c r="N35" s="16"/>
      <c r="O35" s="16"/>
    </row>
    <row r="36" spans="2:16" ht="13">
      <c r="B36" s="1" t="s">
        <v>47</v>
      </c>
      <c r="C36" s="15"/>
      <c r="D36" s="16">
        <f t="shared" ref="D36:J36" si="7">D31+D34</f>
        <v>1.3980882487068264E-4</v>
      </c>
      <c r="E36" s="16">
        <f t="shared" si="7"/>
        <v>1.3980882487068264E-4</v>
      </c>
      <c r="F36" s="16">
        <f t="shared" si="7"/>
        <v>1.0185167677951607E-4</v>
      </c>
      <c r="G36" s="16">
        <f t="shared" si="7"/>
        <v>1.075812547308243E-4</v>
      </c>
      <c r="H36" s="17">
        <f t="shared" si="7"/>
        <v>9.8509422974586266E-5</v>
      </c>
      <c r="I36" s="16">
        <f t="shared" si="7"/>
        <v>1.2931513358757543E-4</v>
      </c>
      <c r="J36" s="18">
        <f t="shared" si="7"/>
        <v>8.6983662124779759E-5</v>
      </c>
      <c r="K36" s="16"/>
      <c r="L36" s="16">
        <f>L31+L34</f>
        <v>1.3980882487068264E-4</v>
      </c>
      <c r="M36" s="16">
        <f>M31+M34</f>
        <v>1.3980882487068264E-4</v>
      </c>
      <c r="N36" s="16">
        <f>N31+N34</f>
        <v>1.3980882487068264E-4</v>
      </c>
      <c r="O36" s="16">
        <f>O31+O34</f>
        <v>1.3980882487068264E-4</v>
      </c>
    </row>
    <row r="37" spans="2:16">
      <c r="B37" s="1" t="s">
        <v>48</v>
      </c>
      <c r="D37" s="16">
        <f>(D22/SQRT(3))/(D23*D21)</f>
        <v>5.363267486075937E-3</v>
      </c>
      <c r="E37" s="16">
        <f t="shared" ref="E37:J37" si="8">(E22/SQRT(3))/(E23*E21)</f>
        <v>3.128572700210963E-3</v>
      </c>
      <c r="F37" s="16">
        <f t="shared" si="8"/>
        <v>1.3731728404029692E-3</v>
      </c>
      <c r="G37" s="16">
        <f t="shared" si="8"/>
        <v>1.3731728404029692E-3</v>
      </c>
      <c r="H37" s="17">
        <f t="shared" si="8"/>
        <v>1.3731728404029692E-3</v>
      </c>
      <c r="I37" s="16">
        <f t="shared" si="8"/>
        <v>1.3731728404029692E-3</v>
      </c>
      <c r="J37" s="18">
        <f t="shared" si="8"/>
        <v>1.3731728404029692E-3</v>
      </c>
      <c r="K37" s="16"/>
      <c r="L37" s="16">
        <f>(L22/SQRT(3))/(L23*L21)</f>
        <v>3.128572700210963E-3</v>
      </c>
      <c r="M37" s="16">
        <f>(M22/SQRT(3))/(M23*M21)</f>
        <v>3.128572700210963E-3</v>
      </c>
      <c r="N37" s="16">
        <f>(N22/SQRT(3))/(N23*N21)</f>
        <v>3.128572700210963E-3</v>
      </c>
      <c r="O37" s="16">
        <f>(O22/SQRT(3))/(O23*O21)</f>
        <v>3.128572700210963E-3</v>
      </c>
    </row>
    <row r="38" spans="2:16" ht="13">
      <c r="B38" s="1" t="s">
        <v>49</v>
      </c>
      <c r="C38" s="15" t="s">
        <v>50</v>
      </c>
      <c r="D38" s="1">
        <f>SQRT((D24^2/6)-(D22/SQRT(3))^2)/(D22/SQRT(3))</f>
        <v>1.0277817244524685</v>
      </c>
      <c r="E38" s="1">
        <f t="shared" ref="E38:J38" si="9">SQRT((E24^2/6)-(E22/SQRT(3))^2)/(E22/SQRT(3))</f>
        <v>1.0957173933962223</v>
      </c>
      <c r="F38" s="1">
        <f t="shared" si="9"/>
        <v>0.35355339059327334</v>
      </c>
      <c r="G38" s="1">
        <f t="shared" si="9"/>
        <v>0.35355339059327334</v>
      </c>
      <c r="H38" s="7">
        <f t="shared" si="9"/>
        <v>0.35355339059327334</v>
      </c>
      <c r="I38" s="1">
        <f t="shared" si="9"/>
        <v>0.35355339059327334</v>
      </c>
      <c r="J38" s="8">
        <f t="shared" si="9"/>
        <v>0.35355339059327334</v>
      </c>
      <c r="L38" s="1">
        <f>SQRT((L24^2/6)-(L22/SQRT(3))^2)/(L22/SQRT(3))</f>
        <v>1.0957173933962223</v>
      </c>
      <c r="M38" s="1">
        <f>SQRT((M24^2/6)-(M22/SQRT(3))^2)/(M22/SQRT(3))</f>
        <v>1.0957173933962223</v>
      </c>
      <c r="N38" s="1">
        <f>SQRT((N24^2/6)-(N22/SQRT(3))^2)/(N22/SQRT(3))</f>
        <v>1.0957173933962223</v>
      </c>
      <c r="O38" s="1">
        <f>SQRT((O24^2/6)-(O22/SQRT(3))^2)/(O22/SQRT(3))</f>
        <v>1.0957173933962223</v>
      </c>
    </row>
    <row r="39" spans="2:16" ht="13">
      <c r="B39" s="1" t="s">
        <v>51</v>
      </c>
      <c r="C39" s="15" t="s">
        <v>52</v>
      </c>
      <c r="D39" s="16">
        <f t="shared" ref="D39:J39" si="10">D38*D37</f>
        <v>5.512268305538982E-3</v>
      </c>
      <c r="E39" s="16">
        <f t="shared" si="10"/>
        <v>3.4280315241257374E-3</v>
      </c>
      <c r="F39" s="16">
        <f t="shared" si="10"/>
        <v>4.8548991359506557E-4</v>
      </c>
      <c r="G39" s="16">
        <f t="shared" si="10"/>
        <v>4.8548991359506557E-4</v>
      </c>
      <c r="H39" s="17">
        <f t="shared" si="10"/>
        <v>4.8548991359506557E-4</v>
      </c>
      <c r="I39" s="16">
        <f t="shared" si="10"/>
        <v>4.8548991359506557E-4</v>
      </c>
      <c r="J39" s="18">
        <f t="shared" si="10"/>
        <v>4.8548991359506557E-4</v>
      </c>
      <c r="K39" s="16"/>
      <c r="L39" s="16">
        <f>L38*L37</f>
        <v>3.4280315241257374E-3</v>
      </c>
      <c r="M39" s="16">
        <f>M38*M37</f>
        <v>3.4280315241257374E-3</v>
      </c>
      <c r="N39" s="16">
        <f>N38*N37</f>
        <v>3.4280315241257374E-3</v>
      </c>
      <c r="O39" s="16">
        <f>O38*O37</f>
        <v>3.4280315241257374E-3</v>
      </c>
    </row>
    <row r="40" spans="2:16" ht="13">
      <c r="B40" s="1" t="s">
        <v>53</v>
      </c>
      <c r="C40" s="15" t="s">
        <v>54</v>
      </c>
      <c r="D40" s="22">
        <f>D39-(D31+D34)</f>
        <v>5.372459480668299E-3</v>
      </c>
      <c r="E40" s="22">
        <f t="shared" ref="E40:J40" si="11">E39-(E31+E34)</f>
        <v>3.2882226992550548E-3</v>
      </c>
      <c r="F40" s="22">
        <f t="shared" si="11"/>
        <v>3.8363823681554949E-4</v>
      </c>
      <c r="G40" s="22">
        <f t="shared" si="11"/>
        <v>3.7790865886424126E-4</v>
      </c>
      <c r="H40" s="23">
        <f t="shared" si="11"/>
        <v>3.8698049062047929E-4</v>
      </c>
      <c r="I40" s="22">
        <f t="shared" si="11"/>
        <v>3.5617478000749014E-4</v>
      </c>
      <c r="J40" s="24">
        <f t="shared" si="11"/>
        <v>3.9850625147028581E-4</v>
      </c>
      <c r="K40" s="22"/>
      <c r="L40" s="22">
        <f>L39-(L31+L34)</f>
        <v>3.2882226992550548E-3</v>
      </c>
      <c r="M40" s="22">
        <f>M39-(M31+M34)</f>
        <v>3.2882226992550548E-3</v>
      </c>
      <c r="N40" s="22">
        <f>N39-(N31+N34)</f>
        <v>3.2882226992550548E-3</v>
      </c>
      <c r="O40" s="22">
        <f>O39-(O31+O34)</f>
        <v>3.2882226992550548E-3</v>
      </c>
    </row>
    <row r="41" spans="2:16" ht="13">
      <c r="B41" s="12" t="s">
        <v>55</v>
      </c>
      <c r="D41" s="16"/>
      <c r="E41" s="16"/>
      <c r="F41" s="16"/>
      <c r="G41" s="16"/>
      <c r="H41" s="17"/>
      <c r="I41" s="16"/>
      <c r="J41" s="18"/>
      <c r="K41" s="16"/>
      <c r="L41" s="16"/>
      <c r="M41" s="16"/>
      <c r="N41" s="16"/>
      <c r="O41" s="16"/>
    </row>
    <row r="42" spans="2:16">
      <c r="B42" s="1" t="s">
        <v>56</v>
      </c>
      <c r="C42" s="1" t="s">
        <v>30</v>
      </c>
      <c r="D42" s="16">
        <f>0.1*D23*SQRT(2)</f>
        <v>34.648232278140831</v>
      </c>
      <c r="E42" s="16">
        <f t="shared" ref="E42:J42" si="12">0.1*E23*SQRT(2)</f>
        <v>59.396969619669996</v>
      </c>
      <c r="F42" s="16">
        <f t="shared" si="12"/>
        <v>113.56134905855956</v>
      </c>
      <c r="G42" s="16">
        <f t="shared" si="12"/>
        <v>113.56134905855956</v>
      </c>
      <c r="H42" s="17">
        <f t="shared" si="12"/>
        <v>113.56134905855956</v>
      </c>
      <c r="I42" s="16">
        <f t="shared" si="12"/>
        <v>113.56134905855956</v>
      </c>
      <c r="J42" s="18">
        <f t="shared" si="12"/>
        <v>113.56134905855956</v>
      </c>
      <c r="K42" s="16"/>
      <c r="L42" s="16">
        <f>0.1*L23*SQRT(2)</f>
        <v>59.396969619669996</v>
      </c>
      <c r="M42" s="16">
        <f>0.1*M23*SQRT(2)</f>
        <v>59.396969619669996</v>
      </c>
      <c r="N42" s="16">
        <f>0.1*N23*SQRT(2)</f>
        <v>59.396969619669996</v>
      </c>
      <c r="O42" s="16">
        <f>0.1*O23*SQRT(2)</f>
        <v>59.396969619669996</v>
      </c>
      <c r="P42" s="16"/>
    </row>
    <row r="43" spans="2:16">
      <c r="B43" s="1" t="s">
        <v>85</v>
      </c>
      <c r="C43" s="1" t="s">
        <v>42</v>
      </c>
      <c r="D43" s="16">
        <f>D24/(16*D42*D25)</f>
        <v>8.7185785095280092E-4</v>
      </c>
      <c r="E43" s="16">
        <f t="shared" ref="E43:M43" si="13">E24/(16*E42*E25)</f>
        <v>5.53811702057133E-4</v>
      </c>
      <c r="F43" s="16">
        <f t="shared" si="13"/>
        <v>2.5401383556370843E-4</v>
      </c>
      <c r="G43" s="16">
        <f t="shared" si="13"/>
        <v>2.5401383556370843E-4</v>
      </c>
      <c r="H43" s="16">
        <f t="shared" si="13"/>
        <v>2.5401383556370843E-4</v>
      </c>
      <c r="I43" s="16">
        <f t="shared" si="13"/>
        <v>2.5401383556370843E-4</v>
      </c>
      <c r="J43" s="16">
        <f t="shared" si="13"/>
        <v>2.5401383556370843E-4</v>
      </c>
      <c r="K43" s="16" t="e">
        <f t="shared" si="13"/>
        <v>#DIV/0!</v>
      </c>
      <c r="L43" s="16">
        <f t="shared" si="13"/>
        <v>5.53811702057133E-4</v>
      </c>
      <c r="M43" s="16">
        <f t="shared" si="13"/>
        <v>5.53811702057133E-4</v>
      </c>
      <c r="N43" s="16">
        <f t="shared" ref="N43:O43" si="14">N24/(16*N42*N25)</f>
        <v>5.53811702057133E-4</v>
      </c>
      <c r="O43" s="16">
        <f t="shared" si="14"/>
        <v>5.53811702057133E-4</v>
      </c>
    </row>
    <row r="44" spans="2:16">
      <c r="B44" s="1" t="s">
        <v>57</v>
      </c>
      <c r="C44" s="1" t="s">
        <v>42</v>
      </c>
      <c r="D44" s="16">
        <f>1800/(16*D42*D25)</f>
        <v>1.0823062977345114E-3</v>
      </c>
      <c r="E44" s="16">
        <f t="shared" ref="E44:M44" si="15">1300/(16*E42*E25)</f>
        <v>4.7997014178284862E-4</v>
      </c>
      <c r="F44" s="16">
        <f t="shared" si="15"/>
        <v>3.6690887359202331E-4</v>
      </c>
      <c r="G44" s="16">
        <f t="shared" si="15"/>
        <v>3.6690887359202331E-4</v>
      </c>
      <c r="H44" s="16">
        <f t="shared" si="15"/>
        <v>3.6690887359202331E-4</v>
      </c>
      <c r="I44" s="16">
        <f t="shared" si="15"/>
        <v>3.6690887359202331E-4</v>
      </c>
      <c r="J44" s="16">
        <f t="shared" si="15"/>
        <v>3.6690887359202331E-4</v>
      </c>
      <c r="K44" s="16" t="e">
        <f t="shared" si="15"/>
        <v>#DIV/0!</v>
      </c>
      <c r="L44" s="16">
        <f t="shared" si="15"/>
        <v>4.7997014178284862E-4</v>
      </c>
      <c r="M44" s="16">
        <f t="shared" si="15"/>
        <v>4.7997014178284862E-4</v>
      </c>
      <c r="N44" s="16">
        <f t="shared" ref="N44:O44" si="16">1300/(16*N42*N25)</f>
        <v>4.7997014178284862E-4</v>
      </c>
      <c r="O44" s="16">
        <f t="shared" si="16"/>
        <v>4.7997014178284862E-4</v>
      </c>
    </row>
    <row r="45" spans="2:16" ht="13">
      <c r="B45" s="12" t="s">
        <v>58</v>
      </c>
      <c r="H45" s="7"/>
      <c r="J45" s="8"/>
    </row>
    <row r="46" spans="2:16">
      <c r="B46" s="1" t="s">
        <v>59</v>
      </c>
      <c r="D46" s="1">
        <v>50</v>
      </c>
      <c r="E46" s="1">
        <v>50</v>
      </c>
      <c r="F46" s="1">
        <v>50</v>
      </c>
      <c r="G46" s="1">
        <v>50</v>
      </c>
      <c r="H46" s="7">
        <v>50</v>
      </c>
      <c r="I46" s="1">
        <v>50</v>
      </c>
      <c r="J46" s="8">
        <v>50</v>
      </c>
      <c r="L46" s="1">
        <v>50</v>
      </c>
      <c r="M46" s="1">
        <v>50</v>
      </c>
      <c r="N46" s="1">
        <v>50</v>
      </c>
      <c r="O46" s="1">
        <v>50</v>
      </c>
    </row>
    <row r="47" spans="2:16">
      <c r="B47" s="1" t="s">
        <v>60</v>
      </c>
      <c r="D47" s="1">
        <f>D25/D46</f>
        <v>60</v>
      </c>
      <c r="E47" s="1">
        <f>E25/E46</f>
        <v>57</v>
      </c>
      <c r="F47" s="1">
        <f t="shared" ref="F47:J47" si="17">F25/F46</f>
        <v>39</v>
      </c>
      <c r="G47" s="1">
        <f t="shared" si="17"/>
        <v>39</v>
      </c>
      <c r="H47" s="7">
        <f t="shared" si="17"/>
        <v>39</v>
      </c>
      <c r="I47" s="1">
        <f t="shared" si="17"/>
        <v>39</v>
      </c>
      <c r="J47" s="8">
        <f t="shared" si="17"/>
        <v>39</v>
      </c>
      <c r="L47" s="1">
        <f>L25/L46</f>
        <v>57</v>
      </c>
      <c r="M47" s="1">
        <f>M25/M46</f>
        <v>57</v>
      </c>
      <c r="N47" s="1">
        <f>N25/N46</f>
        <v>57</v>
      </c>
      <c r="O47" s="1">
        <f>O25/O46</f>
        <v>57</v>
      </c>
    </row>
    <row r="48" spans="2:16">
      <c r="B48" s="50" t="s">
        <v>61</v>
      </c>
      <c r="D48" s="1">
        <f>D26/D46</f>
        <v>30</v>
      </c>
      <c r="E48" s="1">
        <f>E26/E46</f>
        <v>27.8</v>
      </c>
      <c r="F48" s="1">
        <f t="shared" ref="F48:J48" si="18">F26/F46</f>
        <v>18.600000000000001</v>
      </c>
      <c r="G48" s="1">
        <f t="shared" si="18"/>
        <v>18.600000000000001</v>
      </c>
      <c r="H48" s="7">
        <f t="shared" si="18"/>
        <v>18.600000000000001</v>
      </c>
      <c r="I48" s="1">
        <f t="shared" si="18"/>
        <v>18.600000000000001</v>
      </c>
      <c r="J48" s="8">
        <f t="shared" si="18"/>
        <v>18.600000000000001</v>
      </c>
      <c r="L48" s="1">
        <f>L26/L46</f>
        <v>27</v>
      </c>
      <c r="M48" s="1">
        <f>M26/M46</f>
        <v>26</v>
      </c>
      <c r="N48" s="1">
        <f>N26/N46</f>
        <v>24</v>
      </c>
      <c r="O48" s="1">
        <f>O26/O46</f>
        <v>22</v>
      </c>
    </row>
    <row r="49" spans="2:15" ht="13">
      <c r="B49" s="25" t="s">
        <v>62</v>
      </c>
      <c r="C49" s="1" t="s">
        <v>63</v>
      </c>
      <c r="D49" s="25">
        <v>0.3</v>
      </c>
      <c r="E49" s="25">
        <v>0.3</v>
      </c>
      <c r="F49" s="25">
        <v>0.3</v>
      </c>
      <c r="G49" s="25">
        <v>0.3</v>
      </c>
      <c r="H49" s="26">
        <v>0.3</v>
      </c>
      <c r="I49" s="25">
        <v>0.3</v>
      </c>
      <c r="J49" s="27">
        <v>0.3</v>
      </c>
      <c r="K49" s="25"/>
      <c r="L49" s="25">
        <v>0.3</v>
      </c>
      <c r="M49" s="25">
        <v>0.3</v>
      </c>
      <c r="N49" s="25">
        <v>0.3</v>
      </c>
      <c r="O49" s="25">
        <v>0.3</v>
      </c>
    </row>
    <row r="50" spans="2:15" ht="13">
      <c r="B50" s="25" t="s">
        <v>64</v>
      </c>
      <c r="C50" s="1" t="s">
        <v>65</v>
      </c>
      <c r="D50" s="25">
        <v>11.63</v>
      </c>
      <c r="E50" s="25">
        <f>D50</f>
        <v>11.63</v>
      </c>
      <c r="F50" s="25">
        <v>6.58</v>
      </c>
      <c r="G50" s="25">
        <v>6.58</v>
      </c>
      <c r="H50" s="26">
        <v>6.58</v>
      </c>
      <c r="I50" s="25">
        <v>6.58</v>
      </c>
      <c r="J50" s="27">
        <v>6.58</v>
      </c>
      <c r="K50" s="25"/>
      <c r="L50" s="25">
        <v>11.63</v>
      </c>
      <c r="M50" s="25">
        <v>11.63</v>
      </c>
      <c r="N50" s="25">
        <v>11.63</v>
      </c>
      <c r="O50" s="25">
        <v>11.63</v>
      </c>
    </row>
    <row r="51" spans="2:15">
      <c r="B51" s="1" t="s">
        <v>66</v>
      </c>
      <c r="D51" s="1">
        <f>1/(D47*(D49/D50)*ABS(1-(D47^2/D48^2)))</f>
        <v>0.21537037037037041</v>
      </c>
      <c r="E51" s="1">
        <f t="shared" ref="E51:J51" si="19">1/(E47*(E49/E50)*ABS(1-(E47^2/E48^2)))</f>
        <v>0.21227287034895764</v>
      </c>
      <c r="F51" s="1">
        <f t="shared" si="19"/>
        <v>0.16558205547176139</v>
      </c>
      <c r="G51" s="1">
        <f t="shared" si="19"/>
        <v>0.16558205547176139</v>
      </c>
      <c r="H51" s="7">
        <f t="shared" si="19"/>
        <v>0.16558205547176139</v>
      </c>
      <c r="I51" s="1">
        <f t="shared" si="19"/>
        <v>0.16558205547176139</v>
      </c>
      <c r="J51" s="8">
        <f t="shared" si="19"/>
        <v>0.16558205547176139</v>
      </c>
      <c r="L51" s="1">
        <f>1/(L47*(L49/L50)*ABS(1-(L47^2/L48^2)))</f>
        <v>0.19674812030075187</v>
      </c>
      <c r="M51" s="1">
        <f>1/(M47*(M49/M50)*ABS(1-(M47^2/M48^2)))</f>
        <v>0.17868599468615834</v>
      </c>
      <c r="N51" s="1">
        <f>1/(N47*(N49/N50)*ABS(1-(N47^2/N48^2)))</f>
        <v>0.14655718983204363</v>
      </c>
      <c r="O51" s="1">
        <f>1/(O47*(O49/O50)*ABS(1-(O47^2/O48^2)))</f>
        <v>0.11905121453422585</v>
      </c>
    </row>
    <row r="52" spans="2:15">
      <c r="B52" s="50" t="s">
        <v>86</v>
      </c>
      <c r="D52" s="40">
        <f t="shared" ref="D52:J52" si="20">(D31+D34)/D37</f>
        <v>2.6067844878826751E-2</v>
      </c>
      <c r="E52" s="1">
        <f t="shared" si="20"/>
        <v>4.4687734077988719E-2</v>
      </c>
      <c r="F52" s="1">
        <f t="shared" si="20"/>
        <v>7.4172510395433419E-2</v>
      </c>
      <c r="G52" s="1">
        <f t="shared" si="20"/>
        <v>7.8345020790866846E-2</v>
      </c>
      <c r="H52" s="7">
        <f t="shared" si="20"/>
        <v>7.1738545998097258E-2</v>
      </c>
      <c r="I52" s="1">
        <f t="shared" si="20"/>
        <v>9.4172510395433395E-2</v>
      </c>
      <c r="J52" s="8">
        <f t="shared" si="20"/>
        <v>6.3345020790866846E-2</v>
      </c>
      <c r="L52" s="1">
        <f>(L31+L34)/L37</f>
        <v>4.4687734077988719E-2</v>
      </c>
      <c r="M52" s="1">
        <f>(M31+M34)/M37</f>
        <v>4.4687734077988719E-2</v>
      </c>
      <c r="N52" s="1">
        <f>(N31+N34)/N37</f>
        <v>4.4687734077988719E-2</v>
      </c>
      <c r="O52" s="1">
        <f>(O31+O34)/O37</f>
        <v>4.4687734077988719E-2</v>
      </c>
    </row>
    <row r="53" spans="2:15">
      <c r="B53" s="50" t="s">
        <v>67</v>
      </c>
      <c r="D53" s="40">
        <f>D51-D52</f>
        <v>0.18930252549154367</v>
      </c>
      <c r="E53" s="1">
        <f t="shared" ref="E53:J53" si="21">E51-E52</f>
        <v>0.16758513627096894</v>
      </c>
      <c r="F53" s="1">
        <f t="shared" si="21"/>
        <v>9.1409545076327967E-2</v>
      </c>
      <c r="G53" s="1">
        <f t="shared" si="21"/>
        <v>8.723703468089454E-2</v>
      </c>
      <c r="H53" s="7">
        <f t="shared" si="21"/>
        <v>9.3843509473664127E-2</v>
      </c>
      <c r="I53" s="1">
        <f t="shared" si="21"/>
        <v>7.140954507632799E-2</v>
      </c>
      <c r="J53" s="8">
        <f t="shared" si="21"/>
        <v>0.10223703468089454</v>
      </c>
      <c r="L53" s="1">
        <f>L51-L52</f>
        <v>0.15206038622276313</v>
      </c>
      <c r="M53" s="1">
        <f>M51-M52</f>
        <v>0.13399826060816961</v>
      </c>
      <c r="N53" s="1">
        <f>N51-N52</f>
        <v>0.10186945575405491</v>
      </c>
      <c r="O53" s="1">
        <f>O51-O52</f>
        <v>7.4363480456237127E-2</v>
      </c>
    </row>
    <row r="54" spans="2:15">
      <c r="B54" s="1" t="s">
        <v>68</v>
      </c>
      <c r="D54" s="16">
        <f t="shared" ref="D54:J54" si="22">D53*D37</f>
        <v>1.0152800800008574E-3</v>
      </c>
      <c r="E54" s="16">
        <f>E53*E37</f>
        <v>5.2430228229848747E-4</v>
      </c>
      <c r="F54" s="16">
        <f t="shared" si="22"/>
        <v>1.2552110465240452E-4</v>
      </c>
      <c r="G54" s="16">
        <f t="shared" si="22"/>
        <v>1.1979152670109629E-4</v>
      </c>
      <c r="H54" s="17">
        <f t="shared" si="22"/>
        <v>1.2886335845733432E-4</v>
      </c>
      <c r="I54" s="16">
        <f t="shared" si="22"/>
        <v>9.8057647844345173E-5</v>
      </c>
      <c r="J54" s="18">
        <f t="shared" si="22"/>
        <v>1.4038911930714081E-4</v>
      </c>
      <c r="K54" s="16"/>
      <c r="L54" s="16">
        <f>L53*L37</f>
        <v>4.7573197312007195E-4</v>
      </c>
      <c r="M54" s="16">
        <f>M53*M37</f>
        <v>4.1922330001447353E-4</v>
      </c>
      <c r="N54" s="16">
        <f>N53*N37</f>
        <v>3.1870599825748483E-4</v>
      </c>
      <c r="O54" s="16">
        <f>O53*O37</f>
        <v>2.3265155484805496E-4</v>
      </c>
    </row>
    <row r="55" spans="2:15" ht="13" customHeight="1">
      <c r="D55" s="16"/>
      <c r="E55" s="16"/>
      <c r="F55" s="16"/>
      <c r="G55" s="16"/>
      <c r="H55" s="17"/>
      <c r="I55" s="16"/>
      <c r="J55" s="18"/>
      <c r="K55" s="16"/>
      <c r="L55" s="16"/>
      <c r="M55" s="16"/>
      <c r="N55" s="16"/>
      <c r="O55" s="16"/>
    </row>
    <row r="56" spans="2:15" ht="13.5" customHeight="1">
      <c r="B56" s="1" t="s">
        <v>69</v>
      </c>
      <c r="D56" s="16">
        <f t="shared" ref="D56:J56" si="23">D51*D37</f>
        <v>1.15508890487154E-3</v>
      </c>
      <c r="E56" s="16">
        <f t="shared" si="23"/>
        <v>6.6411110716917013E-4</v>
      </c>
      <c r="F56" s="16">
        <f t="shared" si="23"/>
        <v>2.273727814319206E-4</v>
      </c>
      <c r="G56" s="16">
        <f t="shared" si="23"/>
        <v>2.273727814319206E-4</v>
      </c>
      <c r="H56" s="17">
        <f t="shared" si="23"/>
        <v>2.273727814319206E-4</v>
      </c>
      <c r="I56" s="16">
        <f t="shared" si="23"/>
        <v>2.273727814319206E-4</v>
      </c>
      <c r="J56" s="18">
        <f t="shared" si="23"/>
        <v>2.273727814319206E-4</v>
      </c>
      <c r="K56" s="16"/>
      <c r="L56" s="16">
        <f>L51*L37</f>
        <v>6.1554079799075467E-4</v>
      </c>
      <c r="M56" s="16">
        <f>M51*M37</f>
        <v>5.5903212488515614E-4</v>
      </c>
      <c r="N56" s="16">
        <f>N51*N37</f>
        <v>4.5851482312816744E-4</v>
      </c>
      <c r="O56" s="16">
        <f>O51*O37</f>
        <v>3.7246037971873759E-4</v>
      </c>
    </row>
    <row r="57" spans="2:15" ht="15.5" customHeight="1">
      <c r="B57" s="1" t="s">
        <v>70</v>
      </c>
      <c r="C57" s="1" t="s">
        <v>71</v>
      </c>
      <c r="D57" s="16">
        <f t="shared" ref="D57:J57" si="24">D56-(D34+D31)</f>
        <v>1.0152800800008574E-3</v>
      </c>
      <c r="E57" s="16">
        <f t="shared" si="24"/>
        <v>5.2430228229848747E-4</v>
      </c>
      <c r="F57" s="16">
        <f t="shared" si="24"/>
        <v>1.2552110465240455E-4</v>
      </c>
      <c r="G57" s="16">
        <f t="shared" si="24"/>
        <v>1.197915267010963E-4</v>
      </c>
      <c r="H57" s="17">
        <f t="shared" si="24"/>
        <v>1.2886335845733435E-4</v>
      </c>
      <c r="I57" s="16">
        <f t="shared" si="24"/>
        <v>9.8057647844345173E-5</v>
      </c>
      <c r="J57" s="18">
        <f t="shared" si="24"/>
        <v>1.4038911930714084E-4</v>
      </c>
      <c r="K57" s="16"/>
      <c r="L57" s="16">
        <f>L56-(L34+L31)</f>
        <v>4.7573197312007201E-4</v>
      </c>
      <c r="M57" s="16">
        <f>M56-(M34+M31)</f>
        <v>4.1922330001447348E-4</v>
      </c>
      <c r="N57" s="16">
        <f>N56-(N34+N31)</f>
        <v>3.1870599825748478E-4</v>
      </c>
      <c r="O57" s="16">
        <f>O56-(O34+O31)</f>
        <v>2.3265155484805496E-4</v>
      </c>
    </row>
    <row r="58" spans="2:15">
      <c r="B58" s="1" t="s">
        <v>72</v>
      </c>
      <c r="D58" s="16">
        <f>(D57*D36)/(D57+D36)</f>
        <v>1.228867443024384E-4</v>
      </c>
      <c r="E58" s="16">
        <f t="shared" ref="E58:J58" si="25">(E57*E36)/(E57+E36)</f>
        <v>1.1037623851470396E-4</v>
      </c>
      <c r="F58" s="16">
        <f t="shared" si="25"/>
        <v>5.6227200545076811E-5</v>
      </c>
      <c r="G58" s="16">
        <f t="shared" si="25"/>
        <v>5.6679267709462722E-5</v>
      </c>
      <c r="H58" s="17">
        <f t="shared" si="25"/>
        <v>5.5830143802855134E-5</v>
      </c>
      <c r="I58" s="16">
        <f t="shared" si="25"/>
        <v>5.5768934832121224E-5</v>
      </c>
      <c r="J58" s="18">
        <f t="shared" si="25"/>
        <v>5.3707218792430915E-5</v>
      </c>
      <c r="K58" s="16"/>
      <c r="L58" s="16">
        <f>(L57*L36)/(L57+L36)</f>
        <v>1.0805380948336009E-4</v>
      </c>
      <c r="M58" s="16">
        <f>(M57*M36)/(M57+M36)</f>
        <v>1.0484391562555344E-4</v>
      </c>
      <c r="N58" s="16">
        <f>(N57*N36)/(N57+N36)</f>
        <v>9.7178779939163746E-5</v>
      </c>
      <c r="O58" s="16">
        <f>(O57*O36)/(O57+O36)</f>
        <v>8.7329397323297056E-5</v>
      </c>
    </row>
    <row r="59" spans="2:15" ht="11.5" customHeight="1">
      <c r="H59" s="7"/>
      <c r="J59" s="8"/>
    </row>
    <row r="60" spans="2:15">
      <c r="B60" s="39" t="s">
        <v>73</v>
      </c>
      <c r="D60" s="41">
        <f t="shared" ref="D60:J60" si="26">1/((2*PI()*D26)^2*D58)</f>
        <v>9.1612072217375041E-5</v>
      </c>
      <c r="E60" s="16">
        <f>1/((2*PI()*E26)^2*E58)</f>
        <v>1.1877774420395095E-4</v>
      </c>
      <c r="F60" s="16">
        <f t="shared" si="26"/>
        <v>5.2086827335795591E-4</v>
      </c>
      <c r="G60" s="16">
        <f t="shared" si="26"/>
        <v>5.1671388934998821E-4</v>
      </c>
      <c r="H60" s="17">
        <f t="shared" si="26"/>
        <v>5.2457262096767079E-4</v>
      </c>
      <c r="I60" s="16">
        <f t="shared" si="26"/>
        <v>5.2514836354373528E-4</v>
      </c>
      <c r="J60" s="18">
        <f t="shared" si="26"/>
        <v>5.453077914321856E-4</v>
      </c>
      <c r="K60" s="16"/>
      <c r="L60" s="16">
        <f>1/((2*PI()*L26)^2*L58)</f>
        <v>1.2862714896711436E-4</v>
      </c>
      <c r="M60" s="16">
        <f>1/((2*PI()*M26)^2*M58)</f>
        <v>1.4295861315428274E-4</v>
      </c>
      <c r="N60" s="16">
        <f>1/((2*PI()*N26)^2*N58)</f>
        <v>1.8101156736327894E-4</v>
      </c>
      <c r="O60" s="16">
        <f>1/((2*PI()*O26)^2*O58)</f>
        <v>2.3971456912983912E-4</v>
      </c>
    </row>
    <row r="61" spans="2:15">
      <c r="B61" s="1" t="s">
        <v>74</v>
      </c>
      <c r="C61" s="28"/>
      <c r="D61" s="29">
        <f>0.0000557*3*3</f>
        <v>5.0129999999999999E-4</v>
      </c>
      <c r="E61" s="29">
        <f t="shared" ref="E61:J61" si="27">0.0000557*3*3</f>
        <v>5.0129999999999999E-4</v>
      </c>
      <c r="F61" s="29">
        <f t="shared" si="27"/>
        <v>5.0129999999999999E-4</v>
      </c>
      <c r="G61" s="29">
        <f t="shared" si="27"/>
        <v>5.0129999999999999E-4</v>
      </c>
      <c r="H61" s="30">
        <f t="shared" si="27"/>
        <v>5.0129999999999999E-4</v>
      </c>
      <c r="I61" s="29">
        <f t="shared" si="27"/>
        <v>5.0129999999999999E-4</v>
      </c>
      <c r="J61" s="31">
        <f t="shared" si="27"/>
        <v>5.0129999999999999E-4</v>
      </c>
      <c r="K61" s="29"/>
      <c r="L61" s="29">
        <f>0.0000557*3*3</f>
        <v>5.0129999999999999E-4</v>
      </c>
      <c r="M61" s="29">
        <f>0.0000557*3*4</f>
        <v>6.6839999999999998E-4</v>
      </c>
      <c r="N61" s="29">
        <f>0.0000557*3*4</f>
        <v>6.6839999999999998E-4</v>
      </c>
      <c r="O61" s="29">
        <f>0.0000557*3*4</f>
        <v>6.6839999999999998E-4</v>
      </c>
    </row>
    <row r="62" spans="2:15" ht="12.75" hidden="1" customHeight="1">
      <c r="H62" s="7"/>
      <c r="J62" s="8"/>
    </row>
    <row r="63" spans="2:15">
      <c r="B63" s="1" t="s">
        <v>75</v>
      </c>
      <c r="D63" s="16">
        <f t="shared" ref="D63:J63" si="28">1/((2*PI()*D26)^2*D61)</f>
        <v>2.2457429271081364E-5</v>
      </c>
      <c r="E63" s="16">
        <f t="shared" si="28"/>
        <v>2.6152484788537377E-5</v>
      </c>
      <c r="F63" s="16">
        <f t="shared" si="28"/>
        <v>5.8422032442979615E-5</v>
      </c>
      <c r="G63" s="16">
        <f t="shared" si="28"/>
        <v>5.8422032442979615E-5</v>
      </c>
      <c r="H63" s="17">
        <f t="shared" si="28"/>
        <v>5.8422032442979615E-5</v>
      </c>
      <c r="I63" s="16">
        <f t="shared" si="28"/>
        <v>5.8422032442979615E-5</v>
      </c>
      <c r="J63" s="18">
        <f t="shared" si="28"/>
        <v>5.8422032442979615E-5</v>
      </c>
      <c r="K63" s="16"/>
      <c r="L63" s="16">
        <f>1/((2*PI()*L26)^2*L61)</f>
        <v>2.7725221322322665E-5</v>
      </c>
      <c r="M63" s="16">
        <f>1/((2*PI()*M26)^2*M61)</f>
        <v>2.242420822186379E-5</v>
      </c>
      <c r="N63" s="16">
        <f>1/((2*PI()*N26)^2*N61)</f>
        <v>2.6317299927048474E-5</v>
      </c>
      <c r="O63" s="16">
        <f>1/((2*PI()*O26)^2*O61)</f>
        <v>3.1319761896652725E-5</v>
      </c>
    </row>
    <row r="64" spans="2:15" ht="12.75" hidden="1" customHeight="1">
      <c r="H64" s="7"/>
      <c r="J64" s="8"/>
    </row>
    <row r="65" spans="2:16">
      <c r="B65" s="1" t="s">
        <v>76</v>
      </c>
      <c r="C65" s="28"/>
      <c r="D65" s="29">
        <f t="shared" ref="D65:J65" si="29">(D63*D36)/(D36-D63)</f>
        <v>2.6755086975864005E-5</v>
      </c>
      <c r="E65" s="29">
        <f>(E63*E36)/(E36-E63)</f>
        <v>3.2170208569897497E-5</v>
      </c>
      <c r="F65" s="29">
        <f t="shared" si="29"/>
        <v>1.3701198930102286E-4</v>
      </c>
      <c r="G65" s="29">
        <f t="shared" si="29"/>
        <v>1.2785221697241445E-4</v>
      </c>
      <c r="H65" s="30">
        <f t="shared" si="29"/>
        <v>1.4356436347292027E-4</v>
      </c>
      <c r="I65" s="29">
        <f t="shared" si="29"/>
        <v>1.0656682819407855E-4</v>
      </c>
      <c r="J65" s="31">
        <f t="shared" si="29"/>
        <v>1.7792270214543211E-4</v>
      </c>
      <c r="K65" s="29"/>
      <c r="L65" s="29">
        <f>(L63*L36)/(L36-L63)</f>
        <v>3.4583386772366519E-5</v>
      </c>
      <c r="M65" s="29">
        <f>(M63*M36)/(M36-M63)</f>
        <v>2.6707947682221465E-5</v>
      </c>
      <c r="N65" s="29">
        <f>(N63*N36)/(N36-N63)</f>
        <v>3.2419960683384307E-5</v>
      </c>
      <c r="O65" s="29">
        <f>(O63*O36)/(O36-O63)</f>
        <v>4.036147963642004E-5</v>
      </c>
    </row>
    <row r="66" spans="2:16" hidden="1">
      <c r="H66" s="7"/>
      <c r="J66" s="8"/>
    </row>
    <row r="67" spans="2:16">
      <c r="B67" s="1" t="s">
        <v>77</v>
      </c>
      <c r="D67" s="16">
        <f t="shared" ref="D67:J67" si="30">D31+D34</f>
        <v>1.3980882487068264E-4</v>
      </c>
      <c r="E67" s="16">
        <f t="shared" si="30"/>
        <v>1.3980882487068264E-4</v>
      </c>
      <c r="F67" s="16">
        <f t="shared" si="30"/>
        <v>1.0185167677951607E-4</v>
      </c>
      <c r="G67" s="16">
        <f t="shared" si="30"/>
        <v>1.075812547308243E-4</v>
      </c>
      <c r="H67" s="17">
        <f t="shared" si="30"/>
        <v>9.8509422974586266E-5</v>
      </c>
      <c r="I67" s="16">
        <f t="shared" si="30"/>
        <v>1.2931513358757543E-4</v>
      </c>
      <c r="J67" s="18">
        <f t="shared" si="30"/>
        <v>8.6983662124779759E-5</v>
      </c>
      <c r="K67" s="16"/>
      <c r="L67" s="16">
        <f>L31+L34</f>
        <v>1.3980882487068264E-4</v>
      </c>
      <c r="M67" s="16">
        <f>M31+M34</f>
        <v>1.3980882487068264E-4</v>
      </c>
      <c r="N67" s="16">
        <f>N31+N34</f>
        <v>1.3980882487068264E-4</v>
      </c>
      <c r="O67" s="16">
        <f>O31+O34</f>
        <v>1.3980882487068264E-4</v>
      </c>
      <c r="P67" s="16"/>
    </row>
    <row r="68" spans="2:16">
      <c r="B68" s="1" t="s">
        <v>78</v>
      </c>
      <c r="D68" s="16">
        <f t="shared" ref="D68:J68" si="31">(D67*D65)/(D67+D65)</f>
        <v>2.245742927108136E-5</v>
      </c>
      <c r="E68" s="16">
        <f t="shared" si="31"/>
        <v>2.6152484788537377E-5</v>
      </c>
      <c r="F68" s="16">
        <f t="shared" si="31"/>
        <v>5.8422032442979608E-5</v>
      </c>
      <c r="G68" s="16">
        <f t="shared" si="31"/>
        <v>5.8422032442979608E-5</v>
      </c>
      <c r="H68" s="17">
        <f t="shared" si="31"/>
        <v>5.8422032442979608E-5</v>
      </c>
      <c r="I68" s="16">
        <f t="shared" si="31"/>
        <v>5.8422032442979615E-5</v>
      </c>
      <c r="J68" s="18">
        <f t="shared" si="31"/>
        <v>5.8422032442979622E-5</v>
      </c>
      <c r="K68" s="16"/>
      <c r="L68" s="16">
        <f>(L67*L65)/(L67+L65)</f>
        <v>2.7725221322322665E-5</v>
      </c>
      <c r="M68" s="16">
        <f>(M67*M65)/(M67+M65)</f>
        <v>2.242420822186379E-5</v>
      </c>
      <c r="N68" s="16">
        <f>(N67*N65)/(N67+N65)</f>
        <v>2.6317299927048477E-5</v>
      </c>
      <c r="O68" s="16">
        <f>(O67*O65)/(O67+O65)</f>
        <v>3.1319761896652725E-5</v>
      </c>
    </row>
    <row r="69" spans="2:16">
      <c r="B69" s="1" t="s">
        <v>79</v>
      </c>
      <c r="D69" s="16">
        <f t="shared" ref="D69:J69" si="32">1/(2*PI()*SQRT(D68*D61))</f>
        <v>1500</v>
      </c>
      <c r="E69" s="16">
        <f t="shared" si="32"/>
        <v>1390</v>
      </c>
      <c r="F69" s="16">
        <f t="shared" si="32"/>
        <v>930</v>
      </c>
      <c r="G69" s="16">
        <f t="shared" si="32"/>
        <v>930</v>
      </c>
      <c r="H69" s="17">
        <f t="shared" si="32"/>
        <v>930</v>
      </c>
      <c r="I69" s="16">
        <f t="shared" si="32"/>
        <v>930</v>
      </c>
      <c r="J69" s="18">
        <f t="shared" si="32"/>
        <v>930</v>
      </c>
      <c r="K69" s="16"/>
      <c r="L69" s="16">
        <f>1/(2*PI()*SQRT(L68*L61))</f>
        <v>1350</v>
      </c>
      <c r="M69" s="16">
        <f>1/(2*PI()*SQRT(M68*M61))</f>
        <v>1299.9999999999998</v>
      </c>
      <c r="N69" s="16">
        <f>1/(2*PI()*SQRT(N68*N61))</f>
        <v>1200</v>
      </c>
      <c r="O69" s="16">
        <f>1/(2*PI()*SQRT(O68*O61))</f>
        <v>1100.0000000000002</v>
      </c>
    </row>
    <row r="70" spans="2:16" hidden="1">
      <c r="B70" s="32" t="s">
        <v>80</v>
      </c>
      <c r="C70" s="33"/>
      <c r="D70" s="33"/>
      <c r="E70" s="33"/>
      <c r="F70" s="33"/>
      <c r="G70" s="33"/>
      <c r="H70" s="33"/>
      <c r="I70" s="33"/>
      <c r="J70" s="33"/>
      <c r="K70" s="33"/>
      <c r="L70" s="33"/>
      <c r="M70" s="34"/>
      <c r="N70" s="34"/>
      <c r="O70" s="34"/>
    </row>
    <row r="71" spans="2:16" hidden="1">
      <c r="B71" s="7" t="s">
        <v>81</v>
      </c>
      <c r="D71" s="16">
        <f>D65*D36/(D36+D65)</f>
        <v>2.245742927108136E-5</v>
      </c>
      <c r="E71" s="16">
        <f>E65*E36/(E36+E65)</f>
        <v>2.6152484788537377E-5</v>
      </c>
      <c r="F71" s="16">
        <f t="shared" ref="F71:M71" si="33">F65*F36/(F36+F65)</f>
        <v>5.8422032442979608E-5</v>
      </c>
      <c r="G71" s="16">
        <f t="shared" si="33"/>
        <v>5.8422032442979608E-5</v>
      </c>
      <c r="H71" s="16">
        <f t="shared" si="33"/>
        <v>5.8422032442979608E-5</v>
      </c>
      <c r="I71" s="16">
        <f t="shared" si="33"/>
        <v>5.8422032442979615E-5</v>
      </c>
      <c r="J71" s="16">
        <f t="shared" si="33"/>
        <v>5.8422032442979622E-5</v>
      </c>
      <c r="K71" s="16" t="e">
        <f t="shared" si="33"/>
        <v>#DIV/0!</v>
      </c>
      <c r="L71" s="16">
        <f t="shared" si="33"/>
        <v>2.7725221322322665E-5</v>
      </c>
      <c r="M71" s="16">
        <f t="shared" si="33"/>
        <v>2.242420822186379E-5</v>
      </c>
      <c r="N71" s="16">
        <f t="shared" ref="N71:O71" si="34">N65*N36/(N36+N65)</f>
        <v>2.6317299927048477E-5</v>
      </c>
      <c r="O71" s="16">
        <f t="shared" si="34"/>
        <v>3.1319761896652725E-5</v>
      </c>
      <c r="P71" s="16"/>
    </row>
    <row r="72" spans="2:16" hidden="1">
      <c r="B72" s="7" t="s">
        <v>82</v>
      </c>
      <c r="D72" s="16">
        <f t="shared" ref="D72:M72" si="35">D61</f>
        <v>5.0129999999999999E-4</v>
      </c>
      <c r="E72" s="16">
        <f t="shared" si="35"/>
        <v>5.0129999999999999E-4</v>
      </c>
      <c r="F72" s="16">
        <f t="shared" si="35"/>
        <v>5.0129999999999999E-4</v>
      </c>
      <c r="G72" s="16">
        <f t="shared" si="35"/>
        <v>5.0129999999999999E-4</v>
      </c>
      <c r="H72" s="16">
        <f t="shared" si="35"/>
        <v>5.0129999999999999E-4</v>
      </c>
      <c r="I72" s="16">
        <f t="shared" si="35"/>
        <v>5.0129999999999999E-4</v>
      </c>
      <c r="J72" s="16">
        <f t="shared" si="35"/>
        <v>5.0129999999999999E-4</v>
      </c>
      <c r="K72" s="16">
        <f t="shared" si="35"/>
        <v>0</v>
      </c>
      <c r="L72" s="16">
        <f t="shared" si="35"/>
        <v>5.0129999999999999E-4</v>
      </c>
      <c r="M72" s="16">
        <f t="shared" si="35"/>
        <v>6.6839999999999998E-4</v>
      </c>
      <c r="N72" s="16">
        <f t="shared" ref="N72:O72" si="36">N61</f>
        <v>6.6839999999999998E-4</v>
      </c>
      <c r="O72" s="16">
        <f t="shared" si="36"/>
        <v>6.6839999999999998E-4</v>
      </c>
    </row>
    <row r="73" spans="2:16" ht="13" hidden="1" thickBot="1">
      <c r="B73" s="35" t="s">
        <v>83</v>
      </c>
      <c r="C73" s="36"/>
      <c r="D73" s="37">
        <f>1/(2*PI()*SQRT(D71*D72))</f>
        <v>1500</v>
      </c>
      <c r="E73" s="37">
        <f>1/(2*PI()*SQRT(E71*E72))</f>
        <v>1390</v>
      </c>
      <c r="F73" s="37">
        <f t="shared" ref="F73:M73" si="37">1/(2*PI()*SQRT(F71*F72))</f>
        <v>930</v>
      </c>
      <c r="G73" s="37">
        <f t="shared" si="37"/>
        <v>930</v>
      </c>
      <c r="H73" s="37">
        <f t="shared" si="37"/>
        <v>930</v>
      </c>
      <c r="I73" s="37">
        <f t="shared" si="37"/>
        <v>930</v>
      </c>
      <c r="J73" s="37">
        <f t="shared" si="37"/>
        <v>930</v>
      </c>
      <c r="K73" s="37" t="e">
        <f t="shared" si="37"/>
        <v>#DIV/0!</v>
      </c>
      <c r="L73" s="37">
        <f t="shared" si="37"/>
        <v>1350</v>
      </c>
      <c r="M73" s="37">
        <f t="shared" si="37"/>
        <v>1299.9999999999998</v>
      </c>
      <c r="N73" s="37">
        <f t="shared" ref="N73:O73" si="38">1/(2*PI()*SQRT(N71*N72))</f>
        <v>1200</v>
      </c>
      <c r="O73" s="37">
        <f t="shared" si="38"/>
        <v>1100.0000000000002</v>
      </c>
    </row>
    <row r="74" spans="2:16" ht="13">
      <c r="B74" s="1" t="s">
        <v>84</v>
      </c>
      <c r="D74" s="38">
        <f t="shared" ref="D74:M74" si="39">D25/2</f>
        <v>1500</v>
      </c>
      <c r="E74" s="38">
        <f t="shared" si="39"/>
        <v>1425</v>
      </c>
      <c r="F74" s="38">
        <f t="shared" si="39"/>
        <v>975</v>
      </c>
      <c r="G74" s="38">
        <f t="shared" si="39"/>
        <v>975</v>
      </c>
      <c r="H74" s="38">
        <f t="shared" si="39"/>
        <v>975</v>
      </c>
      <c r="I74" s="38">
        <f t="shared" si="39"/>
        <v>975</v>
      </c>
      <c r="J74" s="38">
        <f t="shared" si="39"/>
        <v>975</v>
      </c>
      <c r="K74" s="38">
        <f t="shared" si="39"/>
        <v>0</v>
      </c>
      <c r="L74" s="38">
        <f t="shared" si="39"/>
        <v>1425</v>
      </c>
      <c r="M74" s="38">
        <f t="shared" si="39"/>
        <v>1425</v>
      </c>
      <c r="N74" s="38">
        <f t="shared" ref="N74:O74" si="40">N25/2</f>
        <v>1425</v>
      </c>
      <c r="O74" s="38">
        <f t="shared" si="40"/>
        <v>1425</v>
      </c>
    </row>
    <row r="78" spans="2:16">
      <c r="D78" s="16"/>
      <c r="E78" s="16"/>
    </row>
  </sheetData>
  <mergeCells count="1">
    <mergeCell ref="H20:J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055E-5C05-4AB4-A89A-B6D2973AF215}">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Grid Filter design</vt:lpstr>
      <vt:lpstr>Sheet1</vt:lpstr>
    </vt:vector>
  </TitlesOfParts>
  <Company>General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Kodali, Surendarkumar (GE Vernova)</dc:creator>
  <cp:lastModifiedBy>Manivanna Kumar, Mahesh (GE Vernova, consultant)</cp:lastModifiedBy>
  <dcterms:created xsi:type="dcterms:W3CDTF">2024-05-04T15:07:52Z</dcterms:created>
  <dcterms:modified xsi:type="dcterms:W3CDTF">2024-07-08T08:46:24Z</dcterms:modified>
</cp:coreProperties>
</file>