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ocs/Seats–Votes Curve/"/>
    </mc:Choice>
  </mc:AlternateContent>
  <xr:revisionPtr revIDLastSave="0" documentId="13_ncr:1_{0247EB2B-8B7F-544F-8B8A-04EA0EBEB5E5}" xr6:coauthVersionLast="47" xr6:coauthVersionMax="47" xr10:uidLastSave="{00000000-0000-0000-0000-000000000000}"/>
  <bookViews>
    <workbookView xWindow="11880" yWindow="620" windowWidth="27260" windowHeight="24900" xr2:uid="{FDABB6CB-33B6-4F40-9099-7138331CCEC9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/>
  <c r="R6" i="1"/>
  <c r="S6" i="1" s="1"/>
  <c r="R7" i="1"/>
  <c r="S7" i="1" s="1"/>
  <c r="R8" i="1"/>
  <c r="S8" i="1" s="1"/>
  <c r="R9" i="1"/>
  <c r="S9" i="1" s="1"/>
  <c r="R11" i="1"/>
  <c r="S11" i="1" s="1"/>
  <c r="R12" i="1"/>
  <c r="S12" i="1" s="1"/>
  <c r="R13" i="1"/>
  <c r="R14" i="1"/>
  <c r="R15" i="1"/>
  <c r="R16" i="1"/>
  <c r="R17" i="1"/>
  <c r="S17" i="1" s="1"/>
  <c r="R18" i="1"/>
  <c r="R19" i="1"/>
  <c r="S19" i="1" s="1"/>
  <c r="R20" i="1"/>
  <c r="S20" i="1" s="1"/>
  <c r="R21" i="1"/>
  <c r="S21" i="1" s="1"/>
  <c r="R22" i="1"/>
  <c r="R23" i="1"/>
  <c r="S23" i="1" s="1"/>
  <c r="R24" i="1"/>
  <c r="S24" i="1" s="1"/>
  <c r="R25" i="1"/>
  <c r="S25" i="1" s="1"/>
  <c r="R26" i="1"/>
  <c r="S26" i="1" s="1"/>
  <c r="R27" i="1"/>
  <c r="S27" i="1" s="1"/>
  <c r="R29" i="1"/>
  <c r="S29" i="1" s="1"/>
  <c r="R30" i="1"/>
  <c r="S30" i="1" s="1"/>
  <c r="R31" i="1"/>
  <c r="S31" i="1" s="1"/>
  <c r="R32" i="1"/>
  <c r="S32" i="1" s="1"/>
  <c r="R33" i="1"/>
  <c r="S33" i="1" s="1"/>
  <c r="R34" i="1"/>
  <c r="S34" i="1" s="1"/>
  <c r="R35" i="1"/>
  <c r="S35" i="1" s="1"/>
  <c r="R37" i="1"/>
  <c r="S37" i="1" s="1"/>
  <c r="R38" i="1"/>
  <c r="S38" i="1" s="1"/>
  <c r="R39" i="1"/>
  <c r="S39" i="1" s="1"/>
  <c r="R40" i="1"/>
  <c r="R41" i="1"/>
  <c r="S41" i="1" s="1"/>
  <c r="R44" i="1"/>
  <c r="S44" i="1" s="1"/>
  <c r="R45" i="1"/>
  <c r="S45" i="1" s="1"/>
  <c r="R46" i="1"/>
  <c r="S46" i="1" s="1"/>
  <c r="R48" i="1"/>
  <c r="S48" i="1" s="1"/>
  <c r="R49" i="1"/>
  <c r="S49" i="1" s="1"/>
  <c r="R50" i="1"/>
  <c r="S50" i="1" s="1"/>
  <c r="R51" i="1"/>
  <c r="R3" i="1"/>
  <c r="S3" i="1" s="1"/>
  <c r="Q42" i="1"/>
  <c r="R42" i="1" s="1"/>
  <c r="Q18" i="1"/>
  <c r="S51" i="1"/>
  <c r="S40" i="1"/>
  <c r="S22" i="1"/>
  <c r="S16" i="1"/>
  <c r="S15" i="1"/>
  <c r="S14" i="1"/>
  <c r="S13" i="1"/>
  <c r="S5" i="1"/>
  <c r="N4" i="1"/>
  <c r="N5" i="1"/>
  <c r="P5" i="1" s="1"/>
  <c r="N6" i="1"/>
  <c r="P6" i="1" s="1"/>
  <c r="N7" i="1"/>
  <c r="P7" i="1" s="1"/>
  <c r="P56" i="1" s="1"/>
  <c r="N8" i="1"/>
  <c r="P8" i="1" s="1"/>
  <c r="N9" i="1"/>
  <c r="P9" i="1" s="1"/>
  <c r="N10" i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  <c r="N27" i="1"/>
  <c r="P27" i="1" s="1"/>
  <c r="N28" i="1"/>
  <c r="N29" i="1"/>
  <c r="P29" i="1" s="1"/>
  <c r="N30" i="1"/>
  <c r="P30" i="1" s="1"/>
  <c r="N31" i="1"/>
  <c r="P31" i="1" s="1"/>
  <c r="N32" i="1"/>
  <c r="P32" i="1" s="1"/>
  <c r="N33" i="1"/>
  <c r="P33" i="1" s="1"/>
  <c r="N34" i="1"/>
  <c r="P34" i="1" s="1"/>
  <c r="N35" i="1"/>
  <c r="P35" i="1" s="1"/>
  <c r="N36" i="1"/>
  <c r="N37" i="1"/>
  <c r="P37" i="1" s="1"/>
  <c r="N38" i="1"/>
  <c r="P38" i="1" s="1"/>
  <c r="N39" i="1"/>
  <c r="P39" i="1" s="1"/>
  <c r="N40" i="1"/>
  <c r="P40" i="1" s="1"/>
  <c r="N41" i="1"/>
  <c r="P41" i="1" s="1"/>
  <c r="N42" i="1"/>
  <c r="P42" i="1" s="1"/>
  <c r="N43" i="1"/>
  <c r="N44" i="1"/>
  <c r="P44" i="1" s="1"/>
  <c r="N45" i="1"/>
  <c r="P45" i="1" s="1"/>
  <c r="N46" i="1"/>
  <c r="P46" i="1" s="1"/>
  <c r="N47" i="1"/>
  <c r="N48" i="1"/>
  <c r="P48" i="1" s="1"/>
  <c r="N49" i="1"/>
  <c r="P49" i="1" s="1"/>
  <c r="N50" i="1"/>
  <c r="P50" i="1" s="1"/>
  <c r="N51" i="1"/>
  <c r="P51" i="1" s="1"/>
  <c r="N52" i="1"/>
  <c r="N3" i="1"/>
  <c r="P3" i="1" s="1"/>
  <c r="I54" i="1"/>
  <c r="J54" i="1"/>
  <c r="K54" i="1"/>
  <c r="H54" i="1"/>
  <c r="P61" i="1" l="1" a="1"/>
  <c r="P61" i="1" s="1"/>
  <c r="P57" i="1"/>
  <c r="P62" i="1" a="1"/>
  <c r="P62" i="1" s="1"/>
  <c r="S18" i="1"/>
  <c r="S42" i="1"/>
  <c r="P60" i="1"/>
  <c r="P59" i="1"/>
  <c r="R54" i="1"/>
  <c r="S57" i="1" l="1"/>
  <c r="S56" i="1"/>
  <c r="S55" i="1"/>
  <c r="S54" i="1"/>
  <c r="P5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<sst xmlns="http://schemas.openxmlformats.org/spreadsheetml/2006/main" count="242" uniqueCount="177">
  <si>
    <t>YEAR</t>
  </si>
  <si>
    <t>STATE</t>
  </si>
  <si>
    <t>XX</t>
  </si>
  <si>
    <t>TOT_V</t>
  </si>
  <si>
    <t>TOT_S</t>
  </si>
  <si>
    <t>SEAT_%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</si>
  <si>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</si>
  <si>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</si>
  <si>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</si>
  <si>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</si>
  <si>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</si>
  <si>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</si>
  <si>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</si>
  <si>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</si>
  <si>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</si>
  <si>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</si>
  <si>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</si>
  <si>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</si>
  <si>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</si>
  <si>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</si>
  <si>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</si>
  <si>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</si>
  <si>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</si>
  <si>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</si>
  <si>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</si>
  <si>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</si>
  <si>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Hawaiʻi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</si>
  <si>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</si>
  <si>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</si>
  <si>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</si>
  <si>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</si>
  <si>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</si>
  <si>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</si>
  <si>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</si>
  <si>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</si>
  <si>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</si>
  <si>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</si>
  <si>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</si>
  <si>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</si>
  <si>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</si>
  <si>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</si>
  <si>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</si>
  <si>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</si>
  <si>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</si>
  <si>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</si>
  <si>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</si>
  <si>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</si>
  <si>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</si>
  <si>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</si>
  <si>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</si>
  <si>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</si>
  <si>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</si>
  <si>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</si>
  <si>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</si>
  <si>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</si>
  <si>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</si>
  <si>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</si>
  <si>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</si>
  <si>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</si>
  <si>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</si>
  <si>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</si>
  <si>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</si>
  <si>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</si>
  <si>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</si>
  <si>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</si>
  <si>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</si>
  <si>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</si>
  <si>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</si>
  <si>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</si>
  <si>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</si>
  <si>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</si>
  <si>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</si>
  <si>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</si>
  <si>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</si>
  <si>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</si>
  <si>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</si>
  <si>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</si>
  <si>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</si>
  <si>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</si>
  <si>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</si>
  <si>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</si>
  <si>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</si>
  <si>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</si>
  <si>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</si>
  <si>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</si>
  <si>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</si>
  <si>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</si>
  <si>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</si>
  <si>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</si>
  <si>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</si>
  <si>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</si>
  <si>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</si>
  <si>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</si>
  <si>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</si>
  <si>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</si>
  <si>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</si>
  <si>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</si>
  <si>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</si>
  <si>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</si>
  <si>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</si>
  <si>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</si>
  <si>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</si>
  <si>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</si>
  <si>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</si>
  <si>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</si>
  <si>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</si>
  <si>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TOTAL</t>
  </si>
  <si>
    <t>R_V%</t>
  </si>
  <si>
    <t>D_V%</t>
  </si>
  <si>
    <t xml:space="preserve"> </t>
  </si>
  <si>
    <t>Map</t>
  </si>
  <si>
    <t>Notes</t>
  </si>
  <si>
    <t>ACTUAL</t>
  </si>
  <si>
    <t>https://davesredistricting.org/join/87c865df-abda-40b4-aabb-59f9c388c3a0</t>
  </si>
  <si>
    <t>https://davesredistricting.org/join/c35703c2-6cd0-4f1d-9fae-5a0826507cfb</t>
  </si>
  <si>
    <t>https://davesredistricting.org/join/3d91ae72-035c-49d8-920b-d44012d3ea2d</t>
  </si>
  <si>
    <t>https://davesredistricting.org/join/28033d62-2027-4661-95d0-557621f823e9</t>
  </si>
  <si>
    <t>https://davesredistricting.org/join/f025ff76-e268-4033-971d-d7d755ea01bb</t>
  </si>
  <si>
    <t>https://davesredistricting.org/join/1db11e90-c162-4363-847c-a0d34a8864e8</t>
  </si>
  <si>
    <t>https://davesredistricting.org/join/283ef00f-9b80-4547-984f-74c25f554eef</t>
  </si>
  <si>
    <t>https://davesredistricting.org/join/d6ccadfa-243e-4ecc-9bb2-716b3f82afee</t>
  </si>
  <si>
    <t>https://davesredistricting.org/join/22b4dc91-5c29-4d11-a408-108feda65390</t>
  </si>
  <si>
    <t>https://davesredistricting.org/join/94bd0713-6e46-4041-9eca-75265455c49f</t>
  </si>
  <si>
    <t>https://davesredistricting.org/join/96dd2bb5-d35c-4bbe-a28e-f798072e0983</t>
  </si>
  <si>
    <t>https://davesredistricting.org/join/434b0674-aa0b-4c34-837e-d46d5af6e8d6</t>
  </si>
  <si>
    <t>https://davesredistricting.org/join/f0155598-3679-42aa-9ff9-17f7a3b6ad82</t>
  </si>
  <si>
    <t>https://davesredistricting.org/join/14e046b2-98a2-4b59-bfe3-6c8afee85f43</t>
  </si>
  <si>
    <t>https://davesredistricting.org/join/1f28107b-3981-46fc-9be5-6c3be848683d</t>
  </si>
  <si>
    <t>https://davesredistricting.org/join/930472f1-d096-42c0-9e38-10f463ecdb89</t>
  </si>
  <si>
    <t>https://davesredistricting.org/join/2d801234-32b3-4a96-a64c-82e27c460716</t>
  </si>
  <si>
    <t>https://davesredistricting.org/join/d5273801-39a6-4ad6-89fe-c0d1d7460680</t>
  </si>
  <si>
    <t>https://davesredistricting.org/join/4f9930e4-072e-452d-9b5f-12cab0427ece</t>
  </si>
  <si>
    <t>https://davesredistricting.org/join/ce81ca33-09da-40a2-8803-35e9cf0a6469</t>
  </si>
  <si>
    <t>https://davesredistricting.org/join/9fd5b08c-1830-4d60-a0c8-387c764ecfb0</t>
  </si>
  <si>
    <t>https://davesredistricting.org/join/63f8c635-75ee-4a08-a798-cec3342feb49</t>
  </si>
  <si>
    <t>https://davesredistricting.org/join/f27e6b94-e78f-4726-bf94-4a5d9911d535</t>
  </si>
  <si>
    <t xml:space="preserve"> https://davesredistricting.org/join/5a43a57b-ba16-4a6d-ad53-1fcfcd8a253b</t>
  </si>
  <si>
    <t>https://davesredistricting.org/join/a1d6a28b-18ed-4481-8ae0-c3deaf673308</t>
  </si>
  <si>
    <t>https://davesredistricting.org/join/e39cf7d4-f655-4f39-a7ff-178ca55673fa</t>
  </si>
  <si>
    <t>https://davesredistricting.org/join/a2b03bdb-525c-4082-945f-1150528ec151</t>
  </si>
  <si>
    <t>https://davesredistricting.org/join/43ac26c6-a829-4102-9d40-be3288998318</t>
  </si>
  <si>
    <t>https://davesredistricting.org/join/dc25e6e9-1e87-439f-8f67-9f20aa842487</t>
  </si>
  <si>
    <t>https://davesredistricting.org/join/c601c3fd-769d-4a46-9c0c-4801ad29fa31</t>
  </si>
  <si>
    <t>https://davesredistricting.org/join/33ecdb53-4a90-4191-88b2-b58148c20a45</t>
  </si>
  <si>
    <t>https://davesredistricting.org/join/6703b5c2-0849-4fdd-9712-f281849255ab</t>
  </si>
  <si>
    <t>https://davesredistricting.org/join/00eb40c5-ef15-4634-af87-72fd2b9d062d</t>
  </si>
  <si>
    <t>https://davesredistricting.org/join/bae848ae-a6fd-4647-a2fc-3af07978eb28</t>
  </si>
  <si>
    <t>https://davesredistricting.org/join/d0da4067-8219-48b6-9403-6bb5782d2dba</t>
  </si>
  <si>
    <t>https://davesredistricting.org/join/413e574e-0568-48f4-8e4e-0a31aefa65c2</t>
  </si>
  <si>
    <t>https://davesredistricting.org/join/ac3c139e-73a1-4391-87f4-1aaaf7ead166</t>
  </si>
  <si>
    <t>https://davesredistricting.org/join/19b1b774-7706-485b-a21a-896bbcbddbba</t>
  </si>
  <si>
    <t>https://davesredistricting.org/join/5324d375-0bc2-4960-9f87-6b9aa8e39b0d</t>
  </si>
  <si>
    <t>https://davesredistricting.org/join/34e5ac82-d619-4402-963a-9d1118f318f7</t>
  </si>
  <si>
    <t>https://davesredistricting.org/join/66454011-b7c9-4302-a075-0e1146d07d54</t>
  </si>
  <si>
    <t>https://davesredistricting.org/join/8011bcb2-469b-4546-a6b8-27259586d5a3</t>
  </si>
  <si>
    <t>https://davesredistricting.org/join/7d07ec5b-34c7-42a4-bd43-cc076bf366d6</t>
  </si>
  <si>
    <t>same</t>
  </si>
  <si>
    <t>less</t>
  </si>
  <si>
    <t>more</t>
  </si>
  <si>
    <t>ESTIMATED</t>
  </si>
  <si>
    <t>D_V%'</t>
  </si>
  <si>
    <t>D_S%</t>
  </si>
  <si>
    <t>D_S#</t>
  </si>
  <si>
    <t>R_V</t>
  </si>
  <si>
    <t>D_V</t>
  </si>
  <si>
    <t>O_V</t>
  </si>
  <si>
    <t>R_S</t>
  </si>
  <si>
    <t>D_S</t>
  </si>
  <si>
    <t>O_S</t>
  </si>
  <si>
    <t xml:space="preserve">      COMPUTED</t>
  </si>
  <si>
    <t>mean</t>
  </si>
  <si>
    <t>std dev</t>
  </si>
  <si>
    <t>min</t>
  </si>
  <si>
    <t>max</t>
  </si>
  <si>
    <t>ΔD_V%</t>
  </si>
  <si>
    <t>ΔD_S#</t>
  </si>
  <si>
    <t>Only ABS(Δ) 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</si>
</sst>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 tint="0.39997558519241921"/>
        <bgColor theme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theme="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theme="1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3" fontId="1" fillId="0" borderId="0" xfId="0" applyNumberFormat="1" applyFont="1"/>
    <xf numFmtId="3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49" fontId="1" fillId="0" borderId="2" xfId="0" applyNumberFormat="1" applyFont="1" applyBorder="1"/>
    <xf numFmtId="3" fontId="1" fillId="0" borderId="2" xfId="0" applyNumberFormat="1" applyFont="1" applyBorder="1"/>
    <xf numFmtId="0" fontId="1" fillId="0" borderId="2" xfId="0" applyFont="1" applyBorder="1"/>
    <xf numFmtId="0" fontId="2" fillId="2" borderId="4" xfId="0" applyFont="1" applyFill="1" applyBorder="1"/>
    <xf numFmtId="0" fontId="3" fillId="0" borderId="0" xfId="1"/>
    <xf numFmtId="1" fontId="0" fillId="0" borderId="0" xfId="0" applyNumberFormat="1"/>
    <xf numFmtId="1" fontId="0" fillId="0" borderId="1" xfId="0" applyNumberFormat="1" applyBorder="1"/>
    <xf numFmtId="1" fontId="1" fillId="0" borderId="0" xfId="0" applyNumberFormat="1" applyFont="1"/>
    <xf numFmtId="1" fontId="2" fillId="3" borderId="0" xfId="0" applyNumberFormat="1" applyFont="1" applyFill="1"/>
    <xf numFmtId="1" fontId="2" fillId="3" borderId="0" xfId="0" applyNumberFormat="1" applyFont="1" applyFill="1" applyAlignment="1">
      <alignment horizontal="center"/>
    </xf>
    <xf numFmtId="0" fontId="2" fillId="3" borderId="0" xfId="0" applyFont="1" applyFill="1"/>
    <xf numFmtId="1" fontId="1" fillId="4" borderId="2" xfId="0" applyNumberFormat="1" applyFont="1" applyFill="1" applyBorder="1"/>
    <xf numFmtId="0" fontId="1" fillId="4" borderId="2" xfId="0" applyFont="1" applyFill="1" applyBorder="1"/>
    <xf numFmtId="0" fontId="2" fillId="5" borderId="4" xfId="0" applyFont="1" applyFill="1" applyBorder="1"/>
    <xf numFmtId="164" fontId="1" fillId="6" borderId="2" xfId="0" applyNumberFormat="1" applyFont="1" applyFill="1" applyBorder="1"/>
    <xf numFmtId="0" fontId="2" fillId="7" borderId="4" xfId="0" applyFont="1" applyFill="1" applyBorder="1"/>
    <xf numFmtId="164" fontId="1" fillId="8" borderId="2" xfId="0" applyNumberFormat="1" applyFont="1" applyFill="1" applyBorder="1"/>
    <xf numFmtId="0" fontId="2" fillId="7" borderId="3" xfId="0" applyFont="1" applyFill="1" applyBorder="1"/>
    <xf numFmtId="1" fontId="0" fillId="0" borderId="0" xfId="0" applyNumberFormat="1" applyFill="1"/>
  </cellXfs>
  <cellStyles count="2">
    <cellStyle name="Hyperlink" xfId="1" builtinId="8"/>
    <cellStyle name="Normal" xfId="0" builtinId="0"/>
  </cellStyles>
  <dxfs count="16">
    <dxf>
      <numFmt numFmtId="164" formatCode="0.0000"/>
    </dxf>
    <dxf>
      <numFmt numFmtId="164" formatCode="0.0000"/>
    </dxf>
    <dxf>
      <numFmt numFmtId="1" formatCode="0"/>
    </dxf>
    <dxf>
      <numFmt numFmtId="1" formatCode="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0" formatCode="@"/>
    </dxf>
    <dxf>
      <numFmt numFmtId="30" formatCode="@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70E77-6F88-C242-9970-47BB6401122B}" name="Table1" displayName="Table1" ref="B2:U52" totalsRowShown="0" headerRowDxfId="15" headerRowBorderDxfId="14">
  <autoFilter ref="B2:U52" xr:uid="{69870E77-6F88-C242-9970-47BB6401122B}"/>
  <tableColumns count="20">
    <tableColumn id="1" xr3:uid="{73046750-2EEC-DC42-A0DB-1614FCA4BDDD}" name="STATE" dataDxfId="13"/>
    <tableColumn id="2" xr3:uid="{80236A0C-6111-C649-98B5-A5A6EC85447F}" name="XX" dataDxfId="12"/>
    <tableColumn id="3" xr3:uid="{63CD2487-B2FB-1746-B54A-CF279238A27B}" name="R_V" dataDxfId="11"/>
    <tableColumn id="4" xr3:uid="{9046D64C-559B-3F42-BB4E-92292BEBF40D}" name="D_V" dataDxfId="10"/>
    <tableColumn id="5" xr3:uid="{8F3C558B-9F92-9C43-B5D7-473ABBA0F909}" name="O_V" dataDxfId="9"/>
    <tableColumn id="6" xr3:uid="{99845DE2-F0E7-C541-9E12-3A2CFA61BCAF}" name="TOT_V" dataDxfId="8"/>
    <tableColumn id="7" xr3:uid="{F6D989B4-91BE-8C44-B8F4-246733371DDD}" name="R_S"/>
    <tableColumn id="8" xr3:uid="{99B56770-0AFB-7F48-A61E-714D61351182}" name="D_S"/>
    <tableColumn id="9" xr3:uid="{23CE58C3-A664-7C42-BB1E-FA53D5BDF3E3}" name="O_S"/>
    <tableColumn id="10" xr3:uid="{386B7D6F-A067-CC4E-A64B-8DBD5490FDA2}" name="TOT_S"/>
    <tableColumn id="12" xr3:uid="{87AF5040-FE35-6F4B-985A-93021F25F306}" name="R_V%" dataDxfId="7"/>
    <tableColumn id="13" xr3:uid="{44E204CE-5ACE-5C41-ADF0-8F5377159652}" name="SEAT_%" dataDxfId="6"/>
    <tableColumn id="14" xr3:uid="{146608F1-BB4C-4F41-851D-ABFCD3583B0F}" name="D_V%" dataDxfId="5">
      <calculatedColumnFormula>1-L3</calculatedColumnFormula>
    </tableColumn>
    <tableColumn id="19" xr3:uid="{CBAF1FEC-7357-2E41-A7A1-A153A958D0D8}" name="D_V%'" dataDxfId="1"/>
    <tableColumn id="21" xr3:uid="{C98F2CE8-41A8-1E4A-BC9F-D32ACCE1A657}" name="ΔD_V%" dataDxfId="0">
      <calculatedColumnFormula>Table1[[#This Row],[D_V%'']]-Table1[[#This Row],[D_V%]]</calculatedColumnFormula>
    </tableColumn>
    <tableColumn id="11" xr3:uid="{2C8A5924-C30D-8E47-912C-25258224FD6D}" name="D_S%" dataDxfId="4"/>
    <tableColumn id="16" xr3:uid="{11A3B7FF-A932-8241-8235-73120A46DC65}" name="D_S#" dataDxfId="3"/>
    <tableColumn id="15" xr3:uid="{62FAF15F-F5B0-4344-9FF9-B2FF6949E0F7}" name="ΔD_S#" dataDxfId="2">
      <calculatedColumnFormula>Table1[[#This Row],[D_S'#]]-Table1[[#This Row],[D_S]]</calculatedColumnFormula>
    </tableColumn>
    <tableColumn id="17" xr3:uid="{B5A0C745-F65C-5740-A3C6-9D89B35D701A}" name="Map"/>
    <tableColumn id="18" xr3:uid="{0642435E-4363-534C-B36E-9BA1F98CDB98}" name="Not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vesredistricting.org/join/f0155598-3679-42aa-9ff9-17f7a3b6ad82" TargetMode="External"/><Relationship Id="rId18" Type="http://schemas.openxmlformats.org/officeDocument/2006/relationships/hyperlink" Target="https://davesredistricting.org/join/d5273801-39a6-4ad6-89fe-c0d1d7460680" TargetMode="External"/><Relationship Id="rId26" Type="http://schemas.openxmlformats.org/officeDocument/2006/relationships/hyperlink" Target="https://davesredistricting.org/join/e39cf7d4-f655-4f39-a7ff-178ca55673fa" TargetMode="External"/><Relationship Id="rId39" Type="http://schemas.openxmlformats.org/officeDocument/2006/relationships/hyperlink" Target="https://davesredistricting.org/join/19b1b774-7706-485b-a21a-896bbcbddbba" TargetMode="External"/><Relationship Id="rId21" Type="http://schemas.openxmlformats.org/officeDocument/2006/relationships/hyperlink" Target="https://davesredistricting.org/join/9fd5b08c-1830-4d60-a0c8-387c764ecfb0" TargetMode="External"/><Relationship Id="rId34" Type="http://schemas.openxmlformats.org/officeDocument/2006/relationships/hyperlink" Target="https://davesredistricting.org/join/bae848ae-a6fd-4647-a2fc-3af07978eb28" TargetMode="External"/><Relationship Id="rId42" Type="http://schemas.openxmlformats.org/officeDocument/2006/relationships/hyperlink" Target="https://davesredistricting.org/join/8011bcb2-469b-4546-a6b8-27259586d5a3" TargetMode="External"/><Relationship Id="rId7" Type="http://schemas.openxmlformats.org/officeDocument/2006/relationships/hyperlink" Target="https://davesredistricting.org/join/283ef00f-9b80-4547-984f-74c25f554eef" TargetMode="External"/><Relationship Id="rId2" Type="http://schemas.openxmlformats.org/officeDocument/2006/relationships/hyperlink" Target="https://davesredistricting.org/join/c35703c2-6cd0-4f1d-9fae-5a0826507cfb" TargetMode="External"/><Relationship Id="rId16" Type="http://schemas.openxmlformats.org/officeDocument/2006/relationships/hyperlink" Target="https://davesredistricting.org/join/930472f1-d096-42c0-9e38-10f463ecdb89" TargetMode="External"/><Relationship Id="rId20" Type="http://schemas.openxmlformats.org/officeDocument/2006/relationships/hyperlink" Target="https://davesredistricting.org/join/ce81ca33-09da-40a2-8803-35e9cf0a6469" TargetMode="External"/><Relationship Id="rId29" Type="http://schemas.openxmlformats.org/officeDocument/2006/relationships/hyperlink" Target="https://davesredistricting.org/join/dc25e6e9-1e87-439f-8f67-9f20aa842487" TargetMode="External"/><Relationship Id="rId41" Type="http://schemas.openxmlformats.org/officeDocument/2006/relationships/hyperlink" Target="https://davesredistricting.org/join/66454011-b7c9-4302-a075-0e1146d07d54" TargetMode="External"/><Relationship Id="rId1" Type="http://schemas.openxmlformats.org/officeDocument/2006/relationships/hyperlink" Target="https://davesredistricting.org/join/87c865df-abda-40b4-aabb-59f9c388c3a0" TargetMode="External"/><Relationship Id="rId6" Type="http://schemas.openxmlformats.org/officeDocument/2006/relationships/hyperlink" Target="https://davesredistricting.org/join/1db11e90-c162-4363-847c-a0d34a8864e8" TargetMode="External"/><Relationship Id="rId11" Type="http://schemas.openxmlformats.org/officeDocument/2006/relationships/hyperlink" Target="https://davesredistricting.org/join/96dd2bb5-d35c-4bbe-a28e-f798072e0983" TargetMode="External"/><Relationship Id="rId24" Type="http://schemas.openxmlformats.org/officeDocument/2006/relationships/hyperlink" Target="https://davesredistricting.org/join/f27e6b94-e78f-4726-bf94-4a5d9911d535" TargetMode="External"/><Relationship Id="rId32" Type="http://schemas.openxmlformats.org/officeDocument/2006/relationships/hyperlink" Target="https://davesredistricting.org/join/6703b5c2-0849-4fdd-9712-f281849255ab" TargetMode="External"/><Relationship Id="rId37" Type="http://schemas.openxmlformats.org/officeDocument/2006/relationships/hyperlink" Target="https://davesredistricting.org/join/ac3c139e-73a1-4391-87f4-1aaaf7ead166" TargetMode="External"/><Relationship Id="rId40" Type="http://schemas.openxmlformats.org/officeDocument/2006/relationships/hyperlink" Target="https://davesredistricting.org/join/34e5ac82-d619-4402-963a-9d1118f318f7" TargetMode="External"/><Relationship Id="rId5" Type="http://schemas.openxmlformats.org/officeDocument/2006/relationships/hyperlink" Target="https://davesredistricting.org/join/f025ff76-e268-4033-971d-d7d755ea01bb" TargetMode="External"/><Relationship Id="rId15" Type="http://schemas.openxmlformats.org/officeDocument/2006/relationships/hyperlink" Target="https://davesredistricting.org/join/1f28107b-3981-46fc-9be5-6c3be848683d" TargetMode="External"/><Relationship Id="rId23" Type="http://schemas.openxmlformats.org/officeDocument/2006/relationships/hyperlink" Target="https://davesredistricting.org/join/f27e6b94-e78f-4726-bf94-4a5d9911d535" TargetMode="External"/><Relationship Id="rId28" Type="http://schemas.openxmlformats.org/officeDocument/2006/relationships/hyperlink" Target="https://davesredistricting.org/join/43ac26c6-a829-4102-9d40-be3288998318" TargetMode="External"/><Relationship Id="rId36" Type="http://schemas.openxmlformats.org/officeDocument/2006/relationships/hyperlink" Target="https://davesredistricting.org/join/413e574e-0568-48f4-8e4e-0a31aefa65c2" TargetMode="External"/><Relationship Id="rId10" Type="http://schemas.openxmlformats.org/officeDocument/2006/relationships/hyperlink" Target="https://davesredistricting.org/join/94bd0713-6e46-4041-9eca-75265455c49f" TargetMode="External"/><Relationship Id="rId19" Type="http://schemas.openxmlformats.org/officeDocument/2006/relationships/hyperlink" Target="https://davesredistricting.org/join/4f9930e4-072e-452d-9b5f-12cab0427ece" TargetMode="External"/><Relationship Id="rId31" Type="http://schemas.openxmlformats.org/officeDocument/2006/relationships/hyperlink" Target="https://davesredistricting.org/join/33ecdb53-4a90-4191-88b2-b58148c20a45" TargetMode="External"/><Relationship Id="rId44" Type="http://schemas.openxmlformats.org/officeDocument/2006/relationships/table" Target="../tables/table1.xml"/><Relationship Id="rId4" Type="http://schemas.openxmlformats.org/officeDocument/2006/relationships/hyperlink" Target="https://davesredistricting.org/join/28033d62-2027-4661-95d0-557621f823e9" TargetMode="External"/><Relationship Id="rId9" Type="http://schemas.openxmlformats.org/officeDocument/2006/relationships/hyperlink" Target="https://davesredistricting.org/join/22b4dc91-5c29-4d11-a408-108feda65390" TargetMode="External"/><Relationship Id="rId14" Type="http://schemas.openxmlformats.org/officeDocument/2006/relationships/hyperlink" Target="https://davesredistricting.org/join/14e046b2-98a2-4b59-bfe3-6c8afee85f43" TargetMode="External"/><Relationship Id="rId22" Type="http://schemas.openxmlformats.org/officeDocument/2006/relationships/hyperlink" Target="https://davesredistricting.org/join/63f8c635-75ee-4a08-a798-cec3342feb49" TargetMode="External"/><Relationship Id="rId27" Type="http://schemas.openxmlformats.org/officeDocument/2006/relationships/hyperlink" Target="https://davesredistricting.org/join/a2b03bdb-525c-4082-945f-1150528ec151" TargetMode="External"/><Relationship Id="rId30" Type="http://schemas.openxmlformats.org/officeDocument/2006/relationships/hyperlink" Target="https://davesredistricting.org/join/c601c3fd-769d-4a46-9c0c-4801ad29fa31" TargetMode="External"/><Relationship Id="rId35" Type="http://schemas.openxmlformats.org/officeDocument/2006/relationships/hyperlink" Target="https://davesredistricting.org/join/d0da4067-8219-48b6-9403-6bb5782d2dba" TargetMode="External"/><Relationship Id="rId43" Type="http://schemas.openxmlformats.org/officeDocument/2006/relationships/hyperlink" Target="https://davesredistricting.org/join/7d07ec5b-34c7-42a4-bd43-cc076bf366d6" TargetMode="External"/><Relationship Id="rId8" Type="http://schemas.openxmlformats.org/officeDocument/2006/relationships/hyperlink" Target="https://davesredistricting.org/join/d6ccadfa-243e-4ecc-9bb2-716b3f82afee" TargetMode="External"/><Relationship Id="rId3" Type="http://schemas.openxmlformats.org/officeDocument/2006/relationships/hyperlink" Target="https://davesredistricting.org/join/3d91ae72-035c-49d8-920b-d44012d3ea2d" TargetMode="External"/><Relationship Id="rId12" Type="http://schemas.openxmlformats.org/officeDocument/2006/relationships/hyperlink" Target="https://davesredistricting.org/join/434b0674-aa0b-4c34-837e-d46d5af6e8d6" TargetMode="External"/><Relationship Id="rId17" Type="http://schemas.openxmlformats.org/officeDocument/2006/relationships/hyperlink" Target="https://davesredistricting.org/join/2d801234-32b3-4a96-a64c-82e27c460716" TargetMode="External"/><Relationship Id="rId25" Type="http://schemas.openxmlformats.org/officeDocument/2006/relationships/hyperlink" Target="https://davesredistricting.org/join/a1d6a28b-18ed-4481-8ae0-c3deaf673308" TargetMode="External"/><Relationship Id="rId33" Type="http://schemas.openxmlformats.org/officeDocument/2006/relationships/hyperlink" Target="https://davesredistricting.org/join/00eb40c5-ef15-4634-af87-72fd2b9d062d" TargetMode="External"/><Relationship Id="rId38" Type="http://schemas.openxmlformats.org/officeDocument/2006/relationships/hyperlink" Target="https://davesredistricting.org/join/5324d375-0bc2-4960-9f87-6b9aa8e39b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1CC3-9A07-F44B-B5D6-5B0B92F07057}">
  <dimension ref="A1:U62"/>
  <sheetViews>
    <sheetView tabSelected="1" topLeftCell="B1" workbookViewId="0">
      <pane xSplit="1" ySplit="2" topLeftCell="C3" activePane="bottomRight" state="frozen"/>
      <selection activeCell="B1" sqref="B1"/>
      <selection pane="topRight" activeCell="C1" sqref="C1"/>
      <selection pane="bottomLeft" activeCell="B2" sqref="B2"/>
      <selection pane="bottomRight" activeCell="U24" sqref="U24"/>
    </sheetView>
  </sheetViews>
  <sheetFormatPr baseColWidth="10" defaultRowHeight="16" x14ac:dyDescent="0.2"/>
  <cols>
    <col min="1" max="1" width="5.5" hidden="1" customWidth="1"/>
    <col min="2" max="2" width="14.33203125" bestFit="1" customWidth="1"/>
    <col min="3" max="3" width="5.83203125" customWidth="1"/>
    <col min="4" max="4" width="9.1640625" style="5" bestFit="1" customWidth="1"/>
    <col min="5" max="5" width="10.1640625" style="5" bestFit="1" customWidth="1"/>
    <col min="6" max="6" width="9.33203125" style="5" customWidth="1"/>
    <col min="7" max="7" width="10.1640625" style="5" bestFit="1" customWidth="1"/>
    <col min="8" max="8" width="8.6640625" customWidth="1"/>
    <col min="9" max="9" width="9.5" customWidth="1"/>
    <col min="10" max="10" width="9.1640625" customWidth="1"/>
    <col min="11" max="11" width="8.83203125" customWidth="1"/>
    <col min="12" max="12" width="8.33203125" style="7" customWidth="1"/>
    <col min="13" max="13" width="10.1640625" style="7" hidden="1" customWidth="1"/>
    <col min="14" max="14" width="8.5" style="7" customWidth="1"/>
    <col min="15" max="15" width="9.1640625" style="7" bestFit="1" customWidth="1"/>
    <col min="16" max="16" width="9.6640625" style="7" bestFit="1" customWidth="1"/>
    <col min="17" max="17" width="8.5" style="7" customWidth="1"/>
    <col min="18" max="18" width="8.1640625" style="16" bestFit="1" customWidth="1"/>
    <col min="19" max="19" width="9" style="16" bestFit="1" customWidth="1"/>
    <col min="21" max="21" width="13.83203125" bestFit="1" customWidth="1"/>
  </cols>
  <sheetData>
    <row r="1" spans="1:21" ht="17" thickBot="1" x14ac:dyDescent="0.25">
      <c r="B1" s="14"/>
      <c r="C1" s="14"/>
      <c r="D1" s="14"/>
      <c r="E1" s="14"/>
      <c r="F1" s="14"/>
      <c r="G1" s="14"/>
      <c r="H1" s="14"/>
      <c r="I1" s="14" t="s">
        <v>112</v>
      </c>
      <c r="J1" s="14"/>
      <c r="K1" s="14"/>
      <c r="L1" s="26" t="s">
        <v>169</v>
      </c>
      <c r="M1" s="24"/>
      <c r="N1" s="28"/>
      <c r="O1" s="19"/>
      <c r="P1" s="19"/>
      <c r="Q1" s="19"/>
      <c r="R1" s="20" t="s">
        <v>159</v>
      </c>
      <c r="S1" s="21"/>
      <c r="T1" s="21"/>
      <c r="U1" s="21"/>
    </row>
    <row r="2" spans="1:21" s="2" customFormat="1" ht="17" thickBot="1" x14ac:dyDescent="0.25">
      <c r="A2" s="2" t="s">
        <v>0</v>
      </c>
      <c r="B2" s="11" t="s">
        <v>1</v>
      </c>
      <c r="C2" s="11" t="s">
        <v>2</v>
      </c>
      <c r="D2" s="12" t="s">
        <v>163</v>
      </c>
      <c r="E2" s="12" t="s">
        <v>164</v>
      </c>
      <c r="F2" s="12" t="s">
        <v>165</v>
      </c>
      <c r="G2" s="12" t="s">
        <v>3</v>
      </c>
      <c r="H2" s="13" t="s">
        <v>166</v>
      </c>
      <c r="I2" s="13" t="s">
        <v>167</v>
      </c>
      <c r="J2" s="13" t="s">
        <v>168</v>
      </c>
      <c r="K2" s="13" t="s">
        <v>4</v>
      </c>
      <c r="L2" s="27" t="s">
        <v>107</v>
      </c>
      <c r="M2" s="25" t="s">
        <v>5</v>
      </c>
      <c r="N2" s="27" t="s">
        <v>108</v>
      </c>
      <c r="O2" s="22" t="s">
        <v>160</v>
      </c>
      <c r="P2" s="22" t="s">
        <v>174</v>
      </c>
      <c r="Q2" s="22" t="s">
        <v>161</v>
      </c>
      <c r="R2" s="22" t="s">
        <v>162</v>
      </c>
      <c r="S2" s="22" t="s">
        <v>175</v>
      </c>
      <c r="T2" s="23" t="s">
        <v>110</v>
      </c>
      <c r="U2" s="23" t="s">
        <v>111</v>
      </c>
    </row>
    <row r="3" spans="1:21" x14ac:dyDescent="0.2">
      <c r="A3">
        <v>2020</v>
      </c>
      <c r="B3" s="1" t="s">
        <v>6</v>
      </c>
      <c r="C3" s="1" t="s">
        <v>7</v>
      </c>
      <c r="D3" s="5">
        <v>1512759</v>
      </c>
      <c r="E3" s="5">
        <v>834775</v>
      </c>
      <c r="F3" s="5">
        <v>1082</v>
      </c>
      <c r="G3" s="5">
        <v>2348616</v>
      </c>
      <c r="H3">
        <v>6</v>
      </c>
      <c r="I3">
        <v>1</v>
      </c>
      <c r="J3">
        <v>0</v>
      </c>
      <c r="K3">
        <v>7</v>
      </c>
      <c r="L3" s="7">
        <v>0.64439999999999997</v>
      </c>
      <c r="M3" s="7">
        <v>0.85709999999999997</v>
      </c>
      <c r="N3" s="7">
        <f>1-L3</f>
        <v>0.35560000000000003</v>
      </c>
      <c r="O3" s="7">
        <v>0.4002</v>
      </c>
      <c r="P3" s="7">
        <f>Table1[[#This Row],[D_V%'']]-Table1[[#This Row],[D_V%]]</f>
        <v>4.4599999999999973E-2</v>
      </c>
      <c r="Q3" s="7">
        <v>0.1429</v>
      </c>
      <c r="R3" s="16">
        <f>ROUND(Table1[[#This Row],[D_S%]]*Table1[[#This Row],[TOT_S]],0)</f>
        <v>1</v>
      </c>
      <c r="S3" s="16">
        <f>Table1[[#This Row],[D_S'#]]-Table1[[#This Row],[D_S]]</f>
        <v>0</v>
      </c>
      <c r="T3" s="15" t="s">
        <v>117</v>
      </c>
      <c r="U3" t="s">
        <v>109</v>
      </c>
    </row>
    <row r="4" spans="1:21" x14ac:dyDescent="0.2">
      <c r="A4">
        <v>2020</v>
      </c>
      <c r="B4" s="1" t="s">
        <v>8</v>
      </c>
      <c r="C4" s="1" t="s">
        <v>9</v>
      </c>
      <c r="D4" s="5">
        <v>192126</v>
      </c>
      <c r="E4" s="5">
        <v>159856</v>
      </c>
      <c r="F4" s="5">
        <v>1183</v>
      </c>
      <c r="G4" s="5">
        <v>353165</v>
      </c>
      <c r="H4">
        <v>1</v>
      </c>
      <c r="I4">
        <v>0</v>
      </c>
      <c r="J4">
        <v>0</v>
      </c>
      <c r="K4">
        <v>1</v>
      </c>
      <c r="L4" s="7">
        <v>0.54579999999999995</v>
      </c>
      <c r="M4" s="7">
        <v>1</v>
      </c>
      <c r="N4" s="7">
        <f t="shared" ref="N4:N52" si="0">1-L4</f>
        <v>0.45420000000000005</v>
      </c>
      <c r="P4" s="7" t="s">
        <v>109</v>
      </c>
      <c r="R4" s="16" t="s">
        <v>109</v>
      </c>
      <c r="U4" t="s">
        <v>109</v>
      </c>
    </row>
    <row r="5" spans="1:21" x14ac:dyDescent="0.2">
      <c r="A5">
        <v>2020</v>
      </c>
      <c r="B5" s="1" t="s">
        <v>10</v>
      </c>
      <c r="C5" s="1" t="s">
        <v>11</v>
      </c>
      <c r="D5" s="5">
        <v>1638516</v>
      </c>
      <c r="E5" s="5">
        <v>1629318</v>
      </c>
      <c r="F5" s="5">
        <v>415</v>
      </c>
      <c r="G5" s="5">
        <v>3268249</v>
      </c>
      <c r="H5">
        <v>4</v>
      </c>
      <c r="I5">
        <v>5</v>
      </c>
      <c r="J5">
        <v>0</v>
      </c>
      <c r="K5">
        <v>9</v>
      </c>
      <c r="L5" s="7">
        <v>0.50139999999999996</v>
      </c>
      <c r="M5" s="7">
        <v>0.44440000000000002</v>
      </c>
      <c r="N5" s="7">
        <f t="shared" si="0"/>
        <v>0.49860000000000004</v>
      </c>
      <c r="O5" s="7">
        <v>0.48870000000000002</v>
      </c>
      <c r="P5" s="7">
        <f>Table1[[#This Row],[D_V%'']]-Table1[[#This Row],[D_V%]]</f>
        <v>-9.9000000000000199E-3</v>
      </c>
      <c r="Q5" s="7">
        <v>0.52629999999999999</v>
      </c>
      <c r="R5" s="16">
        <f>ROUND(Table1[[#This Row],[D_S%]]*Table1[[#This Row],[TOT_S]],0)</f>
        <v>5</v>
      </c>
      <c r="S5" s="16">
        <f>Table1[[#This Row],[D_S'#]]-Table1[[#This Row],[D_S]]</f>
        <v>0</v>
      </c>
      <c r="T5" s="15" t="s">
        <v>119</v>
      </c>
      <c r="U5" t="s">
        <v>109</v>
      </c>
    </row>
    <row r="6" spans="1:21" x14ac:dyDescent="0.2">
      <c r="A6">
        <v>2020</v>
      </c>
      <c r="B6" s="1" t="s">
        <v>12</v>
      </c>
      <c r="C6" s="1" t="s">
        <v>13</v>
      </c>
      <c r="D6" s="5">
        <v>828266</v>
      </c>
      <c r="E6" s="5">
        <v>432312</v>
      </c>
      <c r="F6" s="5">
        <v>20645</v>
      </c>
      <c r="G6" s="5">
        <v>1281223</v>
      </c>
      <c r="H6">
        <v>4</v>
      </c>
      <c r="I6">
        <v>0</v>
      </c>
      <c r="J6">
        <v>0</v>
      </c>
      <c r="K6">
        <v>4</v>
      </c>
      <c r="L6" s="7">
        <v>0.65710000000000002</v>
      </c>
      <c r="M6" s="7">
        <v>1</v>
      </c>
      <c r="N6" s="7">
        <f t="shared" si="0"/>
        <v>0.34289999999999998</v>
      </c>
      <c r="O6" s="7">
        <v>0.35210000000000002</v>
      </c>
      <c r="P6" s="7">
        <f>Table1[[#This Row],[D_V%'']]-Table1[[#This Row],[D_V%]]</f>
        <v>9.2000000000000415E-3</v>
      </c>
      <c r="Q6" s="7">
        <v>1.3899999999999999E-2</v>
      </c>
      <c r="R6" s="16">
        <f>ROUND(Table1[[#This Row],[D_S%]]*Table1[[#This Row],[TOT_S]],0)</f>
        <v>0</v>
      </c>
      <c r="S6" s="16">
        <f>Table1[[#This Row],[D_S'#]]-Table1[[#This Row],[D_S]]</f>
        <v>0</v>
      </c>
      <c r="T6" s="15" t="s">
        <v>118</v>
      </c>
      <c r="U6" t="s">
        <v>109</v>
      </c>
    </row>
    <row r="7" spans="1:21" x14ac:dyDescent="0.2">
      <c r="A7">
        <v>2020</v>
      </c>
      <c r="B7" s="1" t="s">
        <v>14</v>
      </c>
      <c r="C7" s="1" t="s">
        <v>15</v>
      </c>
      <c r="D7" s="5">
        <v>6486672</v>
      </c>
      <c r="E7" s="5">
        <v>11137763</v>
      </c>
      <c r="F7" s="5">
        <v>0</v>
      </c>
      <c r="G7" s="5">
        <v>17624435</v>
      </c>
      <c r="H7">
        <v>11</v>
      </c>
      <c r="I7">
        <v>42</v>
      </c>
      <c r="J7">
        <v>0</v>
      </c>
      <c r="K7">
        <v>53</v>
      </c>
      <c r="L7" s="7">
        <v>0.36799999999999999</v>
      </c>
      <c r="M7" s="7">
        <v>0.20749999999999999</v>
      </c>
      <c r="N7" s="7">
        <f t="shared" si="0"/>
        <v>0.63200000000000001</v>
      </c>
      <c r="O7" s="7">
        <v>0.64239999999999997</v>
      </c>
      <c r="P7" s="7">
        <f>Table1[[#This Row],[D_V%'']]-Table1[[#This Row],[D_V%]]</f>
        <v>1.0399999999999965E-2</v>
      </c>
      <c r="Q7" s="7">
        <v>0.81369999999999998</v>
      </c>
      <c r="R7" s="16">
        <f>ROUND(Table1[[#This Row],[D_S%]]*Table1[[#This Row],[TOT_S]],0)</f>
        <v>43</v>
      </c>
      <c r="S7" s="16">
        <f>Table1[[#This Row],[D_S'#]]-Table1[[#This Row],[D_S]]</f>
        <v>1</v>
      </c>
      <c r="T7" s="15" t="s">
        <v>120</v>
      </c>
      <c r="U7" t="s">
        <v>109</v>
      </c>
    </row>
    <row r="8" spans="1:21" x14ac:dyDescent="0.2">
      <c r="A8">
        <v>2020</v>
      </c>
      <c r="B8" s="1" t="s">
        <v>16</v>
      </c>
      <c r="C8" s="1" t="s">
        <v>17</v>
      </c>
      <c r="D8" s="5">
        <v>1378248</v>
      </c>
      <c r="E8" s="5">
        <v>1679052</v>
      </c>
      <c r="F8" s="5">
        <v>107650</v>
      </c>
      <c r="G8" s="5">
        <v>3164950</v>
      </c>
      <c r="H8">
        <v>3</v>
      </c>
      <c r="I8">
        <v>4</v>
      </c>
      <c r="J8">
        <v>0</v>
      </c>
      <c r="K8">
        <v>7</v>
      </c>
      <c r="L8" s="7">
        <v>0.45079999999999998</v>
      </c>
      <c r="M8" s="7">
        <v>0.42859999999999998</v>
      </c>
      <c r="N8" s="7">
        <f t="shared" si="0"/>
        <v>0.54920000000000002</v>
      </c>
      <c r="O8" s="7">
        <v>0.54479999999999995</v>
      </c>
      <c r="P8" s="7">
        <f>Table1[[#This Row],[D_V%'']]-Table1[[#This Row],[D_V%]]</f>
        <v>-4.4000000000000705E-3</v>
      </c>
      <c r="Q8" s="7">
        <v>0.5968</v>
      </c>
      <c r="R8" s="16">
        <f>ROUND(Table1[[#This Row],[D_S%]]*Table1[[#This Row],[TOT_S]],0)</f>
        <v>4</v>
      </c>
      <c r="S8" s="16">
        <f>Table1[[#This Row],[D_S'#]]-Table1[[#This Row],[D_S]]</f>
        <v>0</v>
      </c>
      <c r="T8" s="15" t="s">
        <v>121</v>
      </c>
      <c r="U8" t="s">
        <v>109</v>
      </c>
    </row>
    <row r="9" spans="1:21" x14ac:dyDescent="0.2">
      <c r="A9">
        <v>2020</v>
      </c>
      <c r="B9" s="1" t="s">
        <v>18</v>
      </c>
      <c r="C9" s="1" t="s">
        <v>19</v>
      </c>
      <c r="D9" s="5">
        <v>676650</v>
      </c>
      <c r="E9" s="5">
        <v>1022792</v>
      </c>
      <c r="F9" s="5">
        <v>73485</v>
      </c>
      <c r="G9" s="5">
        <v>1772927</v>
      </c>
      <c r="H9">
        <v>0</v>
      </c>
      <c r="I9">
        <v>5</v>
      </c>
      <c r="J9">
        <v>0</v>
      </c>
      <c r="K9">
        <v>5</v>
      </c>
      <c r="L9" s="7">
        <v>0.3982</v>
      </c>
      <c r="M9" s="7">
        <v>0</v>
      </c>
      <c r="N9" s="7">
        <f t="shared" si="0"/>
        <v>0.6018</v>
      </c>
      <c r="O9" s="7">
        <v>0.58079999999999998</v>
      </c>
      <c r="P9" s="7">
        <f>Table1[[#This Row],[D_V%'']]-Table1[[#This Row],[D_V%]]</f>
        <v>-2.1000000000000019E-2</v>
      </c>
      <c r="Q9" s="7">
        <v>0.96909999999999996</v>
      </c>
      <c r="R9" s="16">
        <f>ROUND(Table1[[#This Row],[D_S%]]*Table1[[#This Row],[TOT_S]],0)</f>
        <v>5</v>
      </c>
      <c r="S9" s="16">
        <f>Table1[[#This Row],[D_S'#]]-Table1[[#This Row],[D_S]]</f>
        <v>0</v>
      </c>
      <c r="T9" s="15" t="s">
        <v>122</v>
      </c>
      <c r="U9" t="s">
        <v>109</v>
      </c>
    </row>
    <row r="10" spans="1:21" x14ac:dyDescent="0.2">
      <c r="A10">
        <v>2020</v>
      </c>
      <c r="B10" s="1" t="s">
        <v>20</v>
      </c>
      <c r="C10" s="1" t="s">
        <v>21</v>
      </c>
      <c r="D10" s="5">
        <v>196392</v>
      </c>
      <c r="E10" s="5">
        <v>281382</v>
      </c>
      <c r="F10" s="5">
        <v>10496</v>
      </c>
      <c r="G10" s="5">
        <v>488270</v>
      </c>
      <c r="H10">
        <v>0</v>
      </c>
      <c r="I10">
        <v>1</v>
      </c>
      <c r="J10">
        <v>0</v>
      </c>
      <c r="K10">
        <v>1</v>
      </c>
      <c r="L10" s="7">
        <v>0.41110000000000002</v>
      </c>
      <c r="M10" s="7">
        <v>0</v>
      </c>
      <c r="N10" s="7">
        <f t="shared" si="0"/>
        <v>0.58889999999999998</v>
      </c>
      <c r="P10" s="7" t="s">
        <v>109</v>
      </c>
      <c r="R10" s="16" t="s">
        <v>109</v>
      </c>
      <c r="U10" t="s">
        <v>109</v>
      </c>
    </row>
    <row r="11" spans="1:21" x14ac:dyDescent="0.2">
      <c r="A11">
        <v>2020</v>
      </c>
      <c r="B11" s="1" t="s">
        <v>22</v>
      </c>
      <c r="C11" s="1" t="s">
        <v>23</v>
      </c>
      <c r="D11" s="5">
        <v>5469164</v>
      </c>
      <c r="E11" s="5">
        <v>5073146</v>
      </c>
      <c r="F11" s="5">
        <v>46678</v>
      </c>
      <c r="G11" s="5">
        <v>10588988</v>
      </c>
      <c r="H11">
        <v>16</v>
      </c>
      <c r="I11">
        <v>11</v>
      </c>
      <c r="J11">
        <v>0</v>
      </c>
      <c r="K11">
        <v>27</v>
      </c>
      <c r="L11" s="7">
        <v>0.51880000000000004</v>
      </c>
      <c r="M11" s="7">
        <v>0.59260000000000002</v>
      </c>
      <c r="N11" s="7">
        <f t="shared" si="0"/>
        <v>0.48119999999999996</v>
      </c>
      <c r="O11" s="7">
        <v>0.48370000000000002</v>
      </c>
      <c r="P11" s="7">
        <f>Table1[[#This Row],[D_V%'']]-Table1[[#This Row],[D_V%]]</f>
        <v>2.5000000000000577E-3</v>
      </c>
      <c r="Q11" s="7">
        <v>0.44519999999999998</v>
      </c>
      <c r="R11" s="16">
        <f>ROUND(Table1[[#This Row],[D_S%]]*Table1[[#This Row],[TOT_S]],0)</f>
        <v>12</v>
      </c>
      <c r="S11" s="16">
        <f>Table1[[#This Row],[D_S'#]]-Table1[[#This Row],[D_S]]</f>
        <v>1</v>
      </c>
      <c r="T11" s="15" t="s">
        <v>123</v>
      </c>
      <c r="U11" t="s">
        <v>109</v>
      </c>
    </row>
    <row r="12" spans="1:21" x14ac:dyDescent="0.2">
      <c r="A12">
        <v>2020</v>
      </c>
      <c r="B12" s="1" t="s">
        <v>24</v>
      </c>
      <c r="C12" s="1" t="s">
        <v>25</v>
      </c>
      <c r="D12" s="5">
        <v>2490396</v>
      </c>
      <c r="E12" s="5">
        <v>2393089</v>
      </c>
      <c r="F12" s="5">
        <v>126</v>
      </c>
      <c r="G12" s="5">
        <v>4883611</v>
      </c>
      <c r="H12">
        <v>8</v>
      </c>
      <c r="I12">
        <v>6</v>
      </c>
      <c r="J12">
        <v>0</v>
      </c>
      <c r="K12">
        <v>14</v>
      </c>
      <c r="L12" s="7">
        <v>0.51</v>
      </c>
      <c r="M12" s="7">
        <v>0.57140000000000002</v>
      </c>
      <c r="N12" s="7">
        <f t="shared" si="0"/>
        <v>0.49</v>
      </c>
      <c r="O12" s="7">
        <v>0.4803</v>
      </c>
      <c r="P12" s="7">
        <f>Table1[[#This Row],[D_V%'']]-Table1[[#This Row],[D_V%]]</f>
        <v>-9.6999999999999864E-3</v>
      </c>
      <c r="Q12" s="7">
        <v>0.36670000000000003</v>
      </c>
      <c r="R12" s="16">
        <f>ROUND(Table1[[#This Row],[D_S%]]*Table1[[#This Row],[TOT_S]],0)</f>
        <v>5</v>
      </c>
      <c r="S12" s="16">
        <f>Table1[[#This Row],[D_S'#]]-Table1[[#This Row],[D_S]]</f>
        <v>-1</v>
      </c>
      <c r="T12" s="15" t="s">
        <v>124</v>
      </c>
      <c r="U12" t="s">
        <v>109</v>
      </c>
    </row>
    <row r="13" spans="1:21" x14ac:dyDescent="0.2">
      <c r="A13">
        <v>2020</v>
      </c>
      <c r="B13" s="1" t="s">
        <v>26</v>
      </c>
      <c r="C13" s="1" t="s">
        <v>27</v>
      </c>
      <c r="D13" s="5">
        <v>155215</v>
      </c>
      <c r="E13" s="5">
        <v>354762</v>
      </c>
      <c r="F13" s="5">
        <v>69807</v>
      </c>
      <c r="G13" s="5">
        <v>579784</v>
      </c>
      <c r="H13">
        <v>0</v>
      </c>
      <c r="I13">
        <v>2</v>
      </c>
      <c r="J13">
        <v>0</v>
      </c>
      <c r="K13">
        <v>2</v>
      </c>
      <c r="L13" s="7">
        <v>0.3044</v>
      </c>
      <c r="M13" s="7">
        <v>0</v>
      </c>
      <c r="N13" s="7">
        <f t="shared" si="0"/>
        <v>0.6956</v>
      </c>
      <c r="O13" s="7">
        <v>0.68269999999999997</v>
      </c>
      <c r="P13" s="7">
        <f>Table1[[#This Row],[D_V%'']]-Table1[[#This Row],[D_V%]]</f>
        <v>-1.2900000000000023E-2</v>
      </c>
      <c r="Q13" s="7">
        <v>1</v>
      </c>
      <c r="R13" s="16">
        <f>ROUND(Table1[[#This Row],[D_S%]]*Table1[[#This Row],[TOT_S]],0)</f>
        <v>2</v>
      </c>
      <c r="S13" s="16">
        <f>Table1[[#This Row],[D_S'#]]-Table1[[#This Row],[D_S]]</f>
        <v>0</v>
      </c>
      <c r="T13" s="15" t="s">
        <v>125</v>
      </c>
      <c r="U13" t="s">
        <v>109</v>
      </c>
    </row>
    <row r="14" spans="1:21" x14ac:dyDescent="0.2">
      <c r="A14">
        <v>2020</v>
      </c>
      <c r="B14" s="1" t="s">
        <v>28</v>
      </c>
      <c r="C14" s="1" t="s">
        <v>29</v>
      </c>
      <c r="D14" s="5">
        <v>561405</v>
      </c>
      <c r="E14" s="5">
        <v>255531</v>
      </c>
      <c r="F14" s="5">
        <v>32973</v>
      </c>
      <c r="G14" s="5">
        <v>849909</v>
      </c>
      <c r="H14">
        <v>2</v>
      </c>
      <c r="I14">
        <v>0</v>
      </c>
      <c r="J14">
        <v>0</v>
      </c>
      <c r="K14">
        <v>2</v>
      </c>
      <c r="L14" s="7">
        <v>0.68720000000000003</v>
      </c>
      <c r="M14" s="7">
        <v>1</v>
      </c>
      <c r="N14" s="7">
        <f t="shared" si="0"/>
        <v>0.31279999999999997</v>
      </c>
      <c r="O14" s="7">
        <v>0.3387</v>
      </c>
      <c r="P14" s="7">
        <f>Table1[[#This Row],[D_V%'']]-Table1[[#This Row],[D_V%]]</f>
        <v>2.5900000000000034E-2</v>
      </c>
      <c r="Q14" s="7">
        <v>0</v>
      </c>
      <c r="R14" s="16">
        <f>ROUND(Table1[[#This Row],[D_S%]]*Table1[[#This Row],[TOT_S]],0)</f>
        <v>0</v>
      </c>
      <c r="S14" s="16">
        <f>Table1[[#This Row],[D_S'#]]-Table1[[#This Row],[D_S]]</f>
        <v>0</v>
      </c>
      <c r="T14" s="15" t="s">
        <v>126</v>
      </c>
      <c r="U14" t="s">
        <v>109</v>
      </c>
    </row>
    <row r="15" spans="1:21" x14ac:dyDescent="0.2">
      <c r="A15">
        <v>2020</v>
      </c>
      <c r="B15" s="1" t="s">
        <v>30</v>
      </c>
      <c r="C15" s="1" t="s">
        <v>31</v>
      </c>
      <c r="D15" s="5">
        <v>2516145</v>
      </c>
      <c r="E15" s="5">
        <v>3400740</v>
      </c>
      <c r="F15" s="5">
        <v>36076</v>
      </c>
      <c r="G15" s="5">
        <v>5952961</v>
      </c>
      <c r="H15">
        <v>5</v>
      </c>
      <c r="I15">
        <v>13</v>
      </c>
      <c r="J15">
        <v>0</v>
      </c>
      <c r="K15">
        <v>18</v>
      </c>
      <c r="L15" s="7">
        <v>0.42520000000000002</v>
      </c>
      <c r="M15" s="7">
        <v>0.27779999999999999</v>
      </c>
      <c r="N15" s="7">
        <f t="shared" si="0"/>
        <v>0.57479999999999998</v>
      </c>
      <c r="O15" s="7">
        <v>0.58169999999999999</v>
      </c>
      <c r="P15" s="7">
        <f>Table1[[#This Row],[D_V%'']]-Table1[[#This Row],[D_V%]]</f>
        <v>6.9000000000000172E-3</v>
      </c>
      <c r="Q15" s="7">
        <v>0.6512</v>
      </c>
      <c r="R15" s="16">
        <f>ROUND(Table1[[#This Row],[D_S%]]*Table1[[#This Row],[TOT_S]],0)</f>
        <v>12</v>
      </c>
      <c r="S15" s="16">
        <f>Table1[[#This Row],[D_S'#]]-Table1[[#This Row],[D_S]]</f>
        <v>-1</v>
      </c>
      <c r="T15" s="15" t="s">
        <v>127</v>
      </c>
      <c r="U15" t="s">
        <v>109</v>
      </c>
    </row>
    <row r="16" spans="1:21" x14ac:dyDescent="0.2">
      <c r="A16">
        <v>2020</v>
      </c>
      <c r="B16" s="1" t="s">
        <v>32</v>
      </c>
      <c r="C16" s="1" t="s">
        <v>33</v>
      </c>
      <c r="D16" s="5">
        <v>1738745</v>
      </c>
      <c r="E16" s="5">
        <v>1194901</v>
      </c>
      <c r="F16" s="5">
        <v>62798</v>
      </c>
      <c r="G16" s="5">
        <v>2996444</v>
      </c>
      <c r="H16">
        <v>7</v>
      </c>
      <c r="I16">
        <v>2</v>
      </c>
      <c r="J16">
        <v>0</v>
      </c>
      <c r="K16">
        <v>9</v>
      </c>
      <c r="L16" s="7">
        <v>0.5927</v>
      </c>
      <c r="M16" s="7">
        <v>0.77780000000000005</v>
      </c>
      <c r="N16" s="7">
        <f t="shared" si="0"/>
        <v>0.4073</v>
      </c>
      <c r="O16" s="7">
        <v>0.43469999999999998</v>
      </c>
      <c r="P16" s="7">
        <f>Table1[[#This Row],[D_V%'']]-Table1[[#This Row],[D_V%]]</f>
        <v>2.739999999999998E-2</v>
      </c>
      <c r="Q16" s="7">
        <v>0.21060000000000001</v>
      </c>
      <c r="R16" s="16">
        <f>ROUND(Table1[[#This Row],[D_S%]]*Table1[[#This Row],[TOT_S]],0)</f>
        <v>2</v>
      </c>
      <c r="S16" s="16">
        <f>Table1[[#This Row],[D_S'#]]-Table1[[#This Row],[D_S]]</f>
        <v>0</v>
      </c>
      <c r="T16" s="15" t="s">
        <v>128</v>
      </c>
      <c r="U16" t="s">
        <v>109</v>
      </c>
    </row>
    <row r="17" spans="1:21" x14ac:dyDescent="0.2">
      <c r="A17">
        <v>2020</v>
      </c>
      <c r="B17" s="1" t="s">
        <v>34</v>
      </c>
      <c r="C17" s="1" t="s">
        <v>35</v>
      </c>
      <c r="D17" s="5">
        <v>859418</v>
      </c>
      <c r="E17" s="5">
        <v>762271</v>
      </c>
      <c r="F17" s="5">
        <v>78579</v>
      </c>
      <c r="G17" s="5">
        <v>1700268</v>
      </c>
      <c r="H17">
        <v>3</v>
      </c>
      <c r="I17">
        <v>1</v>
      </c>
      <c r="J17">
        <v>0</v>
      </c>
      <c r="K17">
        <v>4</v>
      </c>
      <c r="L17" s="7">
        <v>0.53</v>
      </c>
      <c r="M17" s="7">
        <v>0.75</v>
      </c>
      <c r="N17" s="7">
        <f t="shared" si="0"/>
        <v>0.47</v>
      </c>
      <c r="O17" s="7">
        <v>0.45150000000000001</v>
      </c>
      <c r="P17" s="7">
        <f>Table1[[#This Row],[D_V%'']]-Table1[[#This Row],[D_V%]]</f>
        <v>-1.8499999999999961E-2</v>
      </c>
      <c r="Q17" s="7">
        <v>0.35920000000000002</v>
      </c>
      <c r="R17" s="16">
        <f>ROUND(Table1[[#This Row],[D_S%]]*Table1[[#This Row],[TOT_S]],0)</f>
        <v>1</v>
      </c>
      <c r="S17" s="16">
        <f>Table1[[#This Row],[D_S'#]]-Table1[[#This Row],[D_S]]</f>
        <v>0</v>
      </c>
      <c r="T17" s="15" t="s">
        <v>129</v>
      </c>
      <c r="U17" t="s">
        <v>109</v>
      </c>
    </row>
    <row r="18" spans="1:21" x14ac:dyDescent="0.2">
      <c r="A18">
        <v>2020</v>
      </c>
      <c r="B18" s="1" t="s">
        <v>36</v>
      </c>
      <c r="C18" s="1" t="s">
        <v>37</v>
      </c>
      <c r="D18" s="5">
        <v>775898</v>
      </c>
      <c r="E18" s="5">
        <v>557258</v>
      </c>
      <c r="F18" s="5">
        <v>25797</v>
      </c>
      <c r="G18" s="5">
        <v>1358953</v>
      </c>
      <c r="H18">
        <v>3</v>
      </c>
      <c r="I18">
        <v>1</v>
      </c>
      <c r="J18">
        <v>0</v>
      </c>
      <c r="K18">
        <v>4</v>
      </c>
      <c r="L18" s="7">
        <v>0.58199999999999996</v>
      </c>
      <c r="M18" s="7">
        <v>0.75</v>
      </c>
      <c r="N18" s="7">
        <f t="shared" si="0"/>
        <v>0.41800000000000004</v>
      </c>
      <c r="O18" s="7">
        <v>0.41860000000000003</v>
      </c>
      <c r="P18" s="7">
        <f>Table1[[#This Row],[D_V%'']]-Table1[[#This Row],[D_V%]]</f>
        <v>5.9999999999998943E-4</v>
      </c>
      <c r="Q18" s="7">
        <f>0.83/Table1[[#This Row],[TOT_S]]</f>
        <v>0.20749999999999999</v>
      </c>
      <c r="R18" s="16">
        <f>ROUND(Table1[[#This Row],[D_S%]]*Table1[[#This Row],[TOT_S]],0)</f>
        <v>1</v>
      </c>
      <c r="S18" s="16">
        <f>Table1[[#This Row],[D_S'#]]-Table1[[#This Row],[D_S]]</f>
        <v>0</v>
      </c>
      <c r="T18" s="15" t="s">
        <v>130</v>
      </c>
      <c r="U18" t="s">
        <v>109</v>
      </c>
    </row>
    <row r="19" spans="1:21" x14ac:dyDescent="0.2">
      <c r="A19">
        <v>2020</v>
      </c>
      <c r="B19" s="1" t="s">
        <v>38</v>
      </c>
      <c r="C19" s="1" t="s">
        <v>39</v>
      </c>
      <c r="D19" s="5">
        <v>1363964</v>
      </c>
      <c r="E19" s="5">
        <v>735419</v>
      </c>
      <c r="F19" s="5">
        <v>16512</v>
      </c>
      <c r="G19" s="5">
        <v>2115895</v>
      </c>
      <c r="H19">
        <v>5</v>
      </c>
      <c r="I19">
        <v>1</v>
      </c>
      <c r="J19">
        <v>0</v>
      </c>
      <c r="K19">
        <v>6</v>
      </c>
      <c r="L19" s="7">
        <v>0.64970000000000006</v>
      </c>
      <c r="M19" s="7">
        <v>0.83330000000000004</v>
      </c>
      <c r="N19" s="7">
        <f t="shared" si="0"/>
        <v>0.35029999999999994</v>
      </c>
      <c r="O19" s="7">
        <v>0.41399999999999998</v>
      </c>
      <c r="P19" s="7">
        <f>Table1[[#This Row],[D_V%'']]-Table1[[#This Row],[D_V%]]</f>
        <v>6.3700000000000034E-2</v>
      </c>
      <c r="Q19" s="7">
        <v>0.10249999999999999</v>
      </c>
      <c r="R19" s="16">
        <f>ROUND(Table1[[#This Row],[D_S%]]*Table1[[#This Row],[TOT_S]],0)</f>
        <v>1</v>
      </c>
      <c r="S19" s="16">
        <f>Table1[[#This Row],[D_S'#]]-Table1[[#This Row],[D_S]]</f>
        <v>0</v>
      </c>
      <c r="T19" s="15" t="s">
        <v>131</v>
      </c>
      <c r="U19" t="s">
        <v>109</v>
      </c>
    </row>
    <row r="20" spans="1:21" x14ac:dyDescent="0.2">
      <c r="A20">
        <v>2020</v>
      </c>
      <c r="B20" s="1" t="s">
        <v>40</v>
      </c>
      <c r="C20" s="1" t="s">
        <v>41</v>
      </c>
      <c r="D20" s="5">
        <v>1169788</v>
      </c>
      <c r="E20" s="5">
        <v>727402</v>
      </c>
      <c r="F20" s="5">
        <v>49945</v>
      </c>
      <c r="G20" s="5">
        <v>1947135</v>
      </c>
      <c r="H20">
        <v>5</v>
      </c>
      <c r="I20">
        <v>1</v>
      </c>
      <c r="J20">
        <v>0</v>
      </c>
      <c r="K20">
        <v>6</v>
      </c>
      <c r="L20" s="7">
        <v>0.61660000000000004</v>
      </c>
      <c r="M20" s="7">
        <v>0.83330000000000004</v>
      </c>
      <c r="N20" s="7">
        <f t="shared" si="0"/>
        <v>0.38339999999999996</v>
      </c>
      <c r="O20" s="7">
        <v>0.39079999999999998</v>
      </c>
      <c r="P20" s="7">
        <f>Table1[[#This Row],[D_V%'']]-Table1[[#This Row],[D_V%]]</f>
        <v>7.4000000000000177E-3</v>
      </c>
      <c r="Q20" s="7">
        <v>0.16669999999999999</v>
      </c>
      <c r="R20" s="16">
        <f>ROUND(Table1[[#This Row],[D_S%]]*Table1[[#This Row],[TOT_S]],0)</f>
        <v>1</v>
      </c>
      <c r="S20" s="16">
        <f>Table1[[#This Row],[D_S'#]]-Table1[[#This Row],[D_S]]</f>
        <v>0</v>
      </c>
      <c r="T20" s="15" t="s">
        <v>132</v>
      </c>
      <c r="U20" t="s">
        <v>109</v>
      </c>
    </row>
    <row r="21" spans="1:21" x14ac:dyDescent="0.2">
      <c r="A21">
        <v>2020</v>
      </c>
      <c r="B21" s="1" t="s">
        <v>42</v>
      </c>
      <c r="C21" s="1" t="s">
        <v>43</v>
      </c>
      <c r="D21" s="5">
        <v>340236</v>
      </c>
      <c r="E21" s="5">
        <v>468978</v>
      </c>
      <c r="F21" s="5">
        <v>19091</v>
      </c>
      <c r="G21" s="5">
        <v>828305</v>
      </c>
      <c r="H21">
        <v>0</v>
      </c>
      <c r="I21">
        <v>2</v>
      </c>
      <c r="J21">
        <v>0</v>
      </c>
      <c r="K21">
        <v>2</v>
      </c>
      <c r="L21" s="7">
        <v>0.42049999999999998</v>
      </c>
      <c r="M21" s="7">
        <v>0</v>
      </c>
      <c r="N21" s="7">
        <f t="shared" si="0"/>
        <v>0.57950000000000002</v>
      </c>
      <c r="O21" s="7">
        <v>0.50629999999999997</v>
      </c>
      <c r="P21" s="7">
        <f>Table1[[#This Row],[D_V%'']]-Table1[[#This Row],[D_V%]]</f>
        <v>-7.3200000000000043E-2</v>
      </c>
      <c r="Q21" s="7">
        <v>0.82889999999999997</v>
      </c>
      <c r="R21" s="16">
        <f>ROUND(Table1[[#This Row],[D_S%]]*Table1[[#This Row],[TOT_S]],0)</f>
        <v>2</v>
      </c>
      <c r="S21" s="16">
        <f>Table1[[#This Row],[D_S'#]]-Table1[[#This Row],[D_S]]</f>
        <v>0</v>
      </c>
      <c r="T21" s="15" t="s">
        <v>133</v>
      </c>
      <c r="U21" t="s">
        <v>109</v>
      </c>
    </row>
    <row r="22" spans="1:21" x14ac:dyDescent="0.2">
      <c r="A22">
        <v>2020</v>
      </c>
      <c r="B22" s="1" t="s">
        <v>44</v>
      </c>
      <c r="C22" s="1" t="s">
        <v>45</v>
      </c>
      <c r="D22" s="5">
        <v>1028150</v>
      </c>
      <c r="E22" s="5">
        <v>1912740</v>
      </c>
      <c r="F22" s="5">
        <v>13280</v>
      </c>
      <c r="G22" s="5">
        <v>2954170</v>
      </c>
      <c r="H22">
        <v>1</v>
      </c>
      <c r="I22">
        <v>7</v>
      </c>
      <c r="J22">
        <v>0</v>
      </c>
      <c r="K22">
        <v>8</v>
      </c>
      <c r="L22" s="7">
        <v>0.34960000000000002</v>
      </c>
      <c r="M22" s="7">
        <v>0.125</v>
      </c>
      <c r="N22" s="7">
        <f t="shared" si="0"/>
        <v>0.65039999999999998</v>
      </c>
      <c r="O22" s="7">
        <v>0.62150000000000005</v>
      </c>
      <c r="P22" s="7">
        <f>Table1[[#This Row],[D_V%'']]-Table1[[#This Row],[D_V%]]</f>
        <v>-2.8899999999999926E-2</v>
      </c>
      <c r="Q22" s="7">
        <v>0.87539999999999996</v>
      </c>
      <c r="R22" s="16">
        <f>ROUND(Table1[[#This Row],[D_S%]]*Table1[[#This Row],[TOT_S]],0)</f>
        <v>7</v>
      </c>
      <c r="S22" s="16">
        <f>Table1[[#This Row],[D_S'#]]-Table1[[#This Row],[D_S]]</f>
        <v>0</v>
      </c>
      <c r="T22" s="15" t="s">
        <v>114</v>
      </c>
      <c r="U22" t="s">
        <v>109</v>
      </c>
    </row>
    <row r="23" spans="1:21" x14ac:dyDescent="0.2">
      <c r="A23">
        <v>2020</v>
      </c>
      <c r="B23" s="1" t="s">
        <v>46</v>
      </c>
      <c r="C23" s="1" t="s">
        <v>47</v>
      </c>
      <c r="D23" s="5">
        <v>1895553</v>
      </c>
      <c r="E23" s="5">
        <v>1854830</v>
      </c>
      <c r="F23" s="5">
        <v>95674</v>
      </c>
      <c r="G23" s="5">
        <v>3846057</v>
      </c>
      <c r="H23">
        <v>0</v>
      </c>
      <c r="I23">
        <v>9</v>
      </c>
      <c r="J23">
        <v>0</v>
      </c>
      <c r="K23">
        <v>9</v>
      </c>
      <c r="L23" s="7">
        <v>0.50539999999999996</v>
      </c>
      <c r="M23" s="7">
        <v>0</v>
      </c>
      <c r="N23" s="7">
        <f t="shared" si="0"/>
        <v>0.49460000000000004</v>
      </c>
      <c r="O23" s="7">
        <v>0.6139</v>
      </c>
      <c r="P23" s="7">
        <f>Table1[[#This Row],[D_V%'']]-Table1[[#This Row],[D_V%]]</f>
        <v>0.11929999999999996</v>
      </c>
      <c r="Q23" s="7">
        <v>0.38750000000000001</v>
      </c>
      <c r="R23" s="16">
        <f>ROUND(Table1[[#This Row],[D_S%]]*Table1[[#This Row],[TOT_S]],0)</f>
        <v>3</v>
      </c>
      <c r="S23" s="16">
        <f>Table1[[#This Row],[D_S'#]]-Table1[[#This Row],[D_S]]</f>
        <v>-6</v>
      </c>
      <c r="T23" s="15" t="s">
        <v>134</v>
      </c>
      <c r="U23" t="s">
        <v>176</v>
      </c>
    </row>
    <row r="24" spans="1:21" x14ac:dyDescent="0.2">
      <c r="A24">
        <v>2020</v>
      </c>
      <c r="B24" s="1" t="s">
        <v>48</v>
      </c>
      <c r="C24" s="1" t="s">
        <v>49</v>
      </c>
      <c r="D24" s="5">
        <v>2617881</v>
      </c>
      <c r="E24" s="5">
        <v>2688527</v>
      </c>
      <c r="F24" s="5">
        <v>116732</v>
      </c>
      <c r="G24" s="5">
        <v>5423140</v>
      </c>
      <c r="H24">
        <v>7</v>
      </c>
      <c r="I24">
        <v>7</v>
      </c>
      <c r="J24">
        <v>0</v>
      </c>
      <c r="K24">
        <v>14</v>
      </c>
      <c r="L24" s="7">
        <v>0.49330000000000002</v>
      </c>
      <c r="M24" s="7">
        <v>0.5</v>
      </c>
      <c r="N24" s="7">
        <f t="shared" si="0"/>
        <v>0.50669999999999993</v>
      </c>
      <c r="O24" s="7">
        <v>0.51870000000000005</v>
      </c>
      <c r="P24" s="7">
        <f>Table1[[#This Row],[D_V%'']]-Table1[[#This Row],[D_V%]]</f>
        <v>1.2000000000000122E-2</v>
      </c>
      <c r="Q24" s="7">
        <v>0.41449999999999998</v>
      </c>
      <c r="R24" s="16">
        <f>ROUND(Table1[[#This Row],[D_S%]]*Table1[[#This Row],[TOT_S]],0)</f>
        <v>6</v>
      </c>
      <c r="S24" s="16">
        <f>Table1[[#This Row],[D_S'#]]-Table1[[#This Row],[D_S]]</f>
        <v>-1</v>
      </c>
      <c r="T24" s="15" t="s">
        <v>136</v>
      </c>
      <c r="U24" t="s">
        <v>109</v>
      </c>
    </row>
    <row r="25" spans="1:21" x14ac:dyDescent="0.2">
      <c r="A25">
        <v>2020</v>
      </c>
      <c r="B25" s="1" t="s">
        <v>50</v>
      </c>
      <c r="C25" s="1" t="s">
        <v>51</v>
      </c>
      <c r="D25" s="5">
        <v>1474820</v>
      </c>
      <c r="E25" s="5">
        <v>1554373</v>
      </c>
      <c r="F25" s="5">
        <v>164616</v>
      </c>
      <c r="G25" s="5">
        <v>3193809</v>
      </c>
      <c r="H25">
        <v>4</v>
      </c>
      <c r="I25">
        <v>4</v>
      </c>
      <c r="J25">
        <v>0</v>
      </c>
      <c r="K25">
        <v>8</v>
      </c>
      <c r="L25" s="7">
        <v>0.4869</v>
      </c>
      <c r="M25" s="7">
        <v>0.5</v>
      </c>
      <c r="N25" s="7">
        <f t="shared" si="0"/>
        <v>0.5131</v>
      </c>
      <c r="O25" s="7">
        <v>0.54479999999999995</v>
      </c>
      <c r="P25" s="7">
        <f>Table1[[#This Row],[D_V%'']]-Table1[[#This Row],[D_V%]]</f>
        <v>3.169999999999995E-2</v>
      </c>
      <c r="Q25" s="7">
        <v>0.43930000000000002</v>
      </c>
      <c r="R25" s="16">
        <f>ROUND(Table1[[#This Row],[D_S%]]*Table1[[#This Row],[TOT_S]],0)</f>
        <v>4</v>
      </c>
      <c r="S25" s="16">
        <f>Table1[[#This Row],[D_S'#]]-Table1[[#This Row],[D_S]]</f>
        <v>0</v>
      </c>
      <c r="T25" s="15" t="s">
        <v>135</v>
      </c>
      <c r="U25" t="s">
        <v>109</v>
      </c>
    </row>
    <row r="26" spans="1:21" x14ac:dyDescent="0.2">
      <c r="A26">
        <v>2020</v>
      </c>
      <c r="B26" s="1" t="s">
        <v>52</v>
      </c>
      <c r="C26" s="1" t="s">
        <v>53</v>
      </c>
      <c r="D26" s="5">
        <v>806832</v>
      </c>
      <c r="E26" s="5">
        <v>530716</v>
      </c>
      <c r="F26" s="5">
        <v>0</v>
      </c>
      <c r="G26" s="5">
        <v>1337548</v>
      </c>
      <c r="H26">
        <v>3</v>
      </c>
      <c r="I26">
        <v>1</v>
      </c>
      <c r="J26">
        <v>0</v>
      </c>
      <c r="K26">
        <v>4</v>
      </c>
      <c r="L26" s="7">
        <v>0.60319999999999996</v>
      </c>
      <c r="M26" s="7">
        <v>0.75</v>
      </c>
      <c r="N26" s="7">
        <f t="shared" si="0"/>
        <v>0.39680000000000004</v>
      </c>
      <c r="O26" s="7">
        <v>0.43190000000000001</v>
      </c>
      <c r="P26" s="7">
        <f>Table1[[#This Row],[D_V%'']]-Table1[[#This Row],[D_V%]]</f>
        <v>3.5099999999999965E-2</v>
      </c>
      <c r="Q26" s="7">
        <v>0.2492</v>
      </c>
      <c r="R26" s="16">
        <f>ROUND(Table1[[#This Row],[D_S%]]*Table1[[#This Row],[TOT_S]],0)</f>
        <v>1</v>
      </c>
      <c r="S26" s="16">
        <f>Table1[[#This Row],[D_S'#]]-Table1[[#This Row],[D_S]]</f>
        <v>0</v>
      </c>
      <c r="T26" s="15" t="s">
        <v>137</v>
      </c>
      <c r="U26" t="s">
        <v>109</v>
      </c>
    </row>
    <row r="27" spans="1:21" x14ac:dyDescent="0.2">
      <c r="A27">
        <v>2020</v>
      </c>
      <c r="B27" s="1" t="s">
        <v>54</v>
      </c>
      <c r="C27" s="1" t="s">
        <v>55</v>
      </c>
      <c r="D27" s="5">
        <v>1723982</v>
      </c>
      <c r="E27" s="5">
        <v>1172135</v>
      </c>
      <c r="F27" s="5">
        <v>77304</v>
      </c>
      <c r="G27" s="5">
        <v>2973421</v>
      </c>
      <c r="H27">
        <v>6</v>
      </c>
      <c r="I27">
        <v>2</v>
      </c>
      <c r="J27">
        <v>0</v>
      </c>
      <c r="K27">
        <v>8</v>
      </c>
      <c r="L27" s="7">
        <v>0.59530000000000005</v>
      </c>
      <c r="M27" s="7">
        <v>0.75</v>
      </c>
      <c r="N27" s="7">
        <f t="shared" si="0"/>
        <v>0.40469999999999995</v>
      </c>
      <c r="O27" s="7">
        <v>0.4279</v>
      </c>
      <c r="P27" s="7">
        <f>Table1[[#This Row],[D_V%'']]-Table1[[#This Row],[D_V%]]</f>
        <v>2.3200000000000054E-2</v>
      </c>
      <c r="Q27" s="7">
        <v>0.26029999999999998</v>
      </c>
      <c r="R27" s="16">
        <f>ROUND(Table1[[#This Row],[D_S%]]*Table1[[#This Row],[TOT_S]],0)</f>
        <v>2</v>
      </c>
      <c r="S27" s="16">
        <f>Table1[[#This Row],[D_S'#]]-Table1[[#This Row],[D_S]]</f>
        <v>0</v>
      </c>
      <c r="T27" s="15" t="s">
        <v>138</v>
      </c>
      <c r="U27" t="s">
        <v>109</v>
      </c>
    </row>
    <row r="28" spans="1:21" x14ac:dyDescent="0.2">
      <c r="A28">
        <v>2020</v>
      </c>
      <c r="B28" s="1" t="s">
        <v>56</v>
      </c>
      <c r="C28" s="1" t="s">
        <v>57</v>
      </c>
      <c r="D28" s="5">
        <v>339169</v>
      </c>
      <c r="E28" s="5">
        <v>262340</v>
      </c>
      <c r="F28" s="5">
        <v>0</v>
      </c>
      <c r="G28" s="5">
        <v>601509</v>
      </c>
      <c r="H28">
        <v>1</v>
      </c>
      <c r="I28">
        <v>0</v>
      </c>
      <c r="J28">
        <v>0</v>
      </c>
      <c r="K28">
        <v>1</v>
      </c>
      <c r="L28" s="7">
        <v>0.56389999999999996</v>
      </c>
      <c r="M28" s="7">
        <v>1</v>
      </c>
      <c r="N28" s="7">
        <f t="shared" si="0"/>
        <v>0.43610000000000004</v>
      </c>
      <c r="P28" s="7" t="s">
        <v>109</v>
      </c>
      <c r="R28" s="16" t="s">
        <v>109</v>
      </c>
      <c r="U28" t="s">
        <v>109</v>
      </c>
    </row>
    <row r="29" spans="1:21" x14ac:dyDescent="0.2">
      <c r="A29">
        <v>2020</v>
      </c>
      <c r="B29" s="1" t="s">
        <v>58</v>
      </c>
      <c r="C29" s="1" t="s">
        <v>59</v>
      </c>
      <c r="D29" s="5">
        <v>585234</v>
      </c>
      <c r="E29" s="5">
        <v>326018</v>
      </c>
      <c r="F29" s="5">
        <v>30046</v>
      </c>
      <c r="G29" s="5">
        <v>941298</v>
      </c>
      <c r="H29">
        <v>3</v>
      </c>
      <c r="I29">
        <v>0</v>
      </c>
      <c r="J29">
        <v>0</v>
      </c>
      <c r="K29">
        <v>3</v>
      </c>
      <c r="L29" s="7">
        <v>0.64219999999999999</v>
      </c>
      <c r="M29" s="7">
        <v>1</v>
      </c>
      <c r="N29" s="7">
        <f t="shared" si="0"/>
        <v>0.35780000000000001</v>
      </c>
      <c r="O29" s="7">
        <v>0.37540000000000001</v>
      </c>
      <c r="P29" s="7">
        <f>Table1[[#This Row],[D_V%'']]-Table1[[#This Row],[D_V%]]</f>
        <v>1.7600000000000005E-2</v>
      </c>
      <c r="Q29" s="7">
        <v>6.0499999999999998E-2</v>
      </c>
      <c r="R29" s="16">
        <f>ROUND(Table1[[#This Row],[D_S%]]*Table1[[#This Row],[TOT_S]],0)</f>
        <v>0</v>
      </c>
      <c r="S29" s="16">
        <f>Table1[[#This Row],[D_S'#]]-Table1[[#This Row],[D_S]]</f>
        <v>0</v>
      </c>
      <c r="T29" s="15" t="s">
        <v>139</v>
      </c>
      <c r="U29" t="s">
        <v>109</v>
      </c>
    </row>
    <row r="30" spans="1:21" x14ac:dyDescent="0.2">
      <c r="A30">
        <v>2020</v>
      </c>
      <c r="B30" s="1" t="s">
        <v>60</v>
      </c>
      <c r="C30" s="1" t="s">
        <v>61</v>
      </c>
      <c r="D30" s="5">
        <v>633827</v>
      </c>
      <c r="E30" s="5">
        <v>665526</v>
      </c>
      <c r="F30" s="5">
        <v>56254</v>
      </c>
      <c r="G30" s="5">
        <v>1355607</v>
      </c>
      <c r="H30">
        <v>1</v>
      </c>
      <c r="I30">
        <v>3</v>
      </c>
      <c r="J30">
        <v>0</v>
      </c>
      <c r="K30">
        <v>4</v>
      </c>
      <c r="L30" s="7">
        <v>0.48780000000000001</v>
      </c>
      <c r="M30" s="7">
        <v>0.25</v>
      </c>
      <c r="N30" s="7">
        <f t="shared" si="0"/>
        <v>0.51219999999999999</v>
      </c>
      <c r="O30" s="7">
        <v>0.51449999999999996</v>
      </c>
      <c r="P30" s="7">
        <f>Table1[[#This Row],[D_V%'']]-Table1[[#This Row],[D_V%]]</f>
        <v>2.2999999999999687E-3</v>
      </c>
      <c r="Q30" s="7">
        <v>0.56710000000000005</v>
      </c>
      <c r="R30" s="16">
        <f>ROUND(Table1[[#This Row],[D_S%]]*Table1[[#This Row],[TOT_S]],0)</f>
        <v>2</v>
      </c>
      <c r="S30" s="16">
        <f>Table1[[#This Row],[D_S'#]]-Table1[[#This Row],[D_S]]</f>
        <v>-1</v>
      </c>
      <c r="T30" s="15" t="s">
        <v>140</v>
      </c>
      <c r="U30" t="s">
        <v>109</v>
      </c>
    </row>
    <row r="31" spans="1:21" x14ac:dyDescent="0.2">
      <c r="A31">
        <v>2020</v>
      </c>
      <c r="B31" s="1" t="s">
        <v>62</v>
      </c>
      <c r="C31" s="1" t="s">
        <v>63</v>
      </c>
      <c r="D31" s="5">
        <v>354045</v>
      </c>
      <c r="E31" s="5">
        <v>413895</v>
      </c>
      <c r="F31" s="5">
        <v>19162</v>
      </c>
      <c r="G31" s="5">
        <v>787102</v>
      </c>
      <c r="H31">
        <v>0</v>
      </c>
      <c r="I31">
        <v>2</v>
      </c>
      <c r="J31">
        <v>0</v>
      </c>
      <c r="K31">
        <v>2</v>
      </c>
      <c r="L31" s="7">
        <v>0.46100000000000002</v>
      </c>
      <c r="M31" s="7">
        <v>0</v>
      </c>
      <c r="N31" s="7">
        <f t="shared" si="0"/>
        <v>0.53899999999999992</v>
      </c>
      <c r="O31" s="7">
        <v>0.46510000000000001</v>
      </c>
      <c r="P31" s="7">
        <f>Table1[[#This Row],[D_V%'']]-Table1[[#This Row],[D_V%]]</f>
        <v>-7.389999999999991E-2</v>
      </c>
      <c r="Q31" s="7">
        <v>0.83550000000000002</v>
      </c>
      <c r="R31" s="16">
        <f>ROUND(Table1[[#This Row],[D_S%]]*Table1[[#This Row],[TOT_S]],0)</f>
        <v>2</v>
      </c>
      <c r="S31" s="16">
        <f>Table1[[#This Row],[D_S'#]]-Table1[[#This Row],[D_S]]</f>
        <v>0</v>
      </c>
      <c r="T31" s="15" t="s">
        <v>141</v>
      </c>
      <c r="U31" t="s">
        <v>109</v>
      </c>
    </row>
    <row r="32" spans="1:21" x14ac:dyDescent="0.2">
      <c r="A32">
        <v>2020</v>
      </c>
      <c r="B32" s="1" t="s">
        <v>64</v>
      </c>
      <c r="C32" s="1" t="s">
        <v>65</v>
      </c>
      <c r="D32" s="5">
        <v>1843047</v>
      </c>
      <c r="E32" s="5">
        <v>2539128</v>
      </c>
      <c r="F32" s="5">
        <v>50748</v>
      </c>
      <c r="G32" s="5">
        <v>4432923</v>
      </c>
      <c r="H32">
        <v>2</v>
      </c>
      <c r="I32">
        <v>10</v>
      </c>
      <c r="J32">
        <v>0</v>
      </c>
      <c r="K32">
        <v>12</v>
      </c>
      <c r="L32" s="7">
        <v>0.42059999999999997</v>
      </c>
      <c r="M32" s="7">
        <v>0.16669999999999999</v>
      </c>
      <c r="N32" s="7">
        <f t="shared" si="0"/>
        <v>0.57940000000000003</v>
      </c>
      <c r="O32" s="7">
        <v>0.57440000000000002</v>
      </c>
      <c r="P32" s="7">
        <f>Table1[[#This Row],[D_V%'']]-Table1[[#This Row],[D_V%]]</f>
        <v>-5.0000000000000044E-3</v>
      </c>
      <c r="Q32" s="7">
        <v>0.73560000000000003</v>
      </c>
      <c r="R32" s="16">
        <f>ROUND(Table1[[#This Row],[D_S%]]*Table1[[#This Row],[TOT_S]],0)</f>
        <v>9</v>
      </c>
      <c r="S32" s="16">
        <f>Table1[[#This Row],[D_S'#]]-Table1[[#This Row],[D_S]]</f>
        <v>-1</v>
      </c>
      <c r="T32" s="15" t="s">
        <v>142</v>
      </c>
      <c r="U32" t="s">
        <v>109</v>
      </c>
    </row>
    <row r="33" spans="1:21" x14ac:dyDescent="0.2">
      <c r="A33">
        <v>2020</v>
      </c>
      <c r="B33" s="1" t="s">
        <v>66</v>
      </c>
      <c r="C33" s="1" t="s">
        <v>67</v>
      </c>
      <c r="D33" s="5">
        <v>407786</v>
      </c>
      <c r="E33" s="5">
        <v>495781</v>
      </c>
      <c r="F33" s="5">
        <v>117</v>
      </c>
      <c r="G33" s="5">
        <v>903684</v>
      </c>
      <c r="H33">
        <v>1</v>
      </c>
      <c r="I33">
        <v>2</v>
      </c>
      <c r="J33">
        <v>0</v>
      </c>
      <c r="K33">
        <v>3</v>
      </c>
      <c r="L33" s="7">
        <v>0.45129999999999998</v>
      </c>
      <c r="M33" s="7">
        <v>0.33329999999999999</v>
      </c>
      <c r="N33" s="7">
        <f t="shared" si="0"/>
        <v>0.54869999999999997</v>
      </c>
      <c r="O33" s="7">
        <v>0.56089999999999995</v>
      </c>
      <c r="P33" s="7">
        <f>Table1[[#This Row],[D_V%'']]-Table1[[#This Row],[D_V%]]</f>
        <v>1.2199999999999989E-2</v>
      </c>
      <c r="Q33" s="7">
        <v>0.68840000000000001</v>
      </c>
      <c r="R33" s="16">
        <f>ROUND(Table1[[#This Row],[D_S%]]*Table1[[#This Row],[TOT_S]],0)</f>
        <v>2</v>
      </c>
      <c r="S33" s="16">
        <f>Table1[[#This Row],[D_S'#]]-Table1[[#This Row],[D_S]]</f>
        <v>0</v>
      </c>
      <c r="T33" s="15" t="s">
        <v>143</v>
      </c>
      <c r="U33" t="s">
        <v>109</v>
      </c>
    </row>
    <row r="34" spans="1:21" x14ac:dyDescent="0.2">
      <c r="A34">
        <v>2020</v>
      </c>
      <c r="B34" s="1" t="s">
        <v>68</v>
      </c>
      <c r="C34" s="1" t="s">
        <v>69</v>
      </c>
      <c r="D34" s="5">
        <v>2886505</v>
      </c>
      <c r="E34" s="5">
        <v>4723841</v>
      </c>
      <c r="F34" s="5">
        <v>1099854</v>
      </c>
      <c r="G34" s="5">
        <v>8710200</v>
      </c>
      <c r="H34">
        <v>8</v>
      </c>
      <c r="I34">
        <v>19</v>
      </c>
      <c r="J34">
        <v>0</v>
      </c>
      <c r="K34">
        <v>27</v>
      </c>
      <c r="L34" s="7">
        <v>0.37930000000000003</v>
      </c>
      <c r="M34" s="7">
        <v>0.29630000000000001</v>
      </c>
      <c r="N34" s="7">
        <f t="shared" si="0"/>
        <v>0.62070000000000003</v>
      </c>
      <c r="O34" s="7">
        <v>0.64780000000000004</v>
      </c>
      <c r="P34" s="7">
        <f>Table1[[#This Row],[D_V%'']]-Table1[[#This Row],[D_V%]]</f>
        <v>2.7100000000000013E-2</v>
      </c>
      <c r="Q34" s="7">
        <v>0.74929999999999997</v>
      </c>
      <c r="R34" s="16">
        <f>ROUND(Table1[[#This Row],[D_S%]]*Table1[[#This Row],[TOT_S]],0)</f>
        <v>20</v>
      </c>
      <c r="S34" s="16">
        <f>Table1[[#This Row],[D_S'#]]-Table1[[#This Row],[D_S]]</f>
        <v>1</v>
      </c>
      <c r="T34" s="15" t="s">
        <v>144</v>
      </c>
      <c r="U34" t="s">
        <v>109</v>
      </c>
    </row>
    <row r="35" spans="1:21" x14ac:dyDescent="0.2">
      <c r="A35">
        <v>2020</v>
      </c>
      <c r="B35" s="1" t="s">
        <v>70</v>
      </c>
      <c r="C35" s="1" t="s">
        <v>71</v>
      </c>
      <c r="D35" s="5">
        <v>2777675</v>
      </c>
      <c r="E35" s="5">
        <v>2660535</v>
      </c>
      <c r="F35" s="5">
        <v>33374</v>
      </c>
      <c r="G35" s="5">
        <v>5471584</v>
      </c>
      <c r="H35">
        <v>8</v>
      </c>
      <c r="I35">
        <v>5</v>
      </c>
      <c r="J35">
        <v>0</v>
      </c>
      <c r="K35">
        <v>13</v>
      </c>
      <c r="L35" s="7">
        <v>0.51080000000000003</v>
      </c>
      <c r="M35" s="7">
        <v>0.61539999999999995</v>
      </c>
      <c r="N35" s="7">
        <f t="shared" si="0"/>
        <v>0.48919999999999997</v>
      </c>
      <c r="O35" s="7">
        <v>0.49430000000000002</v>
      </c>
      <c r="P35" s="7">
        <f>Table1[[#This Row],[D_V%'']]-Table1[[#This Row],[D_V%]]</f>
        <v>5.1000000000000489E-3</v>
      </c>
      <c r="Q35" s="7">
        <v>0.40679999999999999</v>
      </c>
      <c r="R35" s="16">
        <f>ROUND(Table1[[#This Row],[D_S%]]*Table1[[#This Row],[TOT_S]],0)</f>
        <v>5</v>
      </c>
      <c r="S35" s="16">
        <f>Table1[[#This Row],[D_S'#]]-Table1[[#This Row],[D_S]]</f>
        <v>0</v>
      </c>
      <c r="T35" s="15" t="s">
        <v>113</v>
      </c>
      <c r="U35" t="s">
        <v>109</v>
      </c>
    </row>
    <row r="36" spans="1:21" x14ac:dyDescent="0.2">
      <c r="A36">
        <v>2020</v>
      </c>
      <c r="B36" s="1" t="s">
        <v>72</v>
      </c>
      <c r="C36" s="1" t="s">
        <v>73</v>
      </c>
      <c r="D36" s="5">
        <v>245229</v>
      </c>
      <c r="E36" s="5">
        <v>97970</v>
      </c>
      <c r="F36" s="5">
        <v>12399</v>
      </c>
      <c r="G36" s="5">
        <v>355598</v>
      </c>
      <c r="H36">
        <v>1</v>
      </c>
      <c r="I36">
        <v>0</v>
      </c>
      <c r="J36">
        <v>0</v>
      </c>
      <c r="K36">
        <v>1</v>
      </c>
      <c r="L36" s="7">
        <v>0.71450000000000002</v>
      </c>
      <c r="M36" s="7">
        <v>1</v>
      </c>
      <c r="N36" s="7">
        <f t="shared" si="0"/>
        <v>0.28549999999999998</v>
      </c>
      <c r="P36" s="7" t="s">
        <v>109</v>
      </c>
      <c r="R36" s="16" t="s">
        <v>109</v>
      </c>
      <c r="U36" t="s">
        <v>109</v>
      </c>
    </row>
    <row r="37" spans="1:21" x14ac:dyDescent="0.2">
      <c r="A37">
        <v>2020</v>
      </c>
      <c r="B37" s="1" t="s">
        <v>74</v>
      </c>
      <c r="C37" s="1" t="s">
        <v>75</v>
      </c>
      <c r="D37" s="5">
        <v>3252887</v>
      </c>
      <c r="E37" s="5">
        <v>2451500</v>
      </c>
      <c r="F37" s="5">
        <v>57153</v>
      </c>
      <c r="G37" s="5">
        <v>5761540</v>
      </c>
      <c r="H37">
        <v>12</v>
      </c>
      <c r="I37">
        <v>4</v>
      </c>
      <c r="J37">
        <v>0</v>
      </c>
      <c r="K37">
        <v>16</v>
      </c>
      <c r="L37" s="7">
        <v>0.57020000000000004</v>
      </c>
      <c r="M37" s="7">
        <v>0.75</v>
      </c>
      <c r="N37" s="7">
        <f t="shared" si="0"/>
        <v>0.42979999999999996</v>
      </c>
      <c r="O37" s="7">
        <v>0.46379999999999999</v>
      </c>
      <c r="P37" s="7">
        <f>Table1[[#This Row],[D_V%'']]-Table1[[#This Row],[D_V%]]</f>
        <v>3.400000000000003E-2</v>
      </c>
      <c r="Q37" s="7">
        <v>0.22919999999999999</v>
      </c>
      <c r="R37" s="16">
        <f>ROUND(Table1[[#This Row],[D_S%]]*Table1[[#This Row],[TOT_S]],0)</f>
        <v>4</v>
      </c>
      <c r="S37" s="16">
        <f>Table1[[#This Row],[D_S'#]]-Table1[[#This Row],[D_S]]</f>
        <v>0</v>
      </c>
      <c r="T37" s="15" t="s">
        <v>145</v>
      </c>
      <c r="U37" t="s">
        <v>109</v>
      </c>
    </row>
    <row r="38" spans="1:21" x14ac:dyDescent="0.2">
      <c r="A38">
        <v>2020</v>
      </c>
      <c r="B38" s="1" t="s">
        <v>76</v>
      </c>
      <c r="C38" s="1" t="s">
        <v>77</v>
      </c>
      <c r="D38" s="5">
        <v>1044175</v>
      </c>
      <c r="E38" s="5">
        <v>475731</v>
      </c>
      <c r="F38" s="5">
        <v>31477</v>
      </c>
      <c r="G38" s="5">
        <v>1551383</v>
      </c>
      <c r="H38">
        <v>5</v>
      </c>
      <c r="I38">
        <v>0</v>
      </c>
      <c r="J38">
        <v>0</v>
      </c>
      <c r="K38">
        <v>5</v>
      </c>
      <c r="L38" s="7">
        <v>0.68700000000000006</v>
      </c>
      <c r="M38" s="7">
        <v>1</v>
      </c>
      <c r="N38" s="7">
        <f t="shared" si="0"/>
        <v>0.31299999999999994</v>
      </c>
      <c r="O38" s="7">
        <v>0.33629999999999999</v>
      </c>
      <c r="P38" s="7">
        <f>Table1[[#This Row],[D_V%'']]-Table1[[#This Row],[D_V%]]</f>
        <v>2.3300000000000043E-2</v>
      </c>
      <c r="Q38" s="7">
        <v>5.7000000000000002E-3</v>
      </c>
      <c r="R38" s="16">
        <f>ROUND(Table1[[#This Row],[D_S%]]*Table1[[#This Row],[TOT_S]],0)</f>
        <v>0</v>
      </c>
      <c r="S38" s="16">
        <f>Table1[[#This Row],[D_S'#]]-Table1[[#This Row],[D_S]]</f>
        <v>0</v>
      </c>
      <c r="T38" s="15" t="s">
        <v>146</v>
      </c>
      <c r="U38" t="s">
        <v>109</v>
      </c>
    </row>
    <row r="39" spans="1:21" x14ac:dyDescent="0.2">
      <c r="A39">
        <v>2020</v>
      </c>
      <c r="B39" s="1" t="s">
        <v>78</v>
      </c>
      <c r="C39" s="1" t="s">
        <v>79</v>
      </c>
      <c r="D39" s="5">
        <v>966786</v>
      </c>
      <c r="E39" s="5">
        <v>1285339</v>
      </c>
      <c r="F39" s="5">
        <v>56064</v>
      </c>
      <c r="G39" s="5">
        <v>2308189</v>
      </c>
      <c r="H39">
        <v>1</v>
      </c>
      <c r="I39">
        <v>4</v>
      </c>
      <c r="J39">
        <v>0</v>
      </c>
      <c r="K39">
        <v>5</v>
      </c>
      <c r="L39" s="7">
        <v>0.42930000000000001</v>
      </c>
      <c r="M39" s="7">
        <v>0.2</v>
      </c>
      <c r="N39" s="7">
        <f t="shared" si="0"/>
        <v>0.57069999999999999</v>
      </c>
      <c r="O39" s="7">
        <v>0.57499999999999996</v>
      </c>
      <c r="P39" s="7">
        <f>Table1[[#This Row],[D_V%'']]-Table1[[#This Row],[D_V%]]</f>
        <v>4.2999999999999705E-3</v>
      </c>
      <c r="Q39" s="7">
        <v>0.69199999999999995</v>
      </c>
      <c r="R39" s="16">
        <f>ROUND(Table1[[#This Row],[D_S%]]*Table1[[#This Row],[TOT_S]],0)</f>
        <v>3</v>
      </c>
      <c r="S39" s="16">
        <f>Table1[[#This Row],[D_S'#]]-Table1[[#This Row],[D_S]]</f>
        <v>-1</v>
      </c>
      <c r="T39" s="15" t="s">
        <v>147</v>
      </c>
      <c r="U39" t="s">
        <v>109</v>
      </c>
    </row>
    <row r="40" spans="1:21" x14ac:dyDescent="0.2">
      <c r="A40">
        <v>2020</v>
      </c>
      <c r="B40" s="1" t="s">
        <v>80</v>
      </c>
      <c r="C40" s="1" t="s">
        <v>81</v>
      </c>
      <c r="D40" s="5">
        <v>3432595</v>
      </c>
      <c r="E40" s="5">
        <v>3346712</v>
      </c>
      <c r="F40" s="5">
        <v>0</v>
      </c>
      <c r="G40" s="5">
        <v>6779307</v>
      </c>
      <c r="H40">
        <v>9</v>
      </c>
      <c r="I40">
        <v>9</v>
      </c>
      <c r="J40">
        <v>0</v>
      </c>
      <c r="K40">
        <v>18</v>
      </c>
      <c r="L40" s="7">
        <v>0.50629999999999997</v>
      </c>
      <c r="M40" s="7">
        <v>0.5</v>
      </c>
      <c r="N40" s="7">
        <f t="shared" si="0"/>
        <v>0.49370000000000003</v>
      </c>
      <c r="O40" s="7">
        <v>0.52510000000000001</v>
      </c>
      <c r="P40" s="7">
        <f>Table1[[#This Row],[D_V%'']]-Table1[[#This Row],[D_V%]]</f>
        <v>3.1399999999999983E-2</v>
      </c>
      <c r="Q40" s="7">
        <v>0.43519999999999998</v>
      </c>
      <c r="R40" s="16">
        <f>ROUND(Table1[[#This Row],[D_S%]]*Table1[[#This Row],[TOT_S]],0)</f>
        <v>8</v>
      </c>
      <c r="S40" s="16">
        <f>Table1[[#This Row],[D_S'#]]-Table1[[#This Row],[D_S]]</f>
        <v>-1</v>
      </c>
      <c r="T40" s="15" t="s">
        <v>115</v>
      </c>
      <c r="U40" t="s">
        <v>109</v>
      </c>
    </row>
    <row r="41" spans="1:21" x14ac:dyDescent="0.2">
      <c r="A41">
        <v>2020</v>
      </c>
      <c r="B41" s="1" t="s">
        <v>82</v>
      </c>
      <c r="C41" s="1" t="s">
        <v>83</v>
      </c>
      <c r="D41" s="5">
        <v>189261</v>
      </c>
      <c r="E41" s="5">
        <v>339276</v>
      </c>
      <c r="F41" s="5">
        <v>577</v>
      </c>
      <c r="G41" s="5">
        <v>529114</v>
      </c>
      <c r="H41">
        <v>0</v>
      </c>
      <c r="I41">
        <v>2</v>
      </c>
      <c r="J41">
        <v>0</v>
      </c>
      <c r="K41">
        <v>2</v>
      </c>
      <c r="L41" s="7">
        <v>0.35809999999999997</v>
      </c>
      <c r="M41" s="7">
        <v>0</v>
      </c>
      <c r="N41" s="7">
        <f t="shared" si="0"/>
        <v>0.64190000000000003</v>
      </c>
      <c r="O41" s="7">
        <v>0.61890000000000001</v>
      </c>
      <c r="P41" s="7">
        <f>Table1[[#This Row],[D_V%'']]-Table1[[#This Row],[D_V%]]</f>
        <v>-2.300000000000002E-2</v>
      </c>
      <c r="Q41" s="7">
        <v>0.99750000000000005</v>
      </c>
      <c r="R41" s="16">
        <f>ROUND(Table1[[#This Row],[D_S%]]*Table1[[#This Row],[TOT_S]],0)</f>
        <v>2</v>
      </c>
      <c r="S41" s="16">
        <f>Table1[[#This Row],[D_S'#]]-Table1[[#This Row],[D_S]]</f>
        <v>0</v>
      </c>
      <c r="T41" s="15" t="s">
        <v>148</v>
      </c>
      <c r="U41" t="s">
        <v>109</v>
      </c>
    </row>
    <row r="42" spans="1:21" x14ac:dyDescent="0.2">
      <c r="A42">
        <v>2020</v>
      </c>
      <c r="B42" s="1" t="s">
        <v>84</v>
      </c>
      <c r="C42" s="1" t="s">
        <v>85</v>
      </c>
      <c r="D42" s="5">
        <v>1412684</v>
      </c>
      <c r="E42" s="5">
        <v>1076799</v>
      </c>
      <c r="F42" s="5">
        <v>15959</v>
      </c>
      <c r="G42" s="5">
        <v>2505442</v>
      </c>
      <c r="H42">
        <v>6</v>
      </c>
      <c r="I42">
        <v>1</v>
      </c>
      <c r="J42">
        <v>0</v>
      </c>
      <c r="K42">
        <v>7</v>
      </c>
      <c r="L42" s="7">
        <v>0.5675</v>
      </c>
      <c r="M42" s="7">
        <v>0.85709999999999997</v>
      </c>
      <c r="N42" s="7">
        <f t="shared" si="0"/>
        <v>0.4325</v>
      </c>
      <c r="O42" s="7">
        <v>0.43159999999999998</v>
      </c>
      <c r="P42" s="7">
        <f>Table1[[#This Row],[D_V%'']]-Table1[[#This Row],[D_V%]]</f>
        <v>-9.000000000000119E-4</v>
      </c>
      <c r="Q42" s="7">
        <f>1.13/Table1[[#This Row],[TOT_S]]</f>
        <v>0.16142857142857142</v>
      </c>
      <c r="R42" s="16">
        <f>ROUND(Table1[[#This Row],[D_S%]]*Table1[[#This Row],[TOT_S]],0)</f>
        <v>1</v>
      </c>
      <c r="S42" s="16">
        <f>Table1[[#This Row],[D_S'#]]-Table1[[#This Row],[D_S]]</f>
        <v>0</v>
      </c>
      <c r="T42" s="15" t="s">
        <v>149</v>
      </c>
      <c r="U42" t="s">
        <v>109</v>
      </c>
    </row>
    <row r="43" spans="1:21" x14ac:dyDescent="0.2">
      <c r="A43">
        <v>2020</v>
      </c>
      <c r="B43" s="1" t="s">
        <v>86</v>
      </c>
      <c r="C43" s="1" t="s">
        <v>87</v>
      </c>
      <c r="D43" s="5">
        <v>321984</v>
      </c>
      <c r="E43" s="5">
        <v>137993</v>
      </c>
      <c r="F43" s="5">
        <v>0</v>
      </c>
      <c r="G43" s="5">
        <v>459977</v>
      </c>
      <c r="H43">
        <v>1</v>
      </c>
      <c r="I43">
        <v>0</v>
      </c>
      <c r="J43">
        <v>0</v>
      </c>
      <c r="K43">
        <v>1</v>
      </c>
      <c r="L43" s="7">
        <v>0.7</v>
      </c>
      <c r="M43" s="7">
        <v>1</v>
      </c>
      <c r="N43" s="7">
        <f t="shared" si="0"/>
        <v>0.30000000000000004</v>
      </c>
      <c r="P43" s="7" t="s">
        <v>109</v>
      </c>
      <c r="R43" s="16" t="s">
        <v>109</v>
      </c>
      <c r="U43" t="s">
        <v>109</v>
      </c>
    </row>
    <row r="44" spans="1:21" x14ac:dyDescent="0.2">
      <c r="A44">
        <v>2020</v>
      </c>
      <c r="B44" s="1" t="s">
        <v>88</v>
      </c>
      <c r="C44" s="1" t="s">
        <v>89</v>
      </c>
      <c r="D44" s="5">
        <v>1793321</v>
      </c>
      <c r="E44" s="5">
        <v>1105537</v>
      </c>
      <c r="F44" s="5">
        <v>50938</v>
      </c>
      <c r="G44" s="5">
        <v>2949796</v>
      </c>
      <c r="H44">
        <v>7</v>
      </c>
      <c r="I44">
        <v>2</v>
      </c>
      <c r="J44">
        <v>0</v>
      </c>
      <c r="K44">
        <v>9</v>
      </c>
      <c r="L44" s="7">
        <v>0.61860000000000004</v>
      </c>
      <c r="M44" s="7">
        <v>0.77780000000000005</v>
      </c>
      <c r="N44" s="7">
        <f t="shared" si="0"/>
        <v>0.38139999999999996</v>
      </c>
      <c r="O44" s="7">
        <v>0.3871</v>
      </c>
      <c r="P44" s="7">
        <f>Table1[[#This Row],[D_V%'']]-Table1[[#This Row],[D_V%]]</f>
        <v>5.7000000000000384E-3</v>
      </c>
      <c r="Q44" s="7">
        <v>0.22189999999999999</v>
      </c>
      <c r="R44" s="16">
        <f>ROUND(Table1[[#This Row],[D_S%]]*Table1[[#This Row],[TOT_S]],0)</f>
        <v>2</v>
      </c>
      <c r="S44" s="16">
        <f>Table1[[#This Row],[D_S'#]]-Table1[[#This Row],[D_S]]</f>
        <v>0</v>
      </c>
      <c r="T44" s="15" t="s">
        <v>151</v>
      </c>
      <c r="U44" t="s">
        <v>109</v>
      </c>
    </row>
    <row r="45" spans="1:21" x14ac:dyDescent="0.2">
      <c r="A45">
        <v>2020</v>
      </c>
      <c r="B45" s="1" t="s">
        <v>90</v>
      </c>
      <c r="C45" s="1" t="s">
        <v>91</v>
      </c>
      <c r="D45" s="5">
        <v>5926712</v>
      </c>
      <c r="E45" s="5">
        <v>4896673</v>
      </c>
      <c r="F45" s="5">
        <v>270241</v>
      </c>
      <c r="G45" s="5">
        <v>11093626</v>
      </c>
      <c r="H45">
        <v>23</v>
      </c>
      <c r="I45">
        <v>13</v>
      </c>
      <c r="J45">
        <v>0</v>
      </c>
      <c r="K45">
        <v>36</v>
      </c>
      <c r="L45" s="7">
        <v>0.54759999999999998</v>
      </c>
      <c r="M45" s="7">
        <v>0.63890000000000002</v>
      </c>
      <c r="N45" s="7">
        <f t="shared" si="0"/>
        <v>0.45240000000000002</v>
      </c>
      <c r="O45" s="7">
        <v>0.4622</v>
      </c>
      <c r="P45" s="7">
        <f>Table1[[#This Row],[D_V%'']]-Table1[[#This Row],[D_V%]]</f>
        <v>9.7999999999999754E-3</v>
      </c>
      <c r="Q45" s="7">
        <v>0.36840000000000001</v>
      </c>
      <c r="R45" s="16">
        <f>ROUND(Table1[[#This Row],[D_S%]]*Table1[[#This Row],[TOT_S]],0)</f>
        <v>13</v>
      </c>
      <c r="S45" s="16">
        <f>Table1[[#This Row],[D_S'#]]-Table1[[#This Row],[D_S]]</f>
        <v>0</v>
      </c>
      <c r="T45" s="15" t="s">
        <v>150</v>
      </c>
      <c r="U45" t="s">
        <v>109</v>
      </c>
    </row>
    <row r="46" spans="1:21" x14ac:dyDescent="0.2">
      <c r="A46">
        <v>2020</v>
      </c>
      <c r="B46" s="1" t="s">
        <v>92</v>
      </c>
      <c r="C46" s="1" t="s">
        <v>93</v>
      </c>
      <c r="D46" s="5">
        <v>873347</v>
      </c>
      <c r="E46" s="5">
        <v>505946</v>
      </c>
      <c r="F46" s="5">
        <v>52939</v>
      </c>
      <c r="G46" s="5">
        <v>1432232</v>
      </c>
      <c r="H46">
        <v>4</v>
      </c>
      <c r="I46">
        <v>0</v>
      </c>
      <c r="J46">
        <v>0</v>
      </c>
      <c r="K46">
        <v>4</v>
      </c>
      <c r="L46" s="7">
        <v>0.63319999999999999</v>
      </c>
      <c r="M46" s="7">
        <v>1</v>
      </c>
      <c r="N46" s="7">
        <f t="shared" si="0"/>
        <v>0.36680000000000001</v>
      </c>
      <c r="O46" s="7">
        <v>0.32969999999999999</v>
      </c>
      <c r="P46" s="7">
        <f>Table1[[#This Row],[D_V%'']]-Table1[[#This Row],[D_V%]]</f>
        <v>-3.7100000000000022E-2</v>
      </c>
      <c r="Q46" s="7">
        <v>6.4000000000000003E-3</v>
      </c>
      <c r="R46" s="16">
        <f>ROUND(Table1[[#This Row],[D_S%]]*Table1[[#This Row],[TOT_S]],0)</f>
        <v>0</v>
      </c>
      <c r="S46" s="16">
        <f>Table1[[#This Row],[D_S'#]]-Table1[[#This Row],[D_S]]</f>
        <v>0</v>
      </c>
      <c r="T46" s="15" t="s">
        <v>152</v>
      </c>
      <c r="U46" t="s">
        <v>109</v>
      </c>
    </row>
    <row r="47" spans="1:21" x14ac:dyDescent="0.2">
      <c r="A47">
        <v>2020</v>
      </c>
      <c r="B47" s="1" t="s">
        <v>94</v>
      </c>
      <c r="C47" s="1" t="s">
        <v>95</v>
      </c>
      <c r="D47" s="5">
        <v>95830</v>
      </c>
      <c r="E47" s="5">
        <v>238827</v>
      </c>
      <c r="F47" s="5">
        <v>36311</v>
      </c>
      <c r="G47" s="5">
        <v>370968</v>
      </c>
      <c r="H47">
        <v>0</v>
      </c>
      <c r="I47">
        <v>1</v>
      </c>
      <c r="J47">
        <v>0</v>
      </c>
      <c r="K47">
        <v>1</v>
      </c>
      <c r="L47" s="7">
        <v>0.28639999999999999</v>
      </c>
      <c r="M47" s="7">
        <v>0</v>
      </c>
      <c r="N47" s="7">
        <f t="shared" si="0"/>
        <v>0.71360000000000001</v>
      </c>
      <c r="P47" s="7" t="s">
        <v>109</v>
      </c>
      <c r="R47" s="16" t="s">
        <v>109</v>
      </c>
      <c r="U47" t="s">
        <v>109</v>
      </c>
    </row>
    <row r="48" spans="1:21" x14ac:dyDescent="0.2">
      <c r="A48">
        <v>2020</v>
      </c>
      <c r="B48" s="1" t="s">
        <v>96</v>
      </c>
      <c r="C48" s="1" t="s">
        <v>97</v>
      </c>
      <c r="D48" s="5">
        <v>2059015</v>
      </c>
      <c r="E48" s="5">
        <v>2375359</v>
      </c>
      <c r="F48" s="5">
        <v>16404</v>
      </c>
      <c r="G48" s="5">
        <v>4450778</v>
      </c>
      <c r="H48">
        <v>4</v>
      </c>
      <c r="I48">
        <v>7</v>
      </c>
      <c r="J48">
        <v>0</v>
      </c>
      <c r="K48">
        <v>11</v>
      </c>
      <c r="L48" s="7">
        <v>0.46429999999999999</v>
      </c>
      <c r="M48" s="7">
        <v>0.36359999999999998</v>
      </c>
      <c r="N48" s="7">
        <f t="shared" si="0"/>
        <v>0.53570000000000007</v>
      </c>
      <c r="O48" s="7">
        <v>0.53669999999999995</v>
      </c>
      <c r="P48" s="7">
        <f>Table1[[#This Row],[D_V%'']]-Table1[[#This Row],[D_V%]]</f>
        <v>9.9999999999988987E-4</v>
      </c>
      <c r="Q48" s="7">
        <v>0.54979999999999996</v>
      </c>
      <c r="R48" s="16">
        <f>ROUND(Table1[[#This Row],[D_S%]]*Table1[[#This Row],[TOT_S]],0)</f>
        <v>6</v>
      </c>
      <c r="S48" s="16">
        <f>Table1[[#This Row],[D_S'#]]-Table1[[#This Row],[D_S]]</f>
        <v>-1</v>
      </c>
      <c r="T48" s="15" t="s">
        <v>116</v>
      </c>
      <c r="U48" t="s">
        <v>109</v>
      </c>
    </row>
    <row r="49" spans="1:21" x14ac:dyDescent="0.2">
      <c r="A49">
        <v>2020</v>
      </c>
      <c r="B49" s="1" t="s">
        <v>98</v>
      </c>
      <c r="C49" s="1" t="s">
        <v>99</v>
      </c>
      <c r="D49" s="5">
        <v>1669283</v>
      </c>
      <c r="E49" s="5">
        <v>2340356</v>
      </c>
      <c r="F49" s="5">
        <v>7011</v>
      </c>
      <c r="G49" s="5">
        <v>4016650</v>
      </c>
      <c r="H49">
        <v>3</v>
      </c>
      <c r="I49">
        <v>7</v>
      </c>
      <c r="J49">
        <v>0</v>
      </c>
      <c r="K49">
        <v>10</v>
      </c>
      <c r="L49" s="7">
        <v>0.4163</v>
      </c>
      <c r="M49" s="7">
        <v>0.3</v>
      </c>
      <c r="N49" s="7">
        <f t="shared" si="0"/>
        <v>0.5837</v>
      </c>
      <c r="O49" s="7">
        <v>0.58169999999999999</v>
      </c>
      <c r="P49" s="7">
        <f>Table1[[#This Row],[D_V%'']]-Table1[[#This Row],[D_V%]]</f>
        <v>-2.0000000000000018E-3</v>
      </c>
      <c r="Q49" s="7">
        <v>0.69330000000000003</v>
      </c>
      <c r="R49" s="16">
        <f>ROUND(Table1[[#This Row],[D_S%]]*Table1[[#This Row],[TOT_S]],0)</f>
        <v>7</v>
      </c>
      <c r="S49" s="16">
        <f>Table1[[#This Row],[D_S'#]]-Table1[[#This Row],[D_S]]</f>
        <v>0</v>
      </c>
      <c r="T49" s="15" t="s">
        <v>153</v>
      </c>
      <c r="U49" t="s">
        <v>109</v>
      </c>
    </row>
    <row r="50" spans="1:21" x14ac:dyDescent="0.2">
      <c r="A50">
        <v>2020</v>
      </c>
      <c r="B50" s="1" t="s">
        <v>100</v>
      </c>
      <c r="C50" s="1" t="s">
        <v>101</v>
      </c>
      <c r="D50" s="5">
        <v>514268</v>
      </c>
      <c r="E50" s="5">
        <v>246903</v>
      </c>
      <c r="F50" s="5">
        <v>214</v>
      </c>
      <c r="G50" s="5">
        <v>761385</v>
      </c>
      <c r="H50">
        <v>3</v>
      </c>
      <c r="I50">
        <v>0</v>
      </c>
      <c r="J50">
        <v>0</v>
      </c>
      <c r="K50">
        <v>3</v>
      </c>
      <c r="L50" s="7">
        <v>0.67559999999999998</v>
      </c>
      <c r="M50" s="7">
        <v>1</v>
      </c>
      <c r="N50" s="7">
        <f t="shared" si="0"/>
        <v>0.32440000000000002</v>
      </c>
      <c r="O50" s="7">
        <v>0.31900000000000001</v>
      </c>
      <c r="P50" s="7">
        <f>Table1[[#This Row],[D_V%'']]-Table1[[#This Row],[D_V%]]</f>
        <v>-5.4000000000000159E-3</v>
      </c>
      <c r="Q50" s="7">
        <v>0</v>
      </c>
      <c r="R50" s="16">
        <f>ROUND(Table1[[#This Row],[D_S%]]*Table1[[#This Row],[TOT_S]],0)</f>
        <v>0</v>
      </c>
      <c r="S50" s="16">
        <f>Table1[[#This Row],[D_S'#]]-Table1[[#This Row],[D_S]]</f>
        <v>0</v>
      </c>
      <c r="T50" s="15" t="s">
        <v>154</v>
      </c>
      <c r="U50" t="s">
        <v>109</v>
      </c>
    </row>
    <row r="51" spans="1:21" x14ac:dyDescent="0.2">
      <c r="A51">
        <v>2020</v>
      </c>
      <c r="B51" s="1" t="s">
        <v>102</v>
      </c>
      <c r="C51" s="1" t="s">
        <v>103</v>
      </c>
      <c r="D51" s="5">
        <v>1661399</v>
      </c>
      <c r="E51" s="5">
        <v>1566671</v>
      </c>
      <c r="F51" s="5">
        <v>9981</v>
      </c>
      <c r="G51" s="5">
        <v>3238051</v>
      </c>
      <c r="H51">
        <v>5</v>
      </c>
      <c r="I51">
        <v>3</v>
      </c>
      <c r="J51">
        <v>0</v>
      </c>
      <c r="K51">
        <v>8</v>
      </c>
      <c r="L51" s="7">
        <v>0.51470000000000005</v>
      </c>
      <c r="M51" s="7">
        <v>0.625</v>
      </c>
      <c r="N51" s="7">
        <f t="shared" si="0"/>
        <v>0.48529999999999995</v>
      </c>
      <c r="O51" s="7">
        <v>0.50680000000000003</v>
      </c>
      <c r="P51" s="7">
        <f>Table1[[#This Row],[D_V%'']]-Table1[[#This Row],[D_V%]]</f>
        <v>2.1500000000000075E-2</v>
      </c>
      <c r="Q51" s="7">
        <v>0.29749999999999999</v>
      </c>
      <c r="R51" s="16">
        <f>ROUND(Table1[[#This Row],[D_S%]]*Table1[[#This Row],[TOT_S]],0)</f>
        <v>2</v>
      </c>
      <c r="S51" s="16">
        <f>Table1[[#This Row],[D_S'#]]-Table1[[#This Row],[D_S]]</f>
        <v>-1</v>
      </c>
      <c r="T51" s="15" t="s">
        <v>155</v>
      </c>
      <c r="U51" t="s">
        <v>109</v>
      </c>
    </row>
    <row r="52" spans="1:21" x14ac:dyDescent="0.2">
      <c r="A52">
        <v>2020</v>
      </c>
      <c r="B52" s="1" t="s">
        <v>104</v>
      </c>
      <c r="C52" s="1" t="s">
        <v>105</v>
      </c>
      <c r="D52" s="5">
        <v>185732</v>
      </c>
      <c r="E52" s="5">
        <v>66576</v>
      </c>
      <c r="F52" s="5">
        <v>26195</v>
      </c>
      <c r="G52" s="5">
        <v>278503</v>
      </c>
      <c r="H52">
        <v>1</v>
      </c>
      <c r="I52">
        <v>0</v>
      </c>
      <c r="J52">
        <v>0</v>
      </c>
      <c r="K52">
        <v>1</v>
      </c>
      <c r="L52" s="7">
        <v>0.73609999999999998</v>
      </c>
      <c r="M52" s="7">
        <v>1</v>
      </c>
      <c r="N52" s="7">
        <f t="shared" si="0"/>
        <v>0.26390000000000002</v>
      </c>
      <c r="P52" s="7" t="s">
        <v>109</v>
      </c>
      <c r="R52" s="16" t="s">
        <v>109</v>
      </c>
      <c r="U52" t="s">
        <v>109</v>
      </c>
    </row>
    <row r="53" spans="1:21" x14ac:dyDescent="0.2">
      <c r="B53" s="8"/>
      <c r="C53" s="8"/>
      <c r="D53" s="9"/>
      <c r="E53" s="9"/>
      <c r="F53" s="9"/>
      <c r="G53" s="9"/>
      <c r="H53" s="8"/>
      <c r="I53" s="8"/>
      <c r="J53" s="8"/>
      <c r="K53" s="8"/>
      <c r="L53" s="10"/>
      <c r="M53" s="10"/>
      <c r="N53" s="10"/>
      <c r="O53" s="10"/>
      <c r="P53" s="10"/>
      <c r="Q53" s="10"/>
      <c r="R53" s="17"/>
      <c r="S53" s="17"/>
      <c r="T53" s="8"/>
      <c r="U53" s="8"/>
    </row>
    <row r="54" spans="1:21" s="2" customFormat="1" x14ac:dyDescent="0.2">
      <c r="B54" s="3" t="s">
        <v>106</v>
      </c>
      <c r="D54" s="4"/>
      <c r="E54" s="4"/>
      <c r="F54" s="4"/>
      <c r="G54" s="4"/>
      <c r="H54" s="2">
        <f>SUM(H3:H52)</f>
        <v>213</v>
      </c>
      <c r="I54" s="2">
        <f t="shared" ref="I54:K54" si="1">SUM(I3:I52)</f>
        <v>222</v>
      </c>
      <c r="J54" s="2">
        <f t="shared" si="1"/>
        <v>0</v>
      </c>
      <c r="K54" s="2">
        <f t="shared" si="1"/>
        <v>435</v>
      </c>
      <c r="L54" s="6"/>
      <c r="M54" s="6"/>
      <c r="N54" s="6"/>
      <c r="O54" s="6"/>
      <c r="P54" s="6"/>
      <c r="Q54" s="6"/>
      <c r="R54" s="18">
        <f>SUM(R3:R51)</f>
        <v>208</v>
      </c>
      <c r="S54" s="18">
        <f>SUM(S3:S51)</f>
        <v>-12</v>
      </c>
    </row>
    <row r="55" spans="1:21" x14ac:dyDescent="0.2">
      <c r="O55" s="16" t="s">
        <v>156</v>
      </c>
      <c r="P55" s="16">
        <f>SUM(S55:S57)-SUM(P56:P57)</f>
        <v>18</v>
      </c>
      <c r="R55" s="16" t="s">
        <v>156</v>
      </c>
      <c r="S55" s="16">
        <f>COUNTIF(S$3:S$51, 0)</f>
        <v>30</v>
      </c>
    </row>
    <row r="56" spans="1:21" x14ac:dyDescent="0.2">
      <c r="O56" s="16" t="s">
        <v>157</v>
      </c>
      <c r="P56" s="16">
        <f>COUNTIF(P$3:P$51, "&lt;-0.01")</f>
        <v>8</v>
      </c>
      <c r="R56" s="29" t="s">
        <v>157</v>
      </c>
      <c r="S56" s="29">
        <f>COUNTIF(S$3:S$51, "&lt;0")</f>
        <v>10</v>
      </c>
    </row>
    <row r="57" spans="1:21" x14ac:dyDescent="0.2">
      <c r="O57" s="16" t="s">
        <v>158</v>
      </c>
      <c r="P57" s="16">
        <f>COUNTIF(P$3:P$51, "&gt;0.01")</f>
        <v>17</v>
      </c>
      <c r="R57" s="16" t="s">
        <v>158</v>
      </c>
      <c r="S57" s="16">
        <f>COUNTIF(S$3:S$51, "&gt;0")</f>
        <v>3</v>
      </c>
    </row>
    <row r="59" spans="1:21" x14ac:dyDescent="0.2">
      <c r="O59" s="7" t="s">
        <v>172</v>
      </c>
      <c r="P59" s="7">
        <f>MIN(P$3:P$51)</f>
        <v>-7.389999999999991E-2</v>
      </c>
    </row>
    <row r="60" spans="1:21" x14ac:dyDescent="0.2">
      <c r="O60" s="7" t="s">
        <v>173</v>
      </c>
      <c r="P60" s="7">
        <f>MAX(P$3:P$51)</f>
        <v>0.11929999999999996</v>
      </c>
    </row>
    <row r="61" spans="1:21" x14ac:dyDescent="0.2">
      <c r="O61" s="7" t="s">
        <v>170</v>
      </c>
      <c r="P61" s="7" cm="1">
        <f t="array" ref="P61">AVERAGE(IF(ISNUMBER(P$3:P$51),ABS(P$3:P$51)))</f>
        <v>2.1883720930232563E-2</v>
      </c>
    </row>
    <row r="62" spans="1:21" x14ac:dyDescent="0.2">
      <c r="O62" s="7" t="s">
        <v>171</v>
      </c>
      <c r="P62" s="7" cm="1">
        <f t="array" ref="P62">STDEV(IF(ISNUMBER(P$3:P$51),ABS(P$3:P$51)))</f>
        <v>2.3719009156135437E-2</v>
      </c>
    </row>
  </sheetData>
  <hyperlinks>
    <hyperlink ref="T35" r:id="rId1" xr:uid="{774F79A0-FDE0-D844-B181-9FB50C92B25D}"/>
    <hyperlink ref="T22" r:id="rId2" xr:uid="{E89B99FF-1900-9B46-A7BD-74CD00F20252}"/>
    <hyperlink ref="T40" r:id="rId3" xr:uid="{87E238FC-1D08-414A-936B-C3F29EA777DB}"/>
    <hyperlink ref="T48" r:id="rId4" xr:uid="{D0657891-AAA9-9947-BE91-3EC482284695}"/>
    <hyperlink ref="T3" r:id="rId5" xr:uid="{C128C738-F06C-C04F-8D4C-3A1F80514F0D}"/>
    <hyperlink ref="T6" r:id="rId6" xr:uid="{5A9B1971-A026-A74E-8D8F-71230F626332}"/>
    <hyperlink ref="T5" r:id="rId7" xr:uid="{3E17C6DC-91EF-2740-9FC0-D986B5802E03}"/>
    <hyperlink ref="T7" r:id="rId8" xr:uid="{8EB37178-6112-C04D-9267-CAD11C483A99}"/>
    <hyperlink ref="T8" r:id="rId9" xr:uid="{E241D6D2-556F-6F46-9404-E7BA8B79B30D}"/>
    <hyperlink ref="T9" r:id="rId10" xr:uid="{75667BF3-37F5-414B-AC43-2C22DF0C2650}"/>
    <hyperlink ref="T11" r:id="rId11" xr:uid="{779D84CD-EDD1-744B-BC14-EE12E2AB50AA}"/>
    <hyperlink ref="T12" r:id="rId12" xr:uid="{3B6B288C-DAAE-F64C-977E-7A310A431B63}"/>
    <hyperlink ref="T13" r:id="rId13" xr:uid="{B1D02A54-3BDF-1048-84AC-1C90FB39FDC2}"/>
    <hyperlink ref="T14" r:id="rId14" xr:uid="{6FA6BDC1-6633-2446-8CFB-6937F15DA338}"/>
    <hyperlink ref="T15" r:id="rId15" xr:uid="{882BF782-281F-0A4B-A2D3-C65D3C3FFD41}"/>
    <hyperlink ref="T16" r:id="rId16" xr:uid="{0D82D631-E777-0848-9676-1CC28AF0ED1B}"/>
    <hyperlink ref="T17" r:id="rId17" xr:uid="{6D205CA5-EA6C-614B-BBBC-8873709FC4E2}"/>
    <hyperlink ref="T18" r:id="rId18" xr:uid="{CE85079B-C402-D64A-AEBF-8A6347A58809}"/>
    <hyperlink ref="T19" r:id="rId19" xr:uid="{794C34F5-A902-B343-A7F7-87B3B7E27373}"/>
    <hyperlink ref="T20" r:id="rId20" xr:uid="{1DAA8BB1-96EA-5745-9D70-FBD4DFB28EBF}"/>
    <hyperlink ref="T21" r:id="rId21" xr:uid="{871E8BBD-E8B1-7E4A-9090-F0F9BDC75B59}"/>
    <hyperlink ref="T23" r:id="rId22" xr:uid="{C53C50E7-EB0E-6E46-8FE7-406FE4948ADC}"/>
    <hyperlink ref="T24" r:id="rId23" display="https://davesredistricting.org/join/f27e6b94-e78f-4726-bf94-4a5d9911d535" xr:uid="{1A2E1C81-B9AE-A24D-8138-5B2417D385F1}"/>
    <hyperlink ref="T25" r:id="rId24" xr:uid="{92C41BF2-DF2E-E349-9A75-8AE94F5CC894}"/>
    <hyperlink ref="T26" r:id="rId25" xr:uid="{146FED7E-A245-B04D-A7E1-AA3E64D25079}"/>
    <hyperlink ref="T27" r:id="rId26" xr:uid="{2E909990-70E5-0B45-A696-592F40CF0F45}"/>
    <hyperlink ref="T29" r:id="rId27" xr:uid="{8503A266-5638-3348-BDBE-DEAFC6992103}"/>
    <hyperlink ref="T30" r:id="rId28" xr:uid="{EFCE67C2-FBEC-6044-A113-41D5A8BF4C2C}"/>
    <hyperlink ref="T31" r:id="rId29" xr:uid="{C1694992-A5BB-DD4B-9AC1-EECD6D791D67}"/>
    <hyperlink ref="T32" r:id="rId30" xr:uid="{AA57A823-4D20-D249-8190-FFB406FF4AE6}"/>
    <hyperlink ref="T33" r:id="rId31" xr:uid="{76A4FAAE-7501-634B-B936-9DCB97DB9B77}"/>
    <hyperlink ref="T34" r:id="rId32" xr:uid="{47976184-2BE3-0448-BB25-299A66678626}"/>
    <hyperlink ref="T37" r:id="rId33" xr:uid="{5F1506F8-6223-1948-BACB-FAF988C36706}"/>
    <hyperlink ref="T38" r:id="rId34" xr:uid="{AED3B628-A085-AB45-8AD7-F200D83BC2BB}"/>
    <hyperlink ref="T39" r:id="rId35" xr:uid="{7C612CE0-CE50-CE4B-9517-C70641F50B4A}"/>
    <hyperlink ref="T41" r:id="rId36" xr:uid="{7E7ACF71-C60D-EA4F-A816-FCFF7298B892}"/>
    <hyperlink ref="T42" r:id="rId37" xr:uid="{60CDB03E-4190-DF4F-B40A-EF2B73EF5008}"/>
    <hyperlink ref="T44" r:id="rId38" xr:uid="{2B1FFDF9-FDD9-B547-8ADE-3954786E1FC0}"/>
    <hyperlink ref="T45" r:id="rId39" xr:uid="{94DAC8C2-23EE-7847-A043-FEBADA4A5157}"/>
    <hyperlink ref="T46" r:id="rId40" xr:uid="{57E45E90-53DD-114C-BAA1-F290BC3B30E7}"/>
    <hyperlink ref="T49" r:id="rId41" xr:uid="{6BF36174-9452-914B-BAEE-190DB2DD7D8B}"/>
    <hyperlink ref="T50" r:id="rId42" xr:uid="{0DE1A4DB-72B6-C746-AB56-A58E62E7069E}"/>
    <hyperlink ref="T51" r:id="rId43" xr:uid="{1B6E12C4-11B4-144B-A696-890AF1E04754}"/>
  </hyperlinks>
  <pageMargins left="0.7" right="0.7" top="0.75" bottom="0.75" header="0.3" footer="0.3"/>
  <tableParts count="1">
    <tablePart r:id="rId4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2022-07-24T14:09:03Z</dcterms:created>
  <dcterms:modified xsi:type="dcterms:W3CDTF">2022-07-26T16:02:50Z</dcterms:modified>
</cp:coreProperties>
</file>